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196DCFC5-BF7A-457B-8CE1-B3AE6619DCC0}" xr6:coauthVersionLast="47" xr6:coauthVersionMax="47" xr10:uidLastSave="{00000000-0000-0000-0000-000000000000}"/>
  <bookViews>
    <workbookView xWindow="-110" yWindow="-110" windowWidth="19420" windowHeight="10300" xr2:uid="{B35DE843-AA84-441D-B0BD-401F6FA033F2}"/>
  </bookViews>
  <sheets>
    <sheet name="Cover Sheet" sheetId="1" r:id="rId1"/>
    <sheet name="Contents" sheetId="2" r:id="rId2"/>
    <sheet name="Notes" sheetId="3" r:id="rId3"/>
    <sheet name="Commentary" sheetId="4" r:id="rId4"/>
    <sheet name="Table 1.3a" sheetId="5" r:id="rId5"/>
    <sheet name="Table 1.3b annual by fuel" sheetId="7" r:id="rId6"/>
    <sheet name="Table 1.3b quarterly by fuel" sheetId="6" r:id="rId7"/>
    <sheet name="Table 1.3c" sheetId="8" r:id="rId8"/>
    <sheet name="Annual supply and use of fuels" sheetId="9" r:id="rId9"/>
    <sheet name="Quarter supply and use of fuels" sheetId="10" r:id="rId10"/>
    <sheet name="Quarter supply" sheetId="11" r:id="rId11"/>
    <sheet name="Quarter demand" sheetId="12" r:id="rId12"/>
    <sheet name="Quarter final consumption" sheetId="13" r:id="rId13"/>
    <sheet name="Annual dependency &amp; low carbon" sheetId="14" r:id="rId14"/>
    <sheet name="Quarter dependency &amp; low carbon" sheetId="20" r:id="rId15"/>
    <sheet name="Annual SeasTempAdj" sheetId="15" r:id="rId16"/>
    <sheet name="Quarter SeasTempAdj" sheetId="16" r:id="rId17"/>
    <sheet name="calculation3a_hide" sheetId="17" state="hidden" r:id="rId18"/>
    <sheet name="calculation3b_hide" sheetId="18" state="hidden" r:id="rId19"/>
    <sheet name="calculation3c_hide" sheetId="19" state="hidden"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E31" i="7"/>
  <c r="C31" i="7"/>
  <c r="J29" i="7"/>
  <c r="I29" i="7"/>
  <c r="G29" i="7"/>
  <c r="F29" i="7"/>
  <c r="E29" i="7"/>
  <c r="C29" i="7"/>
  <c r="B29" i="7"/>
  <c r="I28" i="7"/>
  <c r="G28" i="7"/>
  <c r="F28" i="7"/>
  <c r="E28" i="7"/>
  <c r="B28" i="7"/>
  <c r="J27" i="7"/>
  <c r="I27" i="7"/>
  <c r="G27" i="7"/>
  <c r="F27" i="7"/>
  <c r="E27" i="7"/>
  <c r="C27" i="7"/>
  <c r="B27" i="7"/>
  <c r="J26" i="7"/>
  <c r="I26" i="7"/>
  <c r="G26" i="7"/>
  <c r="F26" i="7"/>
  <c r="E26" i="7"/>
  <c r="C26" i="7"/>
  <c r="B26" i="7"/>
  <c r="I24" i="7"/>
  <c r="G24" i="7"/>
  <c r="F24" i="7"/>
  <c r="E24" i="7"/>
  <c r="D24" i="7"/>
  <c r="C24" i="7"/>
  <c r="B24" i="7"/>
  <c r="J23" i="7"/>
  <c r="I23" i="7"/>
  <c r="G23" i="7"/>
  <c r="F23" i="7"/>
  <c r="E23" i="7"/>
  <c r="D23" i="7"/>
  <c r="C23" i="7"/>
  <c r="B23" i="7"/>
  <c r="E22" i="7"/>
  <c r="D22" i="7"/>
  <c r="E21" i="7"/>
  <c r="C21" i="7"/>
  <c r="B21" i="7"/>
  <c r="E20" i="7"/>
  <c r="C20" i="7"/>
  <c r="B20" i="7"/>
  <c r="E19" i="7"/>
  <c r="C19" i="7"/>
  <c r="B19" i="7"/>
  <c r="E18" i="7"/>
  <c r="D18" i="7"/>
  <c r="J17" i="7"/>
  <c r="G17" i="7"/>
  <c r="F17" i="7"/>
  <c r="E17" i="7"/>
  <c r="C17" i="7"/>
  <c r="B17" i="7"/>
  <c r="I16" i="7"/>
  <c r="H16" i="7"/>
  <c r="G16" i="7"/>
  <c r="F16" i="7"/>
  <c r="E16" i="7"/>
  <c r="C16" i="7"/>
  <c r="B16" i="7"/>
  <c r="I14" i="7"/>
  <c r="H14" i="7"/>
  <c r="G14" i="7"/>
  <c r="F14" i="7"/>
  <c r="E14" i="7"/>
  <c r="D14" i="7"/>
  <c r="C14" i="7"/>
  <c r="B14" i="7"/>
  <c r="G10" i="7"/>
  <c r="F10" i="7"/>
  <c r="E10" i="7"/>
  <c r="D10" i="7"/>
  <c r="C10" i="7"/>
  <c r="B10" i="7"/>
  <c r="E9" i="7"/>
  <c r="I8" i="7"/>
  <c r="G8" i="7"/>
  <c r="F8" i="7"/>
  <c r="E8" i="7"/>
  <c r="D8" i="7"/>
  <c r="C8" i="7"/>
  <c r="B8" i="7"/>
  <c r="I7" i="7"/>
  <c r="G7" i="7"/>
  <c r="F7" i="7"/>
  <c r="E7" i="7"/>
  <c r="D7" i="7"/>
  <c r="C7" i="7"/>
  <c r="B7" i="7"/>
  <c r="H6" i="7"/>
  <c r="G6" i="7"/>
  <c r="F6" i="7"/>
  <c r="D6" i="7"/>
  <c r="B6" i="7"/>
  <c r="P31" i="7"/>
  <c r="O31" i="7"/>
  <c r="M31" i="7"/>
  <c r="T29" i="7"/>
  <c r="S29" i="7"/>
  <c r="Q29" i="7"/>
  <c r="P29" i="7"/>
  <c r="O29" i="7"/>
  <c r="M29" i="7"/>
  <c r="L29" i="7"/>
  <c r="S28" i="7"/>
  <c r="Q28" i="7"/>
  <c r="P28" i="7"/>
  <c r="O28" i="7"/>
  <c r="L28" i="7"/>
  <c r="T27" i="7"/>
  <c r="S27" i="7"/>
  <c r="Q27" i="7"/>
  <c r="P27" i="7"/>
  <c r="O27" i="7"/>
  <c r="M27" i="7"/>
  <c r="L27" i="7"/>
  <c r="T26" i="7"/>
  <c r="S26" i="7"/>
  <c r="Q26" i="7"/>
  <c r="P26" i="7"/>
  <c r="O26" i="7"/>
  <c r="M26" i="7"/>
  <c r="L26" i="7"/>
  <c r="S24" i="7"/>
  <c r="Q24" i="7"/>
  <c r="P24" i="7"/>
  <c r="O24" i="7"/>
  <c r="N24" i="7"/>
  <c r="M24" i="7"/>
  <c r="L24" i="7"/>
  <c r="T23" i="7"/>
  <c r="S23" i="7"/>
  <c r="Q23" i="7"/>
  <c r="P23" i="7"/>
  <c r="O23" i="7"/>
  <c r="N23" i="7"/>
  <c r="M23" i="7"/>
  <c r="L23" i="7"/>
  <c r="O22" i="7"/>
  <c r="N22" i="7"/>
  <c r="O21" i="7"/>
  <c r="M21" i="7"/>
  <c r="L21" i="7"/>
  <c r="O20" i="7"/>
  <c r="M20" i="7"/>
  <c r="L20" i="7"/>
  <c r="O19" i="7"/>
  <c r="M19" i="7"/>
  <c r="L19" i="7"/>
  <c r="O18" i="7"/>
  <c r="N18" i="7"/>
  <c r="T17" i="7"/>
  <c r="Q17" i="7"/>
  <c r="P17" i="7"/>
  <c r="O17" i="7"/>
  <c r="M17" i="7"/>
  <c r="L17" i="7"/>
  <c r="S16" i="7"/>
  <c r="R16" i="7"/>
  <c r="Q16" i="7"/>
  <c r="P16" i="7"/>
  <c r="O16" i="7"/>
  <c r="M16" i="7"/>
  <c r="L16" i="7"/>
  <c r="S14" i="7"/>
  <c r="R14" i="7"/>
  <c r="Q14" i="7"/>
  <c r="P14" i="7"/>
  <c r="O14" i="7"/>
  <c r="N14" i="7"/>
  <c r="M14" i="7"/>
  <c r="L14" i="7"/>
  <c r="Q10" i="7"/>
  <c r="P10" i="7"/>
  <c r="O10" i="7"/>
  <c r="N10" i="7"/>
  <c r="M10" i="7"/>
  <c r="L10" i="7"/>
  <c r="O9" i="7"/>
  <c r="U9" i="7" s="1"/>
  <c r="S8" i="7"/>
  <c r="Q8" i="7"/>
  <c r="P8" i="7"/>
  <c r="O8" i="7"/>
  <c r="N8" i="7"/>
  <c r="M8" i="7"/>
  <c r="L8" i="7"/>
  <c r="S7" i="7"/>
  <c r="Q7" i="7"/>
  <c r="P7" i="7"/>
  <c r="O7" i="7"/>
  <c r="N7" i="7"/>
  <c r="M7" i="7"/>
  <c r="L7" i="7"/>
  <c r="R6" i="7"/>
  <c r="Q6" i="7"/>
  <c r="P6" i="7"/>
  <c r="N6" i="7"/>
  <c r="L6" i="7"/>
  <c r="AN117" i="11"/>
  <c r="AO117" i="11"/>
  <c r="AH117" i="11"/>
  <c r="AI117" i="11"/>
  <c r="AJ117" i="11"/>
  <c r="AK117" i="11"/>
  <c r="AL117" i="11"/>
  <c r="AM117" i="11"/>
  <c r="Z117" i="11"/>
  <c r="X117" i="11"/>
  <c r="P117" i="11"/>
  <c r="H117" i="11"/>
  <c r="B117" i="11"/>
  <c r="BT117" i="12"/>
  <c r="BK117" i="12"/>
  <c r="BH117" i="12"/>
  <c r="BD117" i="12"/>
  <c r="AZ117" i="12"/>
  <c r="AV117" i="12"/>
  <c r="AS117" i="12"/>
  <c r="AL117" i="12"/>
  <c r="AD117" i="12"/>
  <c r="U117" i="12"/>
  <c r="V117" i="12"/>
  <c r="W117" i="12"/>
  <c r="X117" i="12"/>
  <c r="Y117" i="12"/>
  <c r="Z117" i="12"/>
  <c r="AA117" i="12"/>
  <c r="AB117" i="12"/>
  <c r="AC117" i="12"/>
  <c r="K117" i="12"/>
  <c r="CB117" i="13"/>
  <c r="BT117" i="13"/>
  <c r="BL117" i="13"/>
  <c r="BD117" i="13"/>
  <c r="AO117" i="13"/>
  <c r="AP117" i="13"/>
  <c r="AQ117" i="13"/>
  <c r="AR117" i="13"/>
  <c r="AS117" i="13"/>
  <c r="AT117" i="13"/>
  <c r="AU117" i="13"/>
  <c r="AV117" i="13"/>
  <c r="AF117" i="13"/>
  <c r="Z117" i="13"/>
  <c r="R117" i="13"/>
  <c r="J117" i="13"/>
  <c r="G33" i="14"/>
  <c r="F117" i="20"/>
  <c r="AA29" i="15"/>
  <c r="Z29" i="15"/>
  <c r="Y29" i="15"/>
  <c r="W29" i="15"/>
  <c r="V29" i="15"/>
  <c r="U29" i="15"/>
  <c r="S29" i="15"/>
  <c r="R29" i="15"/>
  <c r="Q29" i="15"/>
  <c r="O29" i="15"/>
  <c r="N29" i="15"/>
  <c r="M29" i="15"/>
  <c r="K29" i="15"/>
  <c r="J29" i="15"/>
  <c r="I29" i="15"/>
  <c r="H29" i="15"/>
  <c r="F29" i="15"/>
  <c r="E29" i="15"/>
  <c r="D29" i="15"/>
  <c r="C29" i="15"/>
  <c r="X101" i="16"/>
  <c r="T101" i="16"/>
  <c r="P101" i="16"/>
  <c r="L101" i="16"/>
  <c r="G101" i="16"/>
  <c r="B101" i="16"/>
  <c r="AO116" i="11"/>
  <c r="AH116" i="11"/>
  <c r="AI116" i="11"/>
  <c r="AJ116" i="11"/>
  <c r="AK116" i="11"/>
  <c r="AL116" i="11"/>
  <c r="AM116" i="11"/>
  <c r="AN116" i="11"/>
  <c r="Z116" i="11"/>
  <c r="X116" i="11"/>
  <c r="P116" i="11"/>
  <c r="H116" i="11"/>
  <c r="B116" i="11"/>
  <c r="F117" i="10" l="1"/>
  <c r="N117" i="20"/>
  <c r="L117" i="20"/>
  <c r="K117" i="20"/>
  <c r="B117" i="10"/>
  <c r="T117" i="10"/>
  <c r="S117" i="10"/>
  <c r="R117" i="10"/>
  <c r="Q117" i="10"/>
  <c r="P117" i="10"/>
  <c r="O117" i="10"/>
  <c r="N117" i="10"/>
  <c r="E117" i="12"/>
  <c r="BB117" i="11" s="1"/>
  <c r="M117" i="10"/>
  <c r="L117" i="10"/>
  <c r="I117" i="12"/>
  <c r="BF117" i="11" s="1"/>
  <c r="J117" i="10"/>
  <c r="AD117" i="10"/>
  <c r="AC117" i="10"/>
  <c r="AB117" i="10"/>
  <c r="AA117" i="10"/>
  <c r="G117" i="13"/>
  <c r="CG117" i="12" s="1"/>
  <c r="F117" i="13"/>
  <c r="CF117" i="12" s="1"/>
  <c r="I117" i="13"/>
  <c r="E117" i="13"/>
  <c r="CE117" i="12" s="1"/>
  <c r="D117" i="13"/>
  <c r="H117" i="13"/>
  <c r="CH117" i="12" s="1"/>
  <c r="Y117" i="10"/>
  <c r="X117" i="10"/>
  <c r="W117" i="10"/>
  <c r="V117" i="10"/>
  <c r="U28" i="7"/>
  <c r="U19" i="7"/>
  <c r="U16" i="7"/>
  <c r="U6" i="7"/>
  <c r="AN117" i="13"/>
  <c r="U8" i="7"/>
  <c r="U22" i="7"/>
  <c r="U31" i="7"/>
  <c r="U20" i="7"/>
  <c r="U27" i="7"/>
  <c r="C117" i="20"/>
  <c r="C117" i="13"/>
  <c r="C117" i="10"/>
  <c r="AG117" i="11"/>
  <c r="U24" i="7"/>
  <c r="U10" i="7"/>
  <c r="T117" i="12"/>
  <c r="U17" i="7"/>
  <c r="U21" i="7"/>
  <c r="U7" i="7"/>
  <c r="U14" i="7"/>
  <c r="U29" i="7"/>
  <c r="E117" i="10"/>
  <c r="U18" i="7"/>
  <c r="U26" i="7"/>
  <c r="U23" i="7"/>
  <c r="D117" i="10"/>
  <c r="D117" i="20"/>
  <c r="AE117" i="10"/>
  <c r="AG116" i="11"/>
  <c r="BT116" i="12"/>
  <c r="BK116" i="12"/>
  <c r="BH116" i="12"/>
  <c r="BD116" i="12"/>
  <c r="AZ116" i="12"/>
  <c r="AV116" i="12"/>
  <c r="AS116" i="12"/>
  <c r="AL116" i="12"/>
  <c r="AD116" i="12"/>
  <c r="U116" i="12"/>
  <c r="V116" i="12"/>
  <c r="W116" i="12"/>
  <c r="X116" i="12"/>
  <c r="Y116" i="12"/>
  <c r="Z116" i="12"/>
  <c r="AA116" i="12"/>
  <c r="AB116" i="12"/>
  <c r="AC116" i="12"/>
  <c r="K116" i="12"/>
  <c r="BT116" i="13"/>
  <c r="BL116" i="13"/>
  <c r="BD116" i="13"/>
  <c r="AO116" i="13"/>
  <c r="AP116" i="13"/>
  <c r="AQ116" i="13"/>
  <c r="AR116" i="13"/>
  <c r="AS116" i="13"/>
  <c r="AT116" i="13"/>
  <c r="AU116" i="13"/>
  <c r="AV116" i="13"/>
  <c r="AF116" i="13"/>
  <c r="Z116" i="13"/>
  <c r="R116" i="13"/>
  <c r="J116" i="13"/>
  <c r="C116" i="20"/>
  <c r="F116" i="20"/>
  <c r="K116" i="20"/>
  <c r="L116" i="20"/>
  <c r="N116" i="20"/>
  <c r="X100" i="16"/>
  <c r="T100" i="16"/>
  <c r="P100" i="16"/>
  <c r="L100" i="16"/>
  <c r="G100" i="16"/>
  <c r="B100" i="16"/>
  <c r="M117" i="20" l="1"/>
  <c r="J117" i="20"/>
  <c r="AS117" i="11"/>
  <c r="E116" i="12"/>
  <c r="K117" i="10"/>
  <c r="I116" i="12"/>
  <c r="BF116" i="11"/>
  <c r="BB116" i="11"/>
  <c r="AW117" i="11"/>
  <c r="CI117" i="12"/>
  <c r="J117" i="12"/>
  <c r="I116" i="13"/>
  <c r="CI116" i="12" s="1"/>
  <c r="H116" i="13"/>
  <c r="CH116" i="12" s="1"/>
  <c r="F116" i="13"/>
  <c r="CD117" i="12"/>
  <c r="Z117" i="10"/>
  <c r="D116" i="13"/>
  <c r="CD116" i="12" s="1"/>
  <c r="G117" i="12"/>
  <c r="G116" i="13"/>
  <c r="CG116" i="12" s="1"/>
  <c r="E116" i="13"/>
  <c r="CC117" i="12"/>
  <c r="F117" i="12"/>
  <c r="H117" i="12"/>
  <c r="B117" i="20"/>
  <c r="G117" i="10"/>
  <c r="B117" i="13"/>
  <c r="E117" i="20"/>
  <c r="M116" i="20"/>
  <c r="J116" i="20"/>
  <c r="T116" i="12"/>
  <c r="AN116" i="13"/>
  <c r="C116" i="13"/>
  <c r="O117" i="20" l="1"/>
  <c r="O116" i="20"/>
  <c r="AS116" i="11"/>
  <c r="BG117" i="11"/>
  <c r="BD117" i="11"/>
  <c r="AU117" i="11" s="1"/>
  <c r="AW116" i="11"/>
  <c r="CE116" i="12"/>
  <c r="F116" i="12" s="1"/>
  <c r="CF116" i="12"/>
  <c r="D117" i="12"/>
  <c r="BA117" i="11" s="1"/>
  <c r="D116" i="12"/>
  <c r="BA116" i="11" s="1"/>
  <c r="G116" i="12"/>
  <c r="CC116" i="12"/>
  <c r="AX117" i="11"/>
  <c r="H116" i="12"/>
  <c r="U117" i="10"/>
  <c r="BE117" i="11"/>
  <c r="BC117" i="11"/>
  <c r="C117" i="12"/>
  <c r="J116" i="12"/>
  <c r="CB117" i="12"/>
  <c r="P117" i="20"/>
  <c r="I117" i="20"/>
  <c r="H117" i="20"/>
  <c r="B116" i="13"/>
  <c r="P116" i="20" l="1"/>
  <c r="BD116" i="11"/>
  <c r="AU116" i="11" s="1"/>
  <c r="AZ117" i="11"/>
  <c r="B117" i="12"/>
  <c r="AT117" i="11"/>
  <c r="BE116" i="11"/>
  <c r="CB116" i="12"/>
  <c r="AV117" i="11"/>
  <c r="BG116" i="11"/>
  <c r="BC116" i="11"/>
  <c r="AR117" i="11"/>
  <c r="AR116" i="11"/>
  <c r="C116" i="12"/>
  <c r="B116" i="10"/>
  <c r="C116" i="10"/>
  <c r="D116" i="10"/>
  <c r="E116" i="10"/>
  <c r="F116" i="10"/>
  <c r="G116" i="10"/>
  <c r="J116" i="10"/>
  <c r="K116" i="10"/>
  <c r="L116" i="10"/>
  <c r="M116" i="10"/>
  <c r="N116" i="10"/>
  <c r="O116" i="10"/>
  <c r="P116" i="10"/>
  <c r="Q116" i="10"/>
  <c r="R116" i="10"/>
  <c r="S116" i="10"/>
  <c r="T116" i="10"/>
  <c r="U116" i="10"/>
  <c r="V116" i="10"/>
  <c r="W116" i="10"/>
  <c r="X116" i="10"/>
  <c r="Y116" i="10"/>
  <c r="Z116" i="10"/>
  <c r="AA116" i="10"/>
  <c r="AB116" i="10"/>
  <c r="AC116" i="10"/>
  <c r="AD116" i="10"/>
  <c r="CB116" i="13"/>
  <c r="F115" i="20"/>
  <c r="AH115" i="11"/>
  <c r="AI115" i="11"/>
  <c r="AJ115" i="11"/>
  <c r="AK115" i="11"/>
  <c r="AL115" i="11"/>
  <c r="AM115" i="11"/>
  <c r="AN115" i="11"/>
  <c r="AO115" i="11"/>
  <c r="Z115" i="11"/>
  <c r="X115" i="11"/>
  <c r="P115" i="11"/>
  <c r="H115" i="11"/>
  <c r="B115" i="11"/>
  <c r="BT115" i="12"/>
  <c r="BK115" i="12"/>
  <c r="BH115" i="12"/>
  <c r="BD115" i="12"/>
  <c r="AZ115" i="12"/>
  <c r="AV115" i="12"/>
  <c r="AS115" i="12"/>
  <c r="AL115" i="12"/>
  <c r="AD115" i="12"/>
  <c r="U115" i="12"/>
  <c r="V115" i="12"/>
  <c r="W115" i="12"/>
  <c r="X115" i="12"/>
  <c r="Y115" i="12"/>
  <c r="Z115" i="12"/>
  <c r="AA115" i="12"/>
  <c r="AB115" i="12"/>
  <c r="AC115" i="12"/>
  <c r="K115" i="12"/>
  <c r="BT115" i="13"/>
  <c r="BL115" i="13"/>
  <c r="BD115" i="13"/>
  <c r="AO115" i="13"/>
  <c r="AP115" i="13"/>
  <c r="AQ115" i="13"/>
  <c r="AR115" i="13"/>
  <c r="AS115" i="13"/>
  <c r="AT115" i="13"/>
  <c r="AU115" i="13"/>
  <c r="AV115" i="13"/>
  <c r="AF115" i="13"/>
  <c r="Z115" i="13"/>
  <c r="R115" i="13"/>
  <c r="J115" i="13"/>
  <c r="CB115" i="13"/>
  <c r="X99" i="16"/>
  <c r="T99" i="16"/>
  <c r="P99" i="16"/>
  <c r="L99" i="16"/>
  <c r="G99" i="16"/>
  <c r="B99" i="16"/>
  <c r="AZ116" i="11" l="1"/>
  <c r="B116" i="12"/>
  <c r="AV116" i="11"/>
  <c r="AT116" i="11"/>
  <c r="AX116" i="11"/>
  <c r="AY117" i="11"/>
  <c r="I117" i="10"/>
  <c r="AQ117" i="11"/>
  <c r="F115" i="10"/>
  <c r="N115" i="20"/>
  <c r="L115" i="20"/>
  <c r="K115" i="20"/>
  <c r="B115" i="10"/>
  <c r="T115" i="10"/>
  <c r="S115" i="10"/>
  <c r="R115" i="10"/>
  <c r="Q115" i="10"/>
  <c r="P115" i="10"/>
  <c r="O115" i="10"/>
  <c r="N115" i="10"/>
  <c r="E115" i="12"/>
  <c r="M115" i="10"/>
  <c r="L115" i="10"/>
  <c r="I115" i="12"/>
  <c r="J115" i="10"/>
  <c r="D115" i="20"/>
  <c r="AE116" i="10"/>
  <c r="B116" i="20"/>
  <c r="D116" i="20"/>
  <c r="AD115" i="10"/>
  <c r="AC115" i="10"/>
  <c r="AB115" i="10"/>
  <c r="E115" i="13"/>
  <c r="AA115" i="10"/>
  <c r="F115" i="13"/>
  <c r="D115" i="13"/>
  <c r="C115" i="13"/>
  <c r="I115" i="13"/>
  <c r="H115" i="13"/>
  <c r="G115" i="13"/>
  <c r="Y115" i="10"/>
  <c r="X115" i="10"/>
  <c r="W115" i="10"/>
  <c r="V115" i="10"/>
  <c r="D115" i="10"/>
  <c r="E115" i="10"/>
  <c r="T115" i="12"/>
  <c r="AE115" i="10"/>
  <c r="C115" i="10"/>
  <c r="C115" i="20"/>
  <c r="AG115" i="11"/>
  <c r="AN115" i="13"/>
  <c r="B82" i="16"/>
  <c r="B83" i="16"/>
  <c r="B84" i="16"/>
  <c r="B85" i="16"/>
  <c r="B86" i="16"/>
  <c r="B87" i="16"/>
  <c r="B88" i="16"/>
  <c r="B89" i="16"/>
  <c r="B90" i="16"/>
  <c r="B91" i="16"/>
  <c r="B92" i="16"/>
  <c r="B93" i="16"/>
  <c r="B94" i="16"/>
  <c r="B95" i="16"/>
  <c r="B96" i="16"/>
  <c r="B97" i="16"/>
  <c r="B98" i="16"/>
  <c r="BB115" i="11" l="1"/>
  <c r="BF115" i="11"/>
  <c r="AP117" i="11"/>
  <c r="CD115" i="12"/>
  <c r="CG115" i="12"/>
  <c r="CE115" i="12"/>
  <c r="CH115" i="12"/>
  <c r="AY116" i="11"/>
  <c r="I116" i="10"/>
  <c r="AQ116" i="11"/>
  <c r="B29" i="15"/>
  <c r="M115" i="20"/>
  <c r="K115" i="10"/>
  <c r="AW115" i="11"/>
  <c r="AS115" i="11"/>
  <c r="CI115" i="12"/>
  <c r="E115" i="20"/>
  <c r="E116" i="20"/>
  <c r="B115" i="13"/>
  <c r="CC115" i="12"/>
  <c r="CF115" i="12"/>
  <c r="H115" i="12"/>
  <c r="Z115" i="10"/>
  <c r="J115" i="20"/>
  <c r="B115" i="20"/>
  <c r="G115" i="10"/>
  <c r="AH114" i="11"/>
  <c r="AI114" i="11"/>
  <c r="AJ114" i="11"/>
  <c r="AK114" i="11"/>
  <c r="AL114" i="11"/>
  <c r="AM114" i="11"/>
  <c r="AN114" i="11"/>
  <c r="AO114" i="11"/>
  <c r="Z114" i="11"/>
  <c r="X114" i="11"/>
  <c r="P114" i="11"/>
  <c r="H114" i="11"/>
  <c r="B114" i="11"/>
  <c r="BT114" i="12"/>
  <c r="BK114" i="12"/>
  <c r="BH114" i="12"/>
  <c r="BD114" i="12"/>
  <c r="AZ114" i="12"/>
  <c r="AV114" i="12"/>
  <c r="AS114" i="12"/>
  <c r="AL114" i="12"/>
  <c r="AD114" i="12"/>
  <c r="U114" i="12"/>
  <c r="V114" i="12"/>
  <c r="W114" i="12"/>
  <c r="X114" i="12"/>
  <c r="Y114" i="12"/>
  <c r="Z114" i="12"/>
  <c r="AA114" i="12"/>
  <c r="AB114" i="12"/>
  <c r="AC114" i="12"/>
  <c r="K114" i="12"/>
  <c r="CB114" i="13"/>
  <c r="BT114" i="13"/>
  <c r="BL114" i="13"/>
  <c r="BD114" i="13"/>
  <c r="AO114" i="13"/>
  <c r="AP114" i="13"/>
  <c r="AQ114" i="13"/>
  <c r="AR114" i="13"/>
  <c r="AS114" i="13"/>
  <c r="AT114" i="13"/>
  <c r="AU114" i="13"/>
  <c r="AV114" i="13"/>
  <c r="AF114" i="13"/>
  <c r="Z114" i="13"/>
  <c r="R114" i="13"/>
  <c r="J114" i="13"/>
  <c r="F114" i="20"/>
  <c r="X98" i="16"/>
  <c r="T98" i="16"/>
  <c r="P98" i="16"/>
  <c r="L98" i="16"/>
  <c r="G98" i="16"/>
  <c r="O11" i="7" l="1"/>
  <c r="M11" i="7"/>
  <c r="S11" i="7"/>
  <c r="F33" i="14"/>
  <c r="N11" i="7"/>
  <c r="Q11" i="7"/>
  <c r="P11" i="7"/>
  <c r="L11" i="7"/>
  <c r="R11" i="7"/>
  <c r="N15" i="7"/>
  <c r="T15" i="7"/>
  <c r="R15" i="7"/>
  <c r="P15" i="7"/>
  <c r="O15" i="7"/>
  <c r="Q15" i="7"/>
  <c r="M15" i="7"/>
  <c r="S15" i="7"/>
  <c r="L15" i="7"/>
  <c r="M30" i="7"/>
  <c r="S30" i="7"/>
  <c r="Q30" i="7"/>
  <c r="P30" i="7"/>
  <c r="L30" i="7"/>
  <c r="T30" i="7"/>
  <c r="O30" i="7"/>
  <c r="D115" i="12"/>
  <c r="AP116" i="11"/>
  <c r="BE115" i="11"/>
  <c r="F115" i="12"/>
  <c r="J115" i="12"/>
  <c r="H117" i="10"/>
  <c r="X29" i="15"/>
  <c r="P29" i="15"/>
  <c r="G29" i="15"/>
  <c r="T29" i="15"/>
  <c r="L29" i="15"/>
  <c r="O115" i="20"/>
  <c r="I116" i="20"/>
  <c r="CB115" i="12"/>
  <c r="H115" i="20"/>
  <c r="H116" i="20"/>
  <c r="U115" i="10"/>
  <c r="G115" i="12"/>
  <c r="C115" i="12"/>
  <c r="I115" i="20"/>
  <c r="C114" i="20"/>
  <c r="F114" i="10"/>
  <c r="E114" i="10"/>
  <c r="L114" i="20"/>
  <c r="K114" i="20"/>
  <c r="B114" i="10"/>
  <c r="T114" i="10"/>
  <c r="S114" i="10"/>
  <c r="R114" i="10"/>
  <c r="Q114" i="10"/>
  <c r="P114" i="10"/>
  <c r="O114" i="10"/>
  <c r="N114" i="10"/>
  <c r="E114" i="12"/>
  <c r="M114" i="10"/>
  <c r="I114" i="12"/>
  <c r="L114" i="10"/>
  <c r="J114" i="10"/>
  <c r="AE114" i="10"/>
  <c r="D114" i="20"/>
  <c r="AD114" i="10"/>
  <c r="AC114" i="10"/>
  <c r="AB114" i="10"/>
  <c r="E114" i="13"/>
  <c r="AA114" i="10"/>
  <c r="D114" i="13"/>
  <c r="I114" i="13"/>
  <c r="H114" i="13"/>
  <c r="G114" i="13"/>
  <c r="C114" i="13"/>
  <c r="Y114" i="10"/>
  <c r="X114" i="10"/>
  <c r="W114" i="10"/>
  <c r="V114" i="10"/>
  <c r="N114" i="20"/>
  <c r="AN114" i="13"/>
  <c r="T114" i="12"/>
  <c r="AG114" i="11"/>
  <c r="D114" i="10"/>
  <c r="C114" i="10"/>
  <c r="F114" i="13"/>
  <c r="AV113" i="12"/>
  <c r="F33" i="9" l="1"/>
  <c r="E33" i="9"/>
  <c r="N33" i="14"/>
  <c r="D33" i="9"/>
  <c r="L33" i="14"/>
  <c r="K33" i="14"/>
  <c r="U11" i="7"/>
  <c r="C33" i="9"/>
  <c r="B33" i="9"/>
  <c r="C33" i="14"/>
  <c r="T33" i="9"/>
  <c r="S33" i="9"/>
  <c r="BA115" i="11"/>
  <c r="AR115" i="11" s="1"/>
  <c r="R33" i="9"/>
  <c r="Q33" i="9"/>
  <c r="P33" i="9"/>
  <c r="O33" i="9"/>
  <c r="N33" i="9"/>
  <c r="M33" i="9"/>
  <c r="U15" i="7"/>
  <c r="L33" i="9"/>
  <c r="J33" i="9"/>
  <c r="U30" i="7"/>
  <c r="D33" i="14"/>
  <c r="AE33" i="9"/>
  <c r="AD33" i="9"/>
  <c r="AC33" i="9"/>
  <c r="AV115" i="11"/>
  <c r="AB33" i="9"/>
  <c r="AA33" i="9"/>
  <c r="Y33" i="9"/>
  <c r="X33" i="9"/>
  <c r="W33" i="9"/>
  <c r="BD115" i="11"/>
  <c r="Q25" i="7"/>
  <c r="L25" i="7"/>
  <c r="S25" i="7"/>
  <c r="T25" i="7"/>
  <c r="V33" i="9"/>
  <c r="P25" i="7"/>
  <c r="BG115" i="11"/>
  <c r="M25" i="7"/>
  <c r="BC115" i="11"/>
  <c r="O25" i="7"/>
  <c r="AZ115" i="11"/>
  <c r="H116" i="10"/>
  <c r="P115" i="20"/>
  <c r="B115" i="12"/>
  <c r="BB114" i="11"/>
  <c r="BF114" i="11"/>
  <c r="CI114" i="12"/>
  <c r="CH114" i="12"/>
  <c r="CD114" i="12"/>
  <c r="CC114" i="12"/>
  <c r="CE114" i="12"/>
  <c r="M114" i="20"/>
  <c r="K114" i="10"/>
  <c r="E114" i="20"/>
  <c r="CG114" i="12"/>
  <c r="Z114" i="10"/>
  <c r="CF114" i="12"/>
  <c r="B114" i="13"/>
  <c r="B114" i="20"/>
  <c r="J114" i="20"/>
  <c r="G114" i="10"/>
  <c r="K9" i="7"/>
  <c r="F113" i="20"/>
  <c r="G32" i="14"/>
  <c r="C28" i="15"/>
  <c r="D28" i="15"/>
  <c r="E28" i="15"/>
  <c r="F28" i="15"/>
  <c r="H28" i="15"/>
  <c r="I28" i="15"/>
  <c r="J28" i="15"/>
  <c r="K28" i="15"/>
  <c r="M28" i="15"/>
  <c r="N28" i="15"/>
  <c r="O28" i="15"/>
  <c r="Q28" i="15"/>
  <c r="R28" i="15"/>
  <c r="S28" i="15"/>
  <c r="U28" i="15"/>
  <c r="V28" i="15"/>
  <c r="W28" i="15"/>
  <c r="Y28" i="15"/>
  <c r="Z28" i="15"/>
  <c r="AA28" i="15"/>
  <c r="O113" i="10"/>
  <c r="AO113" i="11"/>
  <c r="AH113" i="11"/>
  <c r="AI113" i="11"/>
  <c r="AJ113" i="11"/>
  <c r="AK113" i="11"/>
  <c r="AL113" i="11"/>
  <c r="AM113" i="11"/>
  <c r="AN113" i="11"/>
  <c r="Z113" i="11"/>
  <c r="X113" i="11"/>
  <c r="P113" i="11"/>
  <c r="H113" i="11"/>
  <c r="B113" i="11"/>
  <c r="BT113" i="12"/>
  <c r="BK113" i="12"/>
  <c r="BH113" i="12"/>
  <c r="BD113" i="12"/>
  <c r="AZ113" i="12"/>
  <c r="AS113" i="12"/>
  <c r="AL113" i="12"/>
  <c r="AD113" i="12"/>
  <c r="U113" i="12"/>
  <c r="V113" i="12"/>
  <c r="W113" i="12"/>
  <c r="X113" i="12"/>
  <c r="Y113" i="12"/>
  <c r="Z113" i="12"/>
  <c r="AA113" i="12"/>
  <c r="AB113" i="12"/>
  <c r="AC113" i="12"/>
  <c r="K113" i="12"/>
  <c r="BT113" i="13"/>
  <c r="BL113" i="13"/>
  <c r="BD113" i="13"/>
  <c r="AO113" i="13"/>
  <c r="AP113" i="13"/>
  <c r="AQ113" i="13"/>
  <c r="AR113" i="13"/>
  <c r="AS113" i="13"/>
  <c r="AT113" i="13"/>
  <c r="AU113" i="13"/>
  <c r="AV113" i="13"/>
  <c r="AF113" i="13"/>
  <c r="Z113" i="13"/>
  <c r="R113" i="13"/>
  <c r="J113" i="13"/>
  <c r="CB113" i="13"/>
  <c r="X97" i="16"/>
  <c r="T97" i="16"/>
  <c r="P97" i="16"/>
  <c r="L97" i="16"/>
  <c r="G97" i="16"/>
  <c r="M33" i="14" l="1"/>
  <c r="G33" i="9"/>
  <c r="J33" i="14"/>
  <c r="K33" i="9"/>
  <c r="R13" i="7"/>
  <c r="N13" i="7"/>
  <c r="B33" i="14"/>
  <c r="E33" i="14"/>
  <c r="Z33" i="9"/>
  <c r="AX115" i="11"/>
  <c r="AT115" i="11"/>
  <c r="U25" i="7"/>
  <c r="AQ115" i="11"/>
  <c r="AU115" i="11"/>
  <c r="AY115" i="11"/>
  <c r="I115" i="10"/>
  <c r="AW114" i="11"/>
  <c r="AS114" i="11"/>
  <c r="J114" i="12"/>
  <c r="D114" i="12"/>
  <c r="C114" i="12"/>
  <c r="F114" i="12"/>
  <c r="O114" i="20"/>
  <c r="AE113" i="10"/>
  <c r="AD113" i="10"/>
  <c r="H114" i="12"/>
  <c r="AC113" i="10"/>
  <c r="AB113" i="10"/>
  <c r="Y113" i="10"/>
  <c r="W113" i="10"/>
  <c r="G114" i="12"/>
  <c r="V113" i="10"/>
  <c r="U114" i="10"/>
  <c r="CB114" i="12"/>
  <c r="I114" i="20"/>
  <c r="H114" i="20"/>
  <c r="F113" i="10"/>
  <c r="E113" i="10"/>
  <c r="L113" i="20"/>
  <c r="C113" i="10"/>
  <c r="B113" i="10"/>
  <c r="T113" i="10"/>
  <c r="S113" i="10"/>
  <c r="R113" i="10"/>
  <c r="Q113" i="10"/>
  <c r="P113" i="10"/>
  <c r="N113" i="10"/>
  <c r="K18" i="7"/>
  <c r="E113" i="12"/>
  <c r="M113" i="10"/>
  <c r="I113" i="12"/>
  <c r="L113" i="10"/>
  <c r="J113" i="10"/>
  <c r="I113" i="13"/>
  <c r="H113" i="13"/>
  <c r="G113" i="13"/>
  <c r="F113" i="13"/>
  <c r="E113" i="13"/>
  <c r="D113" i="13"/>
  <c r="AA113" i="10"/>
  <c r="X113" i="10"/>
  <c r="K113" i="20"/>
  <c r="K7" i="7"/>
  <c r="D113" i="20"/>
  <c r="K31" i="7"/>
  <c r="K8" i="7"/>
  <c r="K21" i="7"/>
  <c r="K6" i="7"/>
  <c r="K27" i="7"/>
  <c r="K17" i="7"/>
  <c r="K19" i="7"/>
  <c r="K22" i="7"/>
  <c r="N113" i="20"/>
  <c r="K28" i="7"/>
  <c r="D113" i="10"/>
  <c r="C113" i="20"/>
  <c r="K10" i="7"/>
  <c r="K14" i="7"/>
  <c r="K16" i="7"/>
  <c r="K26" i="7"/>
  <c r="K29" i="7"/>
  <c r="AN113" i="13"/>
  <c r="K20" i="7"/>
  <c r="K23" i="7"/>
  <c r="K24" i="7"/>
  <c r="AG113" i="11"/>
  <c r="T113" i="12"/>
  <c r="C113" i="13"/>
  <c r="I33" i="14" l="1"/>
  <c r="O33" i="14"/>
  <c r="P33" i="14" s="1"/>
  <c r="H33" i="14"/>
  <c r="R12" i="7"/>
  <c r="N12" i="7"/>
  <c r="U33" i="9"/>
  <c r="AP115" i="11"/>
  <c r="BG114" i="11"/>
  <c r="BA114" i="11"/>
  <c r="AZ114" i="11"/>
  <c r="BC114" i="11"/>
  <c r="P114" i="20"/>
  <c r="BF113" i="11"/>
  <c r="BB113" i="11"/>
  <c r="BE114" i="11"/>
  <c r="BD114" i="11"/>
  <c r="B114" i="12"/>
  <c r="CE113" i="12"/>
  <c r="CF113" i="12"/>
  <c r="CG113" i="12"/>
  <c r="CH113" i="12"/>
  <c r="M113" i="20"/>
  <c r="K113" i="10"/>
  <c r="CI113" i="12"/>
  <c r="CD113" i="12"/>
  <c r="Z113" i="10"/>
  <c r="E113" i="20"/>
  <c r="B113" i="13"/>
  <c r="CC113" i="12"/>
  <c r="G113" i="10"/>
  <c r="B113" i="20"/>
  <c r="J113" i="20"/>
  <c r="P13" i="7" l="1"/>
  <c r="Q13" i="7"/>
  <c r="O13" i="7"/>
  <c r="L13" i="7"/>
  <c r="M13" i="7"/>
  <c r="S13" i="7"/>
  <c r="H115" i="10"/>
  <c r="AX114" i="11"/>
  <c r="AR114" i="11"/>
  <c r="AQ114" i="11"/>
  <c r="AW113" i="11"/>
  <c r="AV114" i="11"/>
  <c r="AT114" i="11"/>
  <c r="AS113" i="11"/>
  <c r="J113" i="12"/>
  <c r="H113" i="12"/>
  <c r="F113" i="12"/>
  <c r="G113" i="12"/>
  <c r="I114" i="10"/>
  <c r="AY114" i="11"/>
  <c r="AU114" i="11"/>
  <c r="D113" i="12"/>
  <c r="C113" i="12"/>
  <c r="I113" i="20"/>
  <c r="CB113" i="12"/>
  <c r="U113" i="10"/>
  <c r="O113" i="20"/>
  <c r="H113" i="20"/>
  <c r="X96" i="16"/>
  <c r="T96" i="16"/>
  <c r="P96" i="16"/>
  <c r="L96" i="16"/>
  <c r="G96" i="16"/>
  <c r="F112" i="20"/>
  <c r="AH112" i="11"/>
  <c r="AI112" i="11"/>
  <c r="AJ112" i="11"/>
  <c r="AK112" i="11"/>
  <c r="AL112" i="11"/>
  <c r="AM112" i="11"/>
  <c r="AN112" i="11"/>
  <c r="AO112" i="11"/>
  <c r="Z112" i="11"/>
  <c r="X112" i="11"/>
  <c r="P112" i="11"/>
  <c r="H112" i="11"/>
  <c r="B112" i="11"/>
  <c r="BT112" i="12"/>
  <c r="BK112" i="12"/>
  <c r="BH112" i="12"/>
  <c r="BD112" i="12"/>
  <c r="AZ112" i="12"/>
  <c r="AV112" i="12"/>
  <c r="AS112" i="12"/>
  <c r="AL112" i="12"/>
  <c r="AC112" i="12"/>
  <c r="AD112" i="12"/>
  <c r="U112" i="12"/>
  <c r="V112" i="12"/>
  <c r="W112" i="12"/>
  <c r="X112" i="12"/>
  <c r="Y112" i="12"/>
  <c r="Z112" i="12"/>
  <c r="AA112" i="12"/>
  <c r="AB112" i="12"/>
  <c r="K112" i="12"/>
  <c r="BT112" i="13"/>
  <c r="BL112" i="13"/>
  <c r="BD112" i="13"/>
  <c r="AO112" i="13"/>
  <c r="AP112" i="13"/>
  <c r="AQ112" i="13"/>
  <c r="AR112" i="13"/>
  <c r="AS112" i="13"/>
  <c r="AT112" i="13"/>
  <c r="AU112" i="13"/>
  <c r="AV112" i="13"/>
  <c r="AF112" i="13"/>
  <c r="Z112" i="13"/>
  <c r="R112" i="13"/>
  <c r="J112" i="13"/>
  <c r="CB112" i="13"/>
  <c r="AH111" i="11"/>
  <c r="AI111" i="11"/>
  <c r="AJ111" i="11"/>
  <c r="AK111" i="11"/>
  <c r="AL111" i="11"/>
  <c r="AM111" i="11"/>
  <c r="AN111" i="11"/>
  <c r="AO111" i="11"/>
  <c r="Z111" i="11"/>
  <c r="X111" i="11"/>
  <c r="P111" i="11"/>
  <c r="H111" i="11"/>
  <c r="B111" i="11"/>
  <c r="BT111" i="12"/>
  <c r="BK111" i="12"/>
  <c r="BH111" i="12"/>
  <c r="BD111" i="12"/>
  <c r="AZ111" i="12"/>
  <c r="AV111" i="12"/>
  <c r="AS111" i="12"/>
  <c r="AL111" i="12"/>
  <c r="AD111" i="12"/>
  <c r="U111" i="12"/>
  <c r="V111" i="12"/>
  <c r="W111" i="12"/>
  <c r="X111" i="12"/>
  <c r="Y111" i="12"/>
  <c r="Z111" i="12"/>
  <c r="AA111" i="12"/>
  <c r="AB111" i="12"/>
  <c r="AC111" i="12"/>
  <c r="K111" i="12"/>
  <c r="CB111" i="13"/>
  <c r="BT111" i="13"/>
  <c r="BL111" i="13"/>
  <c r="BD111" i="13"/>
  <c r="AO111" i="13"/>
  <c r="AP111" i="13"/>
  <c r="AQ111" i="13"/>
  <c r="AR111" i="13"/>
  <c r="AS111" i="13"/>
  <c r="AT111" i="13"/>
  <c r="AU111" i="13"/>
  <c r="AV111" i="13"/>
  <c r="AF111" i="13"/>
  <c r="Z111" i="13"/>
  <c r="R111" i="13"/>
  <c r="J111" i="13"/>
  <c r="F111" i="20"/>
  <c r="X95" i="16"/>
  <c r="T95" i="16"/>
  <c r="P95" i="16"/>
  <c r="L95" i="16"/>
  <c r="G95" i="16"/>
  <c r="U13" i="7" l="1"/>
  <c r="I33" i="9"/>
  <c r="L12" i="7"/>
  <c r="M12" i="7"/>
  <c r="Q12" i="7"/>
  <c r="P12" i="7"/>
  <c r="O12" i="7"/>
  <c r="S12" i="7"/>
  <c r="AE111" i="10"/>
  <c r="D112" i="20"/>
  <c r="AD111" i="10"/>
  <c r="AD112" i="10"/>
  <c r="AC111" i="10"/>
  <c r="AC112" i="10"/>
  <c r="AB112" i="10"/>
  <c r="AB111" i="10"/>
  <c r="Y111" i="10"/>
  <c r="Y112" i="10"/>
  <c r="W111" i="10"/>
  <c r="W112" i="10"/>
  <c r="BD113" i="11"/>
  <c r="V112" i="10"/>
  <c r="BC113" i="11"/>
  <c r="V111" i="10"/>
  <c r="AP114" i="11"/>
  <c r="BE113" i="11"/>
  <c r="BG113" i="11"/>
  <c r="F111" i="10"/>
  <c r="F112" i="10"/>
  <c r="E112" i="10"/>
  <c r="E111" i="10"/>
  <c r="L111" i="20"/>
  <c r="D112" i="10"/>
  <c r="C112" i="10"/>
  <c r="C111" i="10"/>
  <c r="B112" i="10"/>
  <c r="B111" i="10"/>
  <c r="T111" i="10"/>
  <c r="T112" i="10"/>
  <c r="S112" i="10"/>
  <c r="S111" i="10"/>
  <c r="R112" i="10"/>
  <c r="R111" i="10"/>
  <c r="Q111" i="10"/>
  <c r="Q112" i="10"/>
  <c r="P111" i="10"/>
  <c r="P112" i="10"/>
  <c r="O111" i="10"/>
  <c r="O112" i="10"/>
  <c r="N111" i="10"/>
  <c r="E112" i="12"/>
  <c r="N112" i="10"/>
  <c r="E111" i="12"/>
  <c r="M111" i="10"/>
  <c r="M112" i="10"/>
  <c r="L112" i="10"/>
  <c r="I111" i="12"/>
  <c r="L111" i="10"/>
  <c r="I112" i="12"/>
  <c r="B113" i="12"/>
  <c r="J112" i="10"/>
  <c r="AZ113" i="11"/>
  <c r="J111" i="10"/>
  <c r="BA113" i="11"/>
  <c r="I112" i="13"/>
  <c r="H112" i="13"/>
  <c r="G112" i="13"/>
  <c r="F112" i="13"/>
  <c r="E112" i="13"/>
  <c r="D112" i="13"/>
  <c r="AA112" i="10"/>
  <c r="C112" i="13"/>
  <c r="I111" i="13"/>
  <c r="H111" i="13"/>
  <c r="G111" i="13"/>
  <c r="F111" i="13"/>
  <c r="E111" i="13"/>
  <c r="D111" i="13"/>
  <c r="C111" i="13"/>
  <c r="AA111" i="10"/>
  <c r="X112" i="10"/>
  <c r="X111" i="10"/>
  <c r="P113" i="20"/>
  <c r="N111" i="20"/>
  <c r="N112" i="20"/>
  <c r="K112" i="20"/>
  <c r="C112" i="20"/>
  <c r="AG112" i="11"/>
  <c r="L112" i="20"/>
  <c r="AE112" i="10"/>
  <c r="T112" i="12"/>
  <c r="AN112" i="13"/>
  <c r="D111" i="20"/>
  <c r="T111" i="12"/>
  <c r="AG111" i="11"/>
  <c r="D111" i="10"/>
  <c r="C111" i="20"/>
  <c r="K111" i="20"/>
  <c r="AN111" i="13"/>
  <c r="U12" i="7" l="1"/>
  <c r="BF111" i="11"/>
  <c r="BB112" i="11"/>
  <c r="BF112" i="11"/>
  <c r="CH112" i="12"/>
  <c r="H114" i="10"/>
  <c r="CG111" i="12"/>
  <c r="CG112" i="12"/>
  <c r="AV113" i="11"/>
  <c r="CC111" i="12"/>
  <c r="CE111" i="12"/>
  <c r="AT113" i="11"/>
  <c r="AQ113" i="11"/>
  <c r="CH111" i="12"/>
  <c r="CE112" i="12"/>
  <c r="AX113" i="11"/>
  <c r="AU113" i="11"/>
  <c r="CF111" i="12"/>
  <c r="CF112" i="12"/>
  <c r="B112" i="13"/>
  <c r="CC112" i="12"/>
  <c r="B111" i="13"/>
  <c r="M111" i="20"/>
  <c r="E112" i="20"/>
  <c r="G111" i="10"/>
  <c r="BB111" i="11"/>
  <c r="AY113" i="11"/>
  <c r="I113" i="10"/>
  <c r="K112" i="10"/>
  <c r="K111" i="10"/>
  <c r="AR113" i="11"/>
  <c r="CI112" i="12"/>
  <c r="CD112" i="12"/>
  <c r="Z112" i="10"/>
  <c r="CI111" i="12"/>
  <c r="CD111" i="12"/>
  <c r="Z111" i="10"/>
  <c r="M112" i="20"/>
  <c r="B112" i="20"/>
  <c r="J112" i="20"/>
  <c r="G112" i="10"/>
  <c r="E111" i="20"/>
  <c r="B111" i="20"/>
  <c r="J111" i="20"/>
  <c r="H33" i="9" l="1"/>
  <c r="AS111" i="11"/>
  <c r="AW112" i="11"/>
  <c r="AS112" i="11"/>
  <c r="AW111" i="11"/>
  <c r="G111" i="12"/>
  <c r="C111" i="12"/>
  <c r="F112" i="12"/>
  <c r="H111" i="12"/>
  <c r="G112" i="12"/>
  <c r="AP113" i="11"/>
  <c r="J111" i="12"/>
  <c r="C112" i="12"/>
  <c r="F111" i="12"/>
  <c r="U111" i="10"/>
  <c r="H112" i="12"/>
  <c r="U112" i="10"/>
  <c r="J112" i="12"/>
  <c r="CB112" i="12"/>
  <c r="CB111" i="12"/>
  <c r="O112" i="20"/>
  <c r="O111" i="20"/>
  <c r="I112" i="20"/>
  <c r="D112" i="12"/>
  <c r="D111" i="12"/>
  <c r="H112" i="20"/>
  <c r="H111" i="20"/>
  <c r="I111" i="20"/>
  <c r="F110" i="20"/>
  <c r="X94" i="16"/>
  <c r="T94" i="16"/>
  <c r="P94" i="16"/>
  <c r="L94" i="16"/>
  <c r="G94" i="16"/>
  <c r="B28" i="15"/>
  <c r="AH110" i="11"/>
  <c r="AI110" i="11"/>
  <c r="AJ110" i="11"/>
  <c r="AK110" i="11"/>
  <c r="AL110" i="11"/>
  <c r="AM110" i="11"/>
  <c r="AN110" i="11"/>
  <c r="AO110" i="11"/>
  <c r="Z110" i="11"/>
  <c r="X110" i="11"/>
  <c r="P110" i="11"/>
  <c r="H110" i="11"/>
  <c r="B110" i="11"/>
  <c r="BT110" i="12"/>
  <c r="BK110" i="12"/>
  <c r="BH110" i="12"/>
  <c r="BD110" i="12"/>
  <c r="AZ110" i="12"/>
  <c r="AV110" i="12"/>
  <c r="AS110" i="12"/>
  <c r="AL110" i="12"/>
  <c r="AD110" i="12"/>
  <c r="U110" i="12"/>
  <c r="V110" i="12"/>
  <c r="W110" i="12"/>
  <c r="X110" i="12"/>
  <c r="Y110" i="12"/>
  <c r="Z110" i="12"/>
  <c r="AA110" i="12"/>
  <c r="AB110" i="12"/>
  <c r="AC110" i="12"/>
  <c r="K110" i="12"/>
  <c r="CB110" i="13"/>
  <c r="BT110" i="13"/>
  <c r="BL110" i="13"/>
  <c r="BD110" i="13"/>
  <c r="AO110" i="13"/>
  <c r="AP110" i="13"/>
  <c r="AQ110" i="13"/>
  <c r="AR110" i="13"/>
  <c r="AS110" i="13"/>
  <c r="AT110" i="13"/>
  <c r="AU110" i="13"/>
  <c r="AV110" i="13"/>
  <c r="AF110" i="13"/>
  <c r="Z110" i="13"/>
  <c r="R110" i="13"/>
  <c r="J110" i="13"/>
  <c r="G31" i="14"/>
  <c r="F109" i="20"/>
  <c r="AH109" i="11"/>
  <c r="AI109" i="11"/>
  <c r="AJ109" i="11"/>
  <c r="AK109" i="11"/>
  <c r="AL109" i="11"/>
  <c r="AM109" i="11"/>
  <c r="AN109" i="11"/>
  <c r="AO109" i="11"/>
  <c r="Z109" i="11"/>
  <c r="X109" i="11"/>
  <c r="P109" i="11"/>
  <c r="H109" i="11"/>
  <c r="B109" i="11"/>
  <c r="BT109" i="12"/>
  <c r="BK109" i="12"/>
  <c r="BH109" i="12"/>
  <c r="BD109" i="12"/>
  <c r="AZ109" i="12"/>
  <c r="AV109" i="12"/>
  <c r="AS109" i="12"/>
  <c r="AL109" i="12"/>
  <c r="U109" i="12"/>
  <c r="V109" i="12"/>
  <c r="W109" i="12"/>
  <c r="X109" i="12"/>
  <c r="Y109" i="12"/>
  <c r="Z109" i="12"/>
  <c r="AA109" i="12"/>
  <c r="AB109" i="12"/>
  <c r="AC109" i="12"/>
  <c r="AD109" i="12"/>
  <c r="K109" i="12"/>
  <c r="BT109" i="13"/>
  <c r="BL109" i="13"/>
  <c r="BD109" i="13"/>
  <c r="AO109" i="13"/>
  <c r="AP109" i="13"/>
  <c r="AQ109" i="13"/>
  <c r="AR109" i="13"/>
  <c r="AS109" i="13"/>
  <c r="AT109" i="13"/>
  <c r="AU109" i="13"/>
  <c r="AV109" i="13"/>
  <c r="AF109" i="13"/>
  <c r="Z109" i="13"/>
  <c r="R109" i="13"/>
  <c r="J109" i="13"/>
  <c r="CB109" i="13"/>
  <c r="C27" i="15"/>
  <c r="D27" i="15"/>
  <c r="E27" i="15"/>
  <c r="F27" i="15"/>
  <c r="H27" i="15"/>
  <c r="I27" i="15"/>
  <c r="J27" i="15"/>
  <c r="K27" i="15"/>
  <c r="M27" i="15"/>
  <c r="N27" i="15"/>
  <c r="O27" i="15"/>
  <c r="Q27" i="15"/>
  <c r="R27" i="15"/>
  <c r="S27" i="15"/>
  <c r="U27" i="15"/>
  <c r="V27" i="15"/>
  <c r="W27" i="15"/>
  <c r="Y27" i="15"/>
  <c r="Z27" i="15"/>
  <c r="AA27" i="15"/>
  <c r="X93" i="16"/>
  <c r="T93" i="16"/>
  <c r="P93" i="16"/>
  <c r="L93" i="16"/>
  <c r="G93" i="16"/>
  <c r="F108" i="20"/>
  <c r="C11" i="7" l="1"/>
  <c r="E11" i="7"/>
  <c r="I11" i="7"/>
  <c r="F11" i="7"/>
  <c r="B11" i="7"/>
  <c r="G11" i="7"/>
  <c r="D11" i="7"/>
  <c r="H11" i="7"/>
  <c r="D15" i="7"/>
  <c r="J15" i="7"/>
  <c r="I15" i="7"/>
  <c r="H15" i="7"/>
  <c r="E15" i="7"/>
  <c r="G15" i="7"/>
  <c r="B15" i="7"/>
  <c r="C15" i="7"/>
  <c r="F15" i="7"/>
  <c r="I30" i="7"/>
  <c r="J30" i="7"/>
  <c r="G30" i="7"/>
  <c r="F30" i="7"/>
  <c r="C30" i="7"/>
  <c r="B30" i="7"/>
  <c r="E30" i="7"/>
  <c r="P112" i="20"/>
  <c r="BG112" i="11"/>
  <c r="BE111" i="11"/>
  <c r="BE112" i="11"/>
  <c r="H113" i="10"/>
  <c r="BD112" i="11"/>
  <c r="AZ111" i="11"/>
  <c r="BG111" i="11"/>
  <c r="BC112" i="11"/>
  <c r="BC111" i="11"/>
  <c r="AZ112" i="11"/>
  <c r="BD111" i="11"/>
  <c r="X28" i="15"/>
  <c r="P28" i="15"/>
  <c r="G28" i="15"/>
  <c r="T28" i="15"/>
  <c r="L28" i="15"/>
  <c r="F32" i="14"/>
  <c r="P111" i="20"/>
  <c r="BA112" i="11"/>
  <c r="B112" i="12"/>
  <c r="BA111" i="11"/>
  <c r="B111" i="12"/>
  <c r="AE110" i="10"/>
  <c r="AD110" i="10"/>
  <c r="AC110" i="10"/>
  <c r="AB110" i="10"/>
  <c r="G110" i="13"/>
  <c r="F110" i="13"/>
  <c r="E110" i="13"/>
  <c r="D110" i="13"/>
  <c r="C110" i="13"/>
  <c r="AA110" i="10"/>
  <c r="I110" i="13"/>
  <c r="H110" i="13"/>
  <c r="Y110" i="10"/>
  <c r="X110" i="10"/>
  <c r="W110" i="10"/>
  <c r="V110" i="10"/>
  <c r="T110" i="10"/>
  <c r="S110" i="10"/>
  <c r="R110" i="10"/>
  <c r="Q110" i="10"/>
  <c r="P110" i="10"/>
  <c r="O110" i="10"/>
  <c r="E110" i="12"/>
  <c r="N110" i="10"/>
  <c r="M110" i="10"/>
  <c r="L110" i="10"/>
  <c r="I110" i="12"/>
  <c r="J110" i="10"/>
  <c r="F110" i="10"/>
  <c r="N110" i="20"/>
  <c r="L110" i="20"/>
  <c r="C110" i="10"/>
  <c r="B110" i="10"/>
  <c r="K110" i="20"/>
  <c r="C110" i="20"/>
  <c r="D110" i="20"/>
  <c r="E110" i="10"/>
  <c r="D110" i="10"/>
  <c r="T110" i="12"/>
  <c r="AN110" i="13"/>
  <c r="AG110" i="11"/>
  <c r="F109" i="10"/>
  <c r="E109" i="10"/>
  <c r="D109" i="10"/>
  <c r="K109" i="20"/>
  <c r="B109" i="10"/>
  <c r="T109" i="10"/>
  <c r="S109" i="10"/>
  <c r="R109" i="10"/>
  <c r="Q109" i="10"/>
  <c r="P109" i="10"/>
  <c r="O109" i="10"/>
  <c r="E109" i="12"/>
  <c r="N109" i="10"/>
  <c r="M109" i="10"/>
  <c r="I109" i="12"/>
  <c r="L109" i="10"/>
  <c r="J109" i="10"/>
  <c r="D109" i="20"/>
  <c r="AD109" i="10"/>
  <c r="AC109" i="10"/>
  <c r="AB109" i="10"/>
  <c r="H109" i="13"/>
  <c r="G109" i="13"/>
  <c r="C109" i="13"/>
  <c r="AA109" i="10"/>
  <c r="D109" i="13"/>
  <c r="I109" i="13"/>
  <c r="F109" i="13"/>
  <c r="E109" i="13"/>
  <c r="Y109" i="10"/>
  <c r="X109" i="10"/>
  <c r="W109" i="10"/>
  <c r="V109" i="10"/>
  <c r="C109" i="10"/>
  <c r="C109" i="20"/>
  <c r="L109" i="20"/>
  <c r="AG109" i="11"/>
  <c r="N109" i="20"/>
  <c r="T109" i="12"/>
  <c r="AE109" i="10"/>
  <c r="AN109" i="13"/>
  <c r="AN108" i="11"/>
  <c r="AO108" i="11"/>
  <c r="AH108" i="11"/>
  <c r="AI108" i="11"/>
  <c r="AJ108" i="11"/>
  <c r="AK108" i="11"/>
  <c r="AL108" i="11"/>
  <c r="AM108" i="11"/>
  <c r="Z108" i="11"/>
  <c r="X108" i="11"/>
  <c r="P108" i="11"/>
  <c r="H108" i="11"/>
  <c r="B108" i="11"/>
  <c r="BT108" i="12"/>
  <c r="BK108" i="12"/>
  <c r="BH108" i="12"/>
  <c r="BD108" i="12"/>
  <c r="AZ108" i="12"/>
  <c r="AV108" i="12"/>
  <c r="AS108" i="12"/>
  <c r="AL108" i="12"/>
  <c r="AD108" i="12"/>
  <c r="U108" i="12"/>
  <c r="V108" i="12"/>
  <c r="W108" i="12"/>
  <c r="X108" i="12"/>
  <c r="Y108" i="12"/>
  <c r="Z108" i="12"/>
  <c r="AA108" i="12"/>
  <c r="AB108" i="12"/>
  <c r="AC108" i="12"/>
  <c r="K108" i="12"/>
  <c r="CB108" i="13"/>
  <c r="BT108" i="13"/>
  <c r="BL108" i="13"/>
  <c r="BD108" i="13"/>
  <c r="AO108" i="13"/>
  <c r="AP108" i="13"/>
  <c r="AQ108" i="13"/>
  <c r="AR108" i="13"/>
  <c r="AS108" i="13"/>
  <c r="AT108" i="13"/>
  <c r="AU108" i="13"/>
  <c r="AV108" i="13"/>
  <c r="AF108" i="13"/>
  <c r="Z108" i="13"/>
  <c r="R108" i="13"/>
  <c r="J108" i="13"/>
  <c r="X92" i="16"/>
  <c r="T92" i="16"/>
  <c r="P92" i="16"/>
  <c r="L92" i="16"/>
  <c r="G92" i="16"/>
  <c r="B25" i="7" l="1"/>
  <c r="J25" i="7"/>
  <c r="C25" i="7"/>
  <c r="E25" i="7"/>
  <c r="I25" i="7"/>
  <c r="F25" i="7"/>
  <c r="G25" i="7"/>
  <c r="D32" i="14"/>
  <c r="AE32" i="9"/>
  <c r="AD32" i="9"/>
  <c r="AC32" i="9"/>
  <c r="AB32" i="9"/>
  <c r="Y32" i="9"/>
  <c r="W32" i="9"/>
  <c r="AU111" i="11"/>
  <c r="AV112" i="11"/>
  <c r="AV111" i="11"/>
  <c r="AQ111" i="11"/>
  <c r="AU112" i="11"/>
  <c r="V32" i="9"/>
  <c r="AX111" i="11"/>
  <c r="AQ112" i="11"/>
  <c r="AX112" i="11"/>
  <c r="AT111" i="11"/>
  <c r="AT112" i="11"/>
  <c r="F32" i="9"/>
  <c r="E32" i="9"/>
  <c r="N32" i="14"/>
  <c r="L32" i="14"/>
  <c r="D32" i="9"/>
  <c r="C32" i="9"/>
  <c r="K32" i="14"/>
  <c r="C32" i="14"/>
  <c r="B32" i="9"/>
  <c r="T32" i="9"/>
  <c r="S32" i="9"/>
  <c r="R32" i="9"/>
  <c r="Q32" i="9"/>
  <c r="P32" i="9"/>
  <c r="O32" i="9"/>
  <c r="N32" i="9"/>
  <c r="M32" i="9"/>
  <c r="L32" i="9"/>
  <c r="BF110" i="11"/>
  <c r="J32" i="9"/>
  <c r="BB110" i="11"/>
  <c r="AY112" i="11"/>
  <c r="I112" i="10"/>
  <c r="AR112" i="11"/>
  <c r="I111" i="10"/>
  <c r="AY111" i="11"/>
  <c r="AR111" i="11"/>
  <c r="AA32" i="9"/>
  <c r="X32" i="9"/>
  <c r="CF110" i="12"/>
  <c r="CH110" i="12"/>
  <c r="CG110" i="12"/>
  <c r="CD110" i="12"/>
  <c r="CE110" i="12"/>
  <c r="B110" i="13"/>
  <c r="CC110" i="12"/>
  <c r="CI110" i="12"/>
  <c r="Z110" i="10"/>
  <c r="CD109" i="12"/>
  <c r="CG109" i="12"/>
  <c r="CH109" i="12"/>
  <c r="K110" i="10"/>
  <c r="BF109" i="11"/>
  <c r="M110" i="20"/>
  <c r="E110" i="20"/>
  <c r="G110" i="10"/>
  <c r="B110" i="20"/>
  <c r="J110" i="20"/>
  <c r="F108" i="10"/>
  <c r="B108" i="10"/>
  <c r="T108" i="10"/>
  <c r="BB109" i="11"/>
  <c r="S108" i="10"/>
  <c r="R108" i="10"/>
  <c r="Q108" i="10"/>
  <c r="P108" i="10"/>
  <c r="O108" i="10"/>
  <c r="E108" i="12"/>
  <c r="N108" i="10"/>
  <c r="M108" i="10"/>
  <c r="K109" i="10"/>
  <c r="L108" i="10"/>
  <c r="I108" i="12"/>
  <c r="J108" i="10"/>
  <c r="M109" i="20"/>
  <c r="E109" i="20"/>
  <c r="AD108" i="10"/>
  <c r="CC109" i="12"/>
  <c r="AC108" i="10"/>
  <c r="CI109" i="12"/>
  <c r="CF109" i="12"/>
  <c r="AB108" i="10"/>
  <c r="B109" i="13"/>
  <c r="AA108" i="10"/>
  <c r="I108" i="13"/>
  <c r="CE109" i="12"/>
  <c r="H108" i="13"/>
  <c r="G108" i="13"/>
  <c r="F108" i="13"/>
  <c r="Z109" i="10"/>
  <c r="D108" i="13"/>
  <c r="E108" i="13"/>
  <c r="C108" i="13"/>
  <c r="Y108" i="10"/>
  <c r="X108" i="10"/>
  <c r="W108" i="10"/>
  <c r="V108" i="10"/>
  <c r="G109" i="10"/>
  <c r="J109" i="20"/>
  <c r="B109" i="20"/>
  <c r="E108" i="10"/>
  <c r="N108" i="20"/>
  <c r="D108" i="10"/>
  <c r="L108" i="20"/>
  <c r="C108" i="10"/>
  <c r="K108" i="20"/>
  <c r="C108" i="20"/>
  <c r="D108" i="20"/>
  <c r="AE108" i="10"/>
  <c r="T108" i="12"/>
  <c r="AN108" i="13"/>
  <c r="AG108" i="11"/>
  <c r="F107" i="20"/>
  <c r="H13" i="7" l="1"/>
  <c r="D13" i="7"/>
  <c r="AW110" i="11"/>
  <c r="M32" i="14"/>
  <c r="E32" i="14"/>
  <c r="B32" i="14"/>
  <c r="J32" i="14"/>
  <c r="G32" i="9"/>
  <c r="K32" i="9"/>
  <c r="AS110" i="11"/>
  <c r="AP112" i="11"/>
  <c r="AP111" i="11"/>
  <c r="Z32" i="9"/>
  <c r="G110" i="12"/>
  <c r="J110" i="12"/>
  <c r="H110" i="12"/>
  <c r="D110" i="12"/>
  <c r="C110" i="12"/>
  <c r="J109" i="12"/>
  <c r="U110" i="10"/>
  <c r="CB110" i="12"/>
  <c r="F110" i="12"/>
  <c r="H109" i="12"/>
  <c r="D109" i="12"/>
  <c r="F109" i="12"/>
  <c r="C109" i="12"/>
  <c r="CE108" i="12"/>
  <c r="CI108" i="12"/>
  <c r="CF108" i="12"/>
  <c r="AW109" i="11"/>
  <c r="AS109" i="11"/>
  <c r="BF108" i="11"/>
  <c r="O110" i="20"/>
  <c r="H110" i="20"/>
  <c r="I110" i="20"/>
  <c r="J108" i="20"/>
  <c r="BB108" i="11"/>
  <c r="K108" i="10"/>
  <c r="O109" i="20"/>
  <c r="G109" i="12"/>
  <c r="CB109" i="12"/>
  <c r="CH108" i="12"/>
  <c r="CD108" i="12"/>
  <c r="U109" i="10"/>
  <c r="CG108" i="12"/>
  <c r="B108" i="13"/>
  <c r="CC108" i="12"/>
  <c r="Z108" i="10"/>
  <c r="H109" i="20"/>
  <c r="I109" i="20"/>
  <c r="M108" i="20"/>
  <c r="E108" i="20"/>
  <c r="B108" i="20"/>
  <c r="G108" i="10"/>
  <c r="AH107" i="11"/>
  <c r="AI107" i="11"/>
  <c r="AJ107" i="11"/>
  <c r="AK107" i="11"/>
  <c r="AL107" i="11"/>
  <c r="AM107" i="11"/>
  <c r="AN107" i="11"/>
  <c r="AO107" i="11"/>
  <c r="Z107" i="11"/>
  <c r="X107" i="11"/>
  <c r="P107" i="11"/>
  <c r="H107" i="11"/>
  <c r="B107" i="11"/>
  <c r="BT107" i="12"/>
  <c r="BK107" i="12"/>
  <c r="BH107" i="12"/>
  <c r="BD107" i="12"/>
  <c r="AZ107" i="12"/>
  <c r="AV107" i="12"/>
  <c r="AS107" i="12"/>
  <c r="AL107" i="12"/>
  <c r="U107" i="12"/>
  <c r="V107" i="12"/>
  <c r="W107" i="12"/>
  <c r="X107" i="12"/>
  <c r="Y107" i="12"/>
  <c r="Z107" i="12"/>
  <c r="AA107" i="12"/>
  <c r="AB107" i="12"/>
  <c r="AC107" i="12"/>
  <c r="AD107" i="12"/>
  <c r="K107" i="12"/>
  <c r="BT107" i="13"/>
  <c r="BL107" i="13"/>
  <c r="BD107" i="13"/>
  <c r="AO107" i="13"/>
  <c r="AP107" i="13"/>
  <c r="AQ107" i="13"/>
  <c r="AR107" i="13"/>
  <c r="AS107" i="13"/>
  <c r="AT107" i="13"/>
  <c r="AU107" i="13"/>
  <c r="AV107" i="13"/>
  <c r="AF107" i="13"/>
  <c r="Z107" i="13"/>
  <c r="R107" i="13"/>
  <c r="J107" i="13"/>
  <c r="CB107" i="13"/>
  <c r="X91" i="16"/>
  <c r="T91" i="16"/>
  <c r="P91" i="16"/>
  <c r="L91" i="16"/>
  <c r="G91" i="16"/>
  <c r="F106" i="20"/>
  <c r="AH106" i="11"/>
  <c r="AI106" i="11"/>
  <c r="AJ106" i="11"/>
  <c r="AK106" i="11"/>
  <c r="AL106" i="11"/>
  <c r="AM106" i="11"/>
  <c r="AN106" i="11"/>
  <c r="AO106" i="11"/>
  <c r="Z106" i="11"/>
  <c r="X106" i="11"/>
  <c r="P106" i="11"/>
  <c r="H106" i="11"/>
  <c r="B106" i="11"/>
  <c r="BT106" i="12"/>
  <c r="BK106" i="12"/>
  <c r="BH106" i="12"/>
  <c r="BD106" i="12"/>
  <c r="AZ106" i="12"/>
  <c r="AV106" i="12"/>
  <c r="AS106" i="12"/>
  <c r="AL106" i="12"/>
  <c r="AD106" i="12"/>
  <c r="U106" i="12"/>
  <c r="V106" i="12"/>
  <c r="W106" i="12"/>
  <c r="X106" i="12"/>
  <c r="Y106" i="12"/>
  <c r="Z106" i="12"/>
  <c r="AA106" i="12"/>
  <c r="AB106" i="12"/>
  <c r="AC106" i="12"/>
  <c r="K106" i="12"/>
  <c r="BT106" i="13"/>
  <c r="BL106" i="13"/>
  <c r="BD106" i="13"/>
  <c r="AO106" i="13"/>
  <c r="AP106" i="13"/>
  <c r="AQ106" i="13"/>
  <c r="AR106" i="13"/>
  <c r="AS106" i="13"/>
  <c r="AT106" i="13"/>
  <c r="AU106" i="13"/>
  <c r="AV106" i="13"/>
  <c r="AF106" i="13"/>
  <c r="Z106" i="13"/>
  <c r="R106" i="13"/>
  <c r="J106" i="13"/>
  <c r="CB106" i="13"/>
  <c r="D12" i="7" l="1"/>
  <c r="H12" i="7"/>
  <c r="H32" i="14"/>
  <c r="I32" i="14"/>
  <c r="O32" i="14"/>
  <c r="P32" i="14" s="1"/>
  <c r="H112" i="10"/>
  <c r="H111" i="10"/>
  <c r="BA110" i="11"/>
  <c r="BG110" i="11"/>
  <c r="BE110" i="11"/>
  <c r="BD110" i="11"/>
  <c r="U32" i="9"/>
  <c r="AW108" i="11"/>
  <c r="B110" i="12"/>
  <c r="BG109" i="11"/>
  <c r="BC109" i="11"/>
  <c r="J108" i="12"/>
  <c r="AZ110" i="11"/>
  <c r="BA109" i="11"/>
  <c r="BE109" i="11"/>
  <c r="AZ109" i="11"/>
  <c r="F108" i="12"/>
  <c r="BC110" i="11"/>
  <c r="G108" i="12"/>
  <c r="AS108" i="11"/>
  <c r="BD109" i="11"/>
  <c r="P110" i="20"/>
  <c r="O108" i="20"/>
  <c r="E107" i="12"/>
  <c r="B109" i="12"/>
  <c r="F31" i="14"/>
  <c r="P109" i="20"/>
  <c r="D108" i="12"/>
  <c r="D107" i="20"/>
  <c r="H108" i="12"/>
  <c r="CB108" i="12"/>
  <c r="U108" i="10"/>
  <c r="C108" i="12"/>
  <c r="I107" i="13"/>
  <c r="H107" i="13"/>
  <c r="I108" i="20"/>
  <c r="H108" i="20"/>
  <c r="F107" i="10"/>
  <c r="N107" i="20"/>
  <c r="E107" i="10"/>
  <c r="D107" i="10"/>
  <c r="L107" i="20"/>
  <c r="K107" i="20"/>
  <c r="C107" i="10"/>
  <c r="B107" i="10"/>
  <c r="C107" i="20"/>
  <c r="T107" i="10"/>
  <c r="S107" i="10"/>
  <c r="R107" i="10"/>
  <c r="Q107" i="10"/>
  <c r="P107" i="10"/>
  <c r="O107" i="10"/>
  <c r="N107" i="10"/>
  <c r="M107" i="10"/>
  <c r="L107" i="10"/>
  <c r="I107" i="12"/>
  <c r="J107" i="10"/>
  <c r="X107" i="10"/>
  <c r="Y107" i="10"/>
  <c r="G107" i="13"/>
  <c r="AE107" i="10"/>
  <c r="E107" i="13"/>
  <c r="AD107" i="10"/>
  <c r="AC107" i="10"/>
  <c r="AB107" i="10"/>
  <c r="F107" i="13"/>
  <c r="D107" i="13"/>
  <c r="C107" i="13"/>
  <c r="AA107" i="10"/>
  <c r="W107" i="10"/>
  <c r="V107" i="10"/>
  <c r="AG107" i="11"/>
  <c r="T107" i="12"/>
  <c r="AN107" i="13"/>
  <c r="F106" i="10"/>
  <c r="N106" i="20"/>
  <c r="L106" i="20"/>
  <c r="C106" i="10"/>
  <c r="B106" i="10"/>
  <c r="T106" i="10"/>
  <c r="S106" i="10"/>
  <c r="R106" i="10"/>
  <c r="Q106" i="10"/>
  <c r="P106" i="10"/>
  <c r="O106" i="10"/>
  <c r="E106" i="12"/>
  <c r="N106" i="10"/>
  <c r="M106" i="10"/>
  <c r="L106" i="10"/>
  <c r="I106" i="12"/>
  <c r="J106" i="10"/>
  <c r="AE106" i="10"/>
  <c r="AD106" i="10"/>
  <c r="AC106" i="10"/>
  <c r="AB106" i="10"/>
  <c r="I106" i="13"/>
  <c r="F106" i="13"/>
  <c r="AA106" i="10"/>
  <c r="G106" i="13"/>
  <c r="E106" i="13"/>
  <c r="H106" i="13"/>
  <c r="D106" i="13"/>
  <c r="Y106" i="10"/>
  <c r="X106" i="10"/>
  <c r="W106" i="10"/>
  <c r="V106" i="10"/>
  <c r="C106" i="20"/>
  <c r="K106" i="20"/>
  <c r="D106" i="20"/>
  <c r="E106" i="10"/>
  <c r="D106" i="10"/>
  <c r="AG106" i="11"/>
  <c r="T106" i="12"/>
  <c r="AN106" i="13"/>
  <c r="C106" i="13"/>
  <c r="F13" i="7" l="1"/>
  <c r="G13" i="7"/>
  <c r="E13" i="7"/>
  <c r="I13" i="7"/>
  <c r="C13" i="7"/>
  <c r="B13" i="7"/>
  <c r="K15" i="7"/>
  <c r="AX110" i="11"/>
  <c r="AV110" i="11"/>
  <c r="AR110" i="11"/>
  <c r="AU110" i="11"/>
  <c r="I110" i="10"/>
  <c r="BG108" i="11"/>
  <c r="K30" i="7"/>
  <c r="K11" i="7"/>
  <c r="P108" i="20"/>
  <c r="AT109" i="11"/>
  <c r="AX109" i="11"/>
  <c r="AR109" i="11"/>
  <c r="AY110" i="11"/>
  <c r="BD108" i="11"/>
  <c r="AQ110" i="11"/>
  <c r="AV109" i="11"/>
  <c r="AQ109" i="11"/>
  <c r="BC108" i="11"/>
  <c r="AT110" i="11"/>
  <c r="I109" i="10"/>
  <c r="AU109" i="11"/>
  <c r="BE108" i="11"/>
  <c r="BB107" i="11"/>
  <c r="BA108" i="11"/>
  <c r="F31" i="9"/>
  <c r="E31" i="9"/>
  <c r="D31" i="9"/>
  <c r="C31" i="9"/>
  <c r="B31" i="9"/>
  <c r="T31" i="9"/>
  <c r="P31" i="9"/>
  <c r="O31" i="9"/>
  <c r="N31" i="9"/>
  <c r="AY109" i="11"/>
  <c r="M31" i="9"/>
  <c r="AZ108" i="11"/>
  <c r="B108" i="12"/>
  <c r="BF107" i="11"/>
  <c r="N31" i="14"/>
  <c r="K31" i="14"/>
  <c r="C31" i="14"/>
  <c r="D31" i="14"/>
  <c r="AD31" i="9"/>
  <c r="AC31" i="9"/>
  <c r="CI107" i="12"/>
  <c r="AB31" i="9"/>
  <c r="CH107" i="12"/>
  <c r="Y31" i="9"/>
  <c r="X31" i="9"/>
  <c r="CG107" i="12"/>
  <c r="CE107" i="12"/>
  <c r="W31" i="9"/>
  <c r="L31" i="14"/>
  <c r="AE31" i="9"/>
  <c r="J31" i="9"/>
  <c r="V31" i="9"/>
  <c r="R31" i="9"/>
  <c r="L31" i="9"/>
  <c r="S31" i="9"/>
  <c r="Q31" i="9"/>
  <c r="AA31" i="9"/>
  <c r="M107" i="20"/>
  <c r="E107" i="20"/>
  <c r="B107" i="20"/>
  <c r="J107" i="20"/>
  <c r="K107" i="10"/>
  <c r="BF106" i="11"/>
  <c r="BB106" i="11"/>
  <c r="CF107" i="12"/>
  <c r="CD107" i="12"/>
  <c r="Z107" i="10"/>
  <c r="CC107" i="12"/>
  <c r="B107" i="13"/>
  <c r="CG106" i="12"/>
  <c r="CF106" i="12"/>
  <c r="CI106" i="12"/>
  <c r="CD106" i="12"/>
  <c r="G107" i="10"/>
  <c r="M106" i="20"/>
  <c r="K106" i="10"/>
  <c r="E106" i="20"/>
  <c r="CH106" i="12"/>
  <c r="CE106" i="12"/>
  <c r="Z106" i="10"/>
  <c r="B106" i="13"/>
  <c r="CC106" i="12"/>
  <c r="B106" i="20"/>
  <c r="J106" i="20"/>
  <c r="G106" i="10"/>
  <c r="B12" i="7" l="1"/>
  <c r="I12" i="7"/>
  <c r="E12" i="7"/>
  <c r="F12" i="7"/>
  <c r="C12" i="7"/>
  <c r="G12" i="7"/>
  <c r="AX108" i="11"/>
  <c r="I32" i="9"/>
  <c r="K25" i="7"/>
  <c r="AT108" i="11"/>
  <c r="AU108" i="11"/>
  <c r="AP110" i="11"/>
  <c r="AS107" i="11"/>
  <c r="AV108" i="11"/>
  <c r="AP109" i="11"/>
  <c r="AW107" i="11"/>
  <c r="AQ108" i="11"/>
  <c r="AR108" i="11"/>
  <c r="AY108" i="11"/>
  <c r="I108" i="10"/>
  <c r="B31" i="14"/>
  <c r="J107" i="12"/>
  <c r="F107" i="12"/>
  <c r="G107" i="12"/>
  <c r="D107" i="12"/>
  <c r="H107" i="12"/>
  <c r="M31" i="14"/>
  <c r="E31" i="14"/>
  <c r="J31" i="14"/>
  <c r="AW106" i="11"/>
  <c r="Z31" i="9"/>
  <c r="G31" i="9"/>
  <c r="K31" i="9"/>
  <c r="O107" i="20"/>
  <c r="H107" i="20"/>
  <c r="I107" i="20"/>
  <c r="AS106" i="11"/>
  <c r="CB107" i="12"/>
  <c r="U107" i="10"/>
  <c r="D106" i="12"/>
  <c r="C107" i="12"/>
  <c r="G106" i="12"/>
  <c r="F106" i="12"/>
  <c r="J106" i="12"/>
  <c r="H106" i="12"/>
  <c r="O106" i="20"/>
  <c r="H106" i="20"/>
  <c r="C106" i="12"/>
  <c r="U106" i="10"/>
  <c r="CB106" i="12"/>
  <c r="X90" i="16"/>
  <c r="T90" i="16"/>
  <c r="P90" i="16"/>
  <c r="L90" i="16"/>
  <c r="G90" i="16"/>
  <c r="X89" i="16"/>
  <c r="T89" i="16"/>
  <c r="P89" i="16"/>
  <c r="L89" i="16"/>
  <c r="G89" i="16"/>
  <c r="H109" i="10" l="1"/>
  <c r="H110" i="10"/>
  <c r="X27" i="15"/>
  <c r="T27" i="15"/>
  <c r="P27" i="15"/>
  <c r="L27" i="15"/>
  <c r="G27" i="15"/>
  <c r="B27" i="15"/>
  <c r="H31" i="14"/>
  <c r="I31" i="14"/>
  <c r="AP108" i="11"/>
  <c r="BG107" i="11"/>
  <c r="BC107" i="11"/>
  <c r="BE107" i="11"/>
  <c r="BA107" i="11"/>
  <c r="BD107" i="11"/>
  <c r="O31" i="14"/>
  <c r="P31" i="14" s="1"/>
  <c r="U31" i="9"/>
  <c r="P107" i="20"/>
  <c r="BA106" i="11"/>
  <c r="BD106" i="11"/>
  <c r="AZ107" i="11"/>
  <c r="B107" i="12"/>
  <c r="BC106" i="11"/>
  <c r="BE106" i="11"/>
  <c r="BG106" i="11"/>
  <c r="P106" i="20"/>
  <c r="B106" i="12"/>
  <c r="AZ106" i="11"/>
  <c r="I106" i="20"/>
  <c r="F105" i="20"/>
  <c r="H32" i="9" l="1"/>
  <c r="H108" i="10"/>
  <c r="AV107" i="11"/>
  <c r="AX107" i="11"/>
  <c r="AT107" i="11"/>
  <c r="AR107" i="11"/>
  <c r="AY106" i="11"/>
  <c r="AU107" i="11"/>
  <c r="AR106" i="11"/>
  <c r="AU106" i="11"/>
  <c r="AT106" i="11"/>
  <c r="AY107" i="11"/>
  <c r="I107" i="10"/>
  <c r="AQ107" i="11"/>
  <c r="I106" i="10"/>
  <c r="AX106" i="11"/>
  <c r="AQ106" i="11"/>
  <c r="AV106" i="11"/>
  <c r="AH105" i="11"/>
  <c r="AI105" i="11"/>
  <c r="AJ105" i="11"/>
  <c r="AK105" i="11"/>
  <c r="AL105" i="11"/>
  <c r="AM105" i="11"/>
  <c r="AN105" i="11"/>
  <c r="AO105" i="11"/>
  <c r="Z105" i="11"/>
  <c r="X105" i="11"/>
  <c r="P105" i="11"/>
  <c r="H105" i="11"/>
  <c r="B105" i="11"/>
  <c r="BT105" i="12"/>
  <c r="BK105" i="12"/>
  <c r="BH105" i="12"/>
  <c r="BD105" i="12"/>
  <c r="AZ105" i="12"/>
  <c r="AV105" i="12"/>
  <c r="AS105" i="12"/>
  <c r="AL105" i="12"/>
  <c r="AD105" i="12"/>
  <c r="U105" i="12"/>
  <c r="V105" i="12"/>
  <c r="W105" i="12"/>
  <c r="X105" i="12"/>
  <c r="Y105" i="12"/>
  <c r="Z105" i="12"/>
  <c r="AA105" i="12"/>
  <c r="AB105" i="12"/>
  <c r="AC105" i="12"/>
  <c r="K105" i="12"/>
  <c r="BT105" i="13"/>
  <c r="BL105" i="13"/>
  <c r="BD105" i="13"/>
  <c r="AO105" i="13"/>
  <c r="AP105" i="13"/>
  <c r="AQ105" i="13"/>
  <c r="AR105" i="13"/>
  <c r="AS105" i="13"/>
  <c r="AT105" i="13"/>
  <c r="AU105" i="13"/>
  <c r="AV105" i="13"/>
  <c r="AF105" i="13"/>
  <c r="Z105" i="13"/>
  <c r="R105" i="13"/>
  <c r="J105" i="13"/>
  <c r="CB105" i="13"/>
  <c r="G30" i="14"/>
  <c r="C26" i="15"/>
  <c r="D26" i="15"/>
  <c r="E26" i="15"/>
  <c r="F26" i="15"/>
  <c r="H26" i="15"/>
  <c r="I26" i="15"/>
  <c r="J26" i="15"/>
  <c r="K26" i="15"/>
  <c r="M26" i="15"/>
  <c r="N26" i="15"/>
  <c r="O26" i="15"/>
  <c r="Q26" i="15"/>
  <c r="R26" i="15"/>
  <c r="S26" i="15"/>
  <c r="U26" i="15"/>
  <c r="V26" i="15"/>
  <c r="W26" i="15"/>
  <c r="Y26" i="15"/>
  <c r="Z26" i="15"/>
  <c r="AA26" i="15"/>
  <c r="F104" i="20"/>
  <c r="B104" i="11"/>
  <c r="H104" i="11"/>
  <c r="P104" i="11"/>
  <c r="X104" i="11"/>
  <c r="Z104" i="11"/>
  <c r="AH104" i="11"/>
  <c r="AI104" i="11"/>
  <c r="AJ104" i="11"/>
  <c r="AK104" i="11"/>
  <c r="AL104" i="11"/>
  <c r="AM104" i="11"/>
  <c r="AN104" i="11"/>
  <c r="AO104" i="11"/>
  <c r="K104" i="12"/>
  <c r="U104" i="12"/>
  <c r="V104" i="12"/>
  <c r="W104" i="12"/>
  <c r="X104" i="12"/>
  <c r="Y104" i="12"/>
  <c r="Z104" i="12"/>
  <c r="AA104" i="12"/>
  <c r="AB104" i="12"/>
  <c r="AC104" i="12"/>
  <c r="AD104" i="12"/>
  <c r="AL104" i="12"/>
  <c r="AS104" i="12"/>
  <c r="AV104" i="12"/>
  <c r="AZ104" i="12"/>
  <c r="BD104" i="12"/>
  <c r="BH104" i="12"/>
  <c r="BK104" i="12"/>
  <c r="BT104" i="12"/>
  <c r="J104" i="13"/>
  <c r="R104" i="13"/>
  <c r="Z104" i="13"/>
  <c r="AF104" i="13"/>
  <c r="AO104" i="13"/>
  <c r="AP104" i="13"/>
  <c r="AQ104" i="13"/>
  <c r="AR104" i="13"/>
  <c r="AS104" i="13"/>
  <c r="AT104" i="13"/>
  <c r="AU104" i="13"/>
  <c r="AV104" i="13"/>
  <c r="BD104" i="13"/>
  <c r="BL104" i="13"/>
  <c r="BT104" i="13"/>
  <c r="CB104" i="13"/>
  <c r="X88" i="16"/>
  <c r="T88" i="16"/>
  <c r="P88" i="16"/>
  <c r="L88" i="16"/>
  <c r="G88" i="16"/>
  <c r="K13" i="7" l="1"/>
  <c r="AP106" i="11"/>
  <c r="I31" i="9"/>
  <c r="AP107" i="11"/>
  <c r="F104" i="10"/>
  <c r="N104" i="20"/>
  <c r="L104" i="20"/>
  <c r="F105" i="10"/>
  <c r="K104" i="20"/>
  <c r="B104" i="10"/>
  <c r="B105" i="10"/>
  <c r="R104" i="10"/>
  <c r="J104" i="10"/>
  <c r="N105" i="10"/>
  <c r="Q104" i="10"/>
  <c r="I104" i="12"/>
  <c r="O105" i="10"/>
  <c r="P104" i="10"/>
  <c r="P105" i="10"/>
  <c r="O104" i="10"/>
  <c r="E105" i="12"/>
  <c r="Q105" i="10"/>
  <c r="J105" i="10"/>
  <c r="R105" i="10"/>
  <c r="N104" i="10"/>
  <c r="M104" i="10"/>
  <c r="E104" i="12"/>
  <c r="S105" i="10"/>
  <c r="T104" i="10"/>
  <c r="L104" i="10"/>
  <c r="L105" i="10"/>
  <c r="T105" i="10"/>
  <c r="S104" i="10"/>
  <c r="I105" i="12"/>
  <c r="M105" i="10"/>
  <c r="X104" i="10"/>
  <c r="AC104" i="10"/>
  <c r="D104" i="13"/>
  <c r="Y105" i="10"/>
  <c r="C105" i="13"/>
  <c r="C104" i="13"/>
  <c r="AA105" i="10"/>
  <c r="AB105" i="10"/>
  <c r="Y104" i="10"/>
  <c r="I105" i="13"/>
  <c r="AC105" i="10"/>
  <c r="I104" i="13"/>
  <c r="H105" i="13"/>
  <c r="AD105" i="10"/>
  <c r="AB104" i="10"/>
  <c r="H104" i="13"/>
  <c r="G105" i="13"/>
  <c r="W104" i="10"/>
  <c r="G104" i="13"/>
  <c r="V104" i="10"/>
  <c r="V105" i="10"/>
  <c r="F105" i="13"/>
  <c r="W105" i="10"/>
  <c r="E105" i="13"/>
  <c r="AA104" i="10"/>
  <c r="F104" i="13"/>
  <c r="AD104" i="10"/>
  <c r="E104" i="13"/>
  <c r="X105" i="10"/>
  <c r="D105" i="13"/>
  <c r="C105" i="10"/>
  <c r="K105" i="20"/>
  <c r="D105" i="10"/>
  <c r="L105" i="20"/>
  <c r="E105" i="10"/>
  <c r="N105" i="20"/>
  <c r="C105" i="20"/>
  <c r="AE105" i="10"/>
  <c r="D105" i="20"/>
  <c r="T105" i="12"/>
  <c r="AG105" i="11"/>
  <c r="AN105" i="13"/>
  <c r="E104" i="10"/>
  <c r="D104" i="10"/>
  <c r="C104" i="10"/>
  <c r="C104" i="20"/>
  <c r="D104" i="20"/>
  <c r="AE104" i="10"/>
  <c r="AG104" i="11"/>
  <c r="T104" i="12"/>
  <c r="AN104" i="13"/>
  <c r="H100" i="11"/>
  <c r="K12" i="7" l="1"/>
  <c r="H106" i="10"/>
  <c r="H107" i="10"/>
  <c r="B105" i="13"/>
  <c r="M104" i="20"/>
  <c r="BB104" i="11"/>
  <c r="BF105" i="11"/>
  <c r="K104" i="10"/>
  <c r="K105" i="10"/>
  <c r="BB105" i="11"/>
  <c r="BF104" i="11"/>
  <c r="CI104" i="12"/>
  <c r="CG104" i="12"/>
  <c r="CD104" i="12"/>
  <c r="CH104" i="12"/>
  <c r="CE104" i="12"/>
  <c r="Z104" i="10"/>
  <c r="CD105" i="12"/>
  <c r="CF104" i="12"/>
  <c r="CF105" i="12"/>
  <c r="CI105" i="12"/>
  <c r="CC104" i="12"/>
  <c r="B104" i="13"/>
  <c r="CE105" i="12"/>
  <c r="Z105" i="10"/>
  <c r="CG105" i="12"/>
  <c r="CH105" i="12"/>
  <c r="CC105" i="12"/>
  <c r="M105" i="20"/>
  <c r="E105" i="20"/>
  <c r="J105" i="20"/>
  <c r="B105" i="20"/>
  <c r="E104" i="20"/>
  <c r="G105" i="10"/>
  <c r="G104" i="10"/>
  <c r="J104" i="20"/>
  <c r="B104" i="20"/>
  <c r="F103" i="20"/>
  <c r="AH103" i="11"/>
  <c r="AI103" i="11"/>
  <c r="AJ103" i="11"/>
  <c r="AK103" i="11"/>
  <c r="AL103" i="11"/>
  <c r="AM103" i="11"/>
  <c r="AN103" i="11"/>
  <c r="AO103" i="11"/>
  <c r="Z103" i="11"/>
  <c r="X103" i="11"/>
  <c r="P103" i="11"/>
  <c r="H103" i="11"/>
  <c r="B103" i="11"/>
  <c r="BT103" i="12"/>
  <c r="BK103" i="12"/>
  <c r="BH103" i="12"/>
  <c r="BD103" i="12"/>
  <c r="AZ103" i="12"/>
  <c r="AV103" i="12"/>
  <c r="AS103" i="12"/>
  <c r="AL103" i="12"/>
  <c r="AD103" i="12"/>
  <c r="U103" i="12"/>
  <c r="V103" i="12"/>
  <c r="W103" i="12"/>
  <c r="X103" i="12"/>
  <c r="Y103" i="12"/>
  <c r="Z103" i="12"/>
  <c r="AA103" i="12"/>
  <c r="AB103" i="12"/>
  <c r="AC103" i="12"/>
  <c r="K103" i="12"/>
  <c r="BT103" i="13"/>
  <c r="BL103" i="13"/>
  <c r="BD103" i="13"/>
  <c r="AO103" i="13"/>
  <c r="AP103" i="13"/>
  <c r="AQ103" i="13"/>
  <c r="AR103" i="13"/>
  <c r="AS103" i="13"/>
  <c r="AT103" i="13"/>
  <c r="AU103" i="13"/>
  <c r="AV103" i="13"/>
  <c r="AF103" i="13"/>
  <c r="Z103" i="13"/>
  <c r="R103" i="13"/>
  <c r="J103" i="13"/>
  <c r="CB103" i="13"/>
  <c r="X87" i="16"/>
  <c r="T87" i="16"/>
  <c r="P87" i="16"/>
  <c r="L87" i="16"/>
  <c r="G87" i="16"/>
  <c r="CB105" i="12" l="1"/>
  <c r="H31" i="9"/>
  <c r="U105" i="10"/>
  <c r="C103" i="10"/>
  <c r="D103" i="10"/>
  <c r="E103" i="10"/>
  <c r="F103" i="10"/>
  <c r="B103" i="10"/>
  <c r="L103" i="10"/>
  <c r="T103" i="10"/>
  <c r="I103" i="12"/>
  <c r="O103" i="10"/>
  <c r="S103" i="10"/>
  <c r="P103" i="10"/>
  <c r="AW104" i="11"/>
  <c r="AW105" i="11"/>
  <c r="M103" i="10"/>
  <c r="N103" i="10"/>
  <c r="E103" i="12"/>
  <c r="Q103" i="10"/>
  <c r="J103" i="10"/>
  <c r="R103" i="10"/>
  <c r="AS105" i="11"/>
  <c r="AS104" i="11"/>
  <c r="U104" i="10"/>
  <c r="C105" i="12"/>
  <c r="F105" i="12"/>
  <c r="J104" i="12"/>
  <c r="CB104" i="12"/>
  <c r="G104" i="12"/>
  <c r="C104" i="12"/>
  <c r="D105" i="12"/>
  <c r="D104" i="12"/>
  <c r="W103" i="10"/>
  <c r="AC103" i="10"/>
  <c r="H105" i="12"/>
  <c r="E103" i="13"/>
  <c r="X103" i="10"/>
  <c r="C103" i="13"/>
  <c r="J105" i="12"/>
  <c r="AA103" i="10"/>
  <c r="I103" i="13"/>
  <c r="H103" i="13"/>
  <c r="H104" i="12"/>
  <c r="Y103" i="10"/>
  <c r="AD103" i="10"/>
  <c r="G103" i="13"/>
  <c r="D103" i="13"/>
  <c r="AB103" i="10"/>
  <c r="AE103" i="10"/>
  <c r="V103" i="10"/>
  <c r="F103" i="13"/>
  <c r="G105" i="12"/>
  <c r="F104" i="12"/>
  <c r="H104" i="20"/>
  <c r="O105" i="20"/>
  <c r="O104" i="20"/>
  <c r="H105" i="20"/>
  <c r="I105" i="20"/>
  <c r="I104" i="20"/>
  <c r="N103" i="20"/>
  <c r="L103" i="20"/>
  <c r="K103" i="20"/>
  <c r="C103" i="20"/>
  <c r="D103" i="20"/>
  <c r="AG103" i="11"/>
  <c r="T103" i="12"/>
  <c r="AN103" i="13"/>
  <c r="J103" i="20" l="1"/>
  <c r="BF103" i="11"/>
  <c r="K103" i="10"/>
  <c r="BB103" i="11"/>
  <c r="CI103" i="12"/>
  <c r="BG104" i="11"/>
  <c r="B103" i="13"/>
  <c r="BE104" i="11"/>
  <c r="BG105" i="11"/>
  <c r="BE105" i="11"/>
  <c r="BA105" i="11"/>
  <c r="CE103" i="12"/>
  <c r="CF103" i="12"/>
  <c r="CD103" i="12"/>
  <c r="BC105" i="11"/>
  <c r="Z103" i="10"/>
  <c r="BA104" i="11"/>
  <c r="AZ104" i="11"/>
  <c r="B104" i="12"/>
  <c r="BD105" i="11"/>
  <c r="CG103" i="12"/>
  <c r="CH103" i="12"/>
  <c r="CC103" i="12"/>
  <c r="AZ105" i="11"/>
  <c r="B105" i="12"/>
  <c r="BC104" i="11"/>
  <c r="BD104" i="11"/>
  <c r="P104" i="20"/>
  <c r="P105" i="20"/>
  <c r="M103" i="20"/>
  <c r="E103" i="20"/>
  <c r="B103" i="20"/>
  <c r="G103" i="10"/>
  <c r="O103" i="20" l="1"/>
  <c r="AS103" i="11"/>
  <c r="AW103" i="11"/>
  <c r="CB103" i="12"/>
  <c r="U103" i="10"/>
  <c r="G103" i="12"/>
  <c r="AX105" i="11"/>
  <c r="AR104" i="11"/>
  <c r="AT104" i="11"/>
  <c r="H103" i="12"/>
  <c r="AU105" i="11"/>
  <c r="AY104" i="11"/>
  <c r="I104" i="10"/>
  <c r="AR105" i="11"/>
  <c r="C103" i="12"/>
  <c r="AX104" i="11"/>
  <c r="AY105" i="11"/>
  <c r="I105" i="10"/>
  <c r="AV104" i="11"/>
  <c r="AQ104" i="11"/>
  <c r="AU104" i="11"/>
  <c r="D103" i="12"/>
  <c r="AV105" i="11"/>
  <c r="F103" i="12"/>
  <c r="AQ105" i="11"/>
  <c r="AT105" i="11"/>
  <c r="J103" i="12"/>
  <c r="H103" i="20"/>
  <c r="F102" i="20"/>
  <c r="P103" i="20" l="1"/>
  <c r="BA103" i="11"/>
  <c r="AP105" i="11"/>
  <c r="BC103" i="11"/>
  <c r="BG103" i="11"/>
  <c r="BE103" i="11"/>
  <c r="BD103" i="11"/>
  <c r="AP104" i="11"/>
  <c r="AZ103" i="11"/>
  <c r="B103" i="12"/>
  <c r="F30" i="14"/>
  <c r="I103" i="20"/>
  <c r="AH102" i="11"/>
  <c r="AI102" i="11"/>
  <c r="AJ102" i="11"/>
  <c r="AK102" i="11"/>
  <c r="AL102" i="11"/>
  <c r="AM102" i="11"/>
  <c r="AN102" i="11"/>
  <c r="AO102" i="11"/>
  <c r="Z102" i="11"/>
  <c r="X102" i="11"/>
  <c r="P102" i="11"/>
  <c r="H102" i="11"/>
  <c r="B102" i="11"/>
  <c r="BT102" i="12"/>
  <c r="BK102" i="12"/>
  <c r="BH102" i="12"/>
  <c r="BD102" i="12"/>
  <c r="AZ102" i="12"/>
  <c r="AV102" i="12"/>
  <c r="AS102" i="12"/>
  <c r="AL102" i="12"/>
  <c r="U102" i="12"/>
  <c r="V102" i="12"/>
  <c r="W102" i="12"/>
  <c r="X102" i="12"/>
  <c r="Y102" i="12"/>
  <c r="Z102" i="12"/>
  <c r="AA102" i="12"/>
  <c r="AB102" i="12"/>
  <c r="AC102" i="12"/>
  <c r="AD102" i="12"/>
  <c r="K102" i="12"/>
  <c r="BT102" i="13"/>
  <c r="BL102" i="13"/>
  <c r="BD102" i="13"/>
  <c r="AO102" i="13"/>
  <c r="AP102" i="13"/>
  <c r="AQ102" i="13"/>
  <c r="AR102" i="13"/>
  <c r="AS102" i="13"/>
  <c r="AT102" i="13"/>
  <c r="AU102" i="13"/>
  <c r="AV102" i="13"/>
  <c r="AF102" i="13"/>
  <c r="Z102" i="13"/>
  <c r="R102" i="13"/>
  <c r="J102" i="13"/>
  <c r="CB102" i="13"/>
  <c r="X86" i="16"/>
  <c r="T86" i="16"/>
  <c r="P86" i="16"/>
  <c r="L86" i="16"/>
  <c r="G86" i="16"/>
  <c r="F99" i="20"/>
  <c r="F100" i="20"/>
  <c r="F101" i="20"/>
  <c r="AO100" i="11"/>
  <c r="AN100" i="11"/>
  <c r="AM100" i="11"/>
  <c r="AL100" i="11"/>
  <c r="AK100" i="11"/>
  <c r="AJ100" i="11"/>
  <c r="AI100" i="11"/>
  <c r="AH100" i="11"/>
  <c r="Z100" i="11"/>
  <c r="X100" i="11"/>
  <c r="P100" i="11"/>
  <c r="B100" i="11"/>
  <c r="BT100" i="12"/>
  <c r="BK100" i="12"/>
  <c r="BH100" i="12"/>
  <c r="BD100" i="12"/>
  <c r="AZ100" i="12"/>
  <c r="AV100" i="12"/>
  <c r="AS100" i="12"/>
  <c r="AL100" i="12"/>
  <c r="AD100" i="12"/>
  <c r="AC100" i="12"/>
  <c r="AB100" i="12"/>
  <c r="AA100" i="12"/>
  <c r="Z100" i="12"/>
  <c r="Y100" i="12"/>
  <c r="X100" i="12"/>
  <c r="W100" i="12"/>
  <c r="V100" i="12"/>
  <c r="U100" i="12"/>
  <c r="K100" i="12"/>
  <c r="CB100" i="13"/>
  <c r="BT100" i="13"/>
  <c r="BL100" i="13"/>
  <c r="BD100" i="13"/>
  <c r="AV100" i="13"/>
  <c r="AU100" i="13"/>
  <c r="AT100" i="13"/>
  <c r="AS100" i="13"/>
  <c r="AR100" i="13"/>
  <c r="AQ100" i="13"/>
  <c r="AP100" i="13"/>
  <c r="AO100" i="13"/>
  <c r="AF100" i="13"/>
  <c r="Z100" i="13"/>
  <c r="R100" i="13"/>
  <c r="J100" i="13"/>
  <c r="G29" i="14"/>
  <c r="G28" i="14"/>
  <c r="C25" i="15"/>
  <c r="D25" i="15"/>
  <c r="E25" i="15"/>
  <c r="F25" i="15"/>
  <c r="H25" i="15"/>
  <c r="I25" i="15"/>
  <c r="J25" i="15"/>
  <c r="K25" i="15"/>
  <c r="M25" i="15"/>
  <c r="N25" i="15"/>
  <c r="O25" i="15"/>
  <c r="Q25" i="15"/>
  <c r="R25" i="15"/>
  <c r="S25" i="15"/>
  <c r="U25" i="15"/>
  <c r="V25" i="15"/>
  <c r="W25" i="15"/>
  <c r="Y25" i="15"/>
  <c r="Z25" i="15"/>
  <c r="AA25" i="15"/>
  <c r="X84" i="16"/>
  <c r="T84" i="16"/>
  <c r="P84" i="16"/>
  <c r="L84" i="16"/>
  <c r="G84" i="16"/>
  <c r="X30" i="16"/>
  <c r="X31" i="16"/>
  <c r="X32" i="16"/>
  <c r="X33" i="16"/>
  <c r="X34" i="16"/>
  <c r="X35" i="16"/>
  <c r="X36" i="16"/>
  <c r="X37" i="16"/>
  <c r="X38" i="16"/>
  <c r="X39" i="16"/>
  <c r="X40" i="16"/>
  <c r="X41" i="16"/>
  <c r="X42" i="16"/>
  <c r="X43" i="16"/>
  <c r="X44" i="16"/>
  <c r="X45" i="16"/>
  <c r="X46" i="16"/>
  <c r="X47" i="16"/>
  <c r="X48" i="16"/>
  <c r="X49" i="16"/>
  <c r="X50" i="16"/>
  <c r="X51" i="16"/>
  <c r="X52" i="16"/>
  <c r="X53" i="16"/>
  <c r="X54" i="16"/>
  <c r="X55" i="16"/>
  <c r="X56" i="16"/>
  <c r="X57" i="16"/>
  <c r="X58" i="16"/>
  <c r="X59" i="16"/>
  <c r="X60" i="16"/>
  <c r="X61" i="16"/>
  <c r="X62" i="16"/>
  <c r="X63" i="16"/>
  <c r="X64" i="16"/>
  <c r="X65" i="16"/>
  <c r="X66" i="16"/>
  <c r="X67" i="16"/>
  <c r="X68" i="16"/>
  <c r="X69" i="16"/>
  <c r="X70" i="16"/>
  <c r="X71" i="16"/>
  <c r="X72" i="16"/>
  <c r="X73" i="16"/>
  <c r="X74" i="16"/>
  <c r="X75" i="16"/>
  <c r="X76" i="16"/>
  <c r="X77" i="16"/>
  <c r="X78" i="16"/>
  <c r="X79" i="16"/>
  <c r="X80" i="16"/>
  <c r="X81" i="16"/>
  <c r="X82" i="16"/>
  <c r="X83" i="16"/>
  <c r="X85" i="16"/>
  <c r="T30" i="16"/>
  <c r="T31" i="16"/>
  <c r="T32" i="16"/>
  <c r="T33" i="16"/>
  <c r="T34" i="16"/>
  <c r="T35" i="16"/>
  <c r="T36" i="16"/>
  <c r="T37" i="16"/>
  <c r="T38" i="16"/>
  <c r="T39" i="16"/>
  <c r="T40" i="16"/>
  <c r="T41" i="16"/>
  <c r="T42" i="16"/>
  <c r="T43" i="16"/>
  <c r="T44" i="16"/>
  <c r="T45" i="16"/>
  <c r="T46" i="16"/>
  <c r="T47" i="16"/>
  <c r="T48" i="16"/>
  <c r="T49" i="16"/>
  <c r="T50" i="16"/>
  <c r="T51" i="16"/>
  <c r="T52" i="16"/>
  <c r="T53" i="16"/>
  <c r="T54" i="16"/>
  <c r="T55" i="16"/>
  <c r="T56" i="16"/>
  <c r="T57" i="16"/>
  <c r="T58" i="16"/>
  <c r="T59" i="16"/>
  <c r="T60" i="16"/>
  <c r="T61" i="16"/>
  <c r="T62" i="16"/>
  <c r="T63" i="16"/>
  <c r="T64" i="16"/>
  <c r="T65" i="16"/>
  <c r="T66" i="16"/>
  <c r="T67" i="16"/>
  <c r="T68" i="16"/>
  <c r="T69" i="16"/>
  <c r="T70" i="16"/>
  <c r="T71" i="16"/>
  <c r="T72" i="16"/>
  <c r="T73" i="16"/>
  <c r="T74" i="16"/>
  <c r="T75" i="16"/>
  <c r="T76" i="16"/>
  <c r="T77" i="16"/>
  <c r="T78" i="16"/>
  <c r="T79" i="16"/>
  <c r="T80" i="16"/>
  <c r="T81" i="16"/>
  <c r="T82" i="16"/>
  <c r="T83" i="16"/>
  <c r="T85" i="16"/>
  <c r="P30" i="16"/>
  <c r="P31" i="16"/>
  <c r="P32" i="16"/>
  <c r="P33" i="16"/>
  <c r="P34" i="16"/>
  <c r="P35" i="16"/>
  <c r="P36" i="16"/>
  <c r="P37" i="16"/>
  <c r="P38" i="16"/>
  <c r="P39" i="16"/>
  <c r="P40" i="16"/>
  <c r="P41" i="16"/>
  <c r="P42" i="16"/>
  <c r="P43" i="16"/>
  <c r="P44" i="16"/>
  <c r="P45" i="16"/>
  <c r="P46" i="16"/>
  <c r="P47" i="16"/>
  <c r="P48" i="16"/>
  <c r="P49" i="16"/>
  <c r="P50" i="16"/>
  <c r="P51" i="16"/>
  <c r="P52" i="16"/>
  <c r="P53" i="16"/>
  <c r="P54" i="16"/>
  <c r="P55" i="16"/>
  <c r="P56" i="16"/>
  <c r="P57" i="16"/>
  <c r="P58" i="16"/>
  <c r="P59" i="16"/>
  <c r="P60" i="16"/>
  <c r="P61" i="16"/>
  <c r="P62" i="16"/>
  <c r="P63" i="16"/>
  <c r="P64" i="16"/>
  <c r="P65" i="16"/>
  <c r="P66" i="16"/>
  <c r="P67" i="16"/>
  <c r="P68" i="16"/>
  <c r="P69" i="16"/>
  <c r="P70" i="16"/>
  <c r="P71" i="16"/>
  <c r="P72" i="16"/>
  <c r="P73" i="16"/>
  <c r="P74" i="16"/>
  <c r="P75" i="16"/>
  <c r="P76" i="16"/>
  <c r="P77" i="16"/>
  <c r="P78" i="16"/>
  <c r="P79" i="16"/>
  <c r="P80" i="16"/>
  <c r="P81" i="16"/>
  <c r="P82" i="16"/>
  <c r="P83" i="16"/>
  <c r="P85"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6" i="16"/>
  <c r="L57" i="16"/>
  <c r="L58"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5"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5"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F102" i="10" l="1"/>
  <c r="P102" i="10"/>
  <c r="O102" i="10"/>
  <c r="Q102" i="10"/>
  <c r="J102" i="10"/>
  <c r="R102" i="10"/>
  <c r="L102" i="10"/>
  <c r="S102" i="10"/>
  <c r="T102" i="10"/>
  <c r="M102" i="10"/>
  <c r="N102" i="10"/>
  <c r="AA102" i="10"/>
  <c r="AB102" i="10"/>
  <c r="AC102" i="10"/>
  <c r="AQ103" i="11"/>
  <c r="AX103" i="11"/>
  <c r="AD102" i="10"/>
  <c r="H104" i="10"/>
  <c r="AT103" i="11"/>
  <c r="V102" i="10"/>
  <c r="W102" i="10"/>
  <c r="AU103" i="11"/>
  <c r="H105" i="10"/>
  <c r="X102" i="10"/>
  <c r="D102" i="13"/>
  <c r="Y102" i="10"/>
  <c r="AY103" i="11"/>
  <c r="I103" i="10"/>
  <c r="AV103" i="11"/>
  <c r="AR103" i="11"/>
  <c r="B26" i="15"/>
  <c r="G26" i="15"/>
  <c r="L26" i="15"/>
  <c r="P26" i="15"/>
  <c r="T26" i="15"/>
  <c r="X26" i="15"/>
  <c r="E102" i="13"/>
  <c r="F102" i="13"/>
  <c r="G102" i="13"/>
  <c r="E102" i="12"/>
  <c r="C102" i="13"/>
  <c r="I102" i="12"/>
  <c r="I102" i="13"/>
  <c r="H102" i="13"/>
  <c r="AE102" i="10"/>
  <c r="D102" i="20"/>
  <c r="B102" i="10"/>
  <c r="C102" i="10"/>
  <c r="K102" i="20"/>
  <c r="D102" i="10"/>
  <c r="L102" i="20"/>
  <c r="E102" i="10"/>
  <c r="N102" i="20"/>
  <c r="C102" i="20"/>
  <c r="AG102" i="11"/>
  <c r="AN102" i="13"/>
  <c r="T102" i="12"/>
  <c r="T25" i="15"/>
  <c r="B25" i="15"/>
  <c r="F100" i="10"/>
  <c r="E100" i="10"/>
  <c r="D100" i="10"/>
  <c r="L100" i="20"/>
  <c r="C100" i="10"/>
  <c r="K100" i="20"/>
  <c r="B100" i="10"/>
  <c r="C100" i="20"/>
  <c r="T100" i="10"/>
  <c r="S100" i="10"/>
  <c r="R100" i="10"/>
  <c r="Q100" i="10"/>
  <c r="P100" i="10"/>
  <c r="O100" i="10"/>
  <c r="E100" i="12"/>
  <c r="N100" i="10"/>
  <c r="M100" i="10"/>
  <c r="L100" i="10"/>
  <c r="I100" i="12"/>
  <c r="J100" i="10"/>
  <c r="AE100" i="10"/>
  <c r="AD100" i="10"/>
  <c r="AC100" i="10"/>
  <c r="AB100" i="10"/>
  <c r="H100" i="13"/>
  <c r="I100" i="13"/>
  <c r="AA100" i="10"/>
  <c r="G100" i="13"/>
  <c r="E100" i="13"/>
  <c r="C100" i="13"/>
  <c r="F100" i="13"/>
  <c r="Y100" i="10"/>
  <c r="X100" i="10"/>
  <c r="W100" i="10"/>
  <c r="V100" i="10"/>
  <c r="X25" i="15"/>
  <c r="D100" i="20"/>
  <c r="L25" i="15"/>
  <c r="P25" i="15"/>
  <c r="G25" i="15"/>
  <c r="N100" i="20"/>
  <c r="AG100" i="11"/>
  <c r="AN100" i="13"/>
  <c r="T100" i="12"/>
  <c r="D100" i="13"/>
  <c r="AH101" i="11"/>
  <c r="AI101" i="11"/>
  <c r="AJ101" i="11"/>
  <c r="AK101" i="11"/>
  <c r="AL101" i="11"/>
  <c r="AM101" i="11"/>
  <c r="AN101" i="11"/>
  <c r="AO101" i="11"/>
  <c r="Z101" i="11"/>
  <c r="X101" i="11"/>
  <c r="P101" i="11"/>
  <c r="H101" i="11"/>
  <c r="AO101" i="13"/>
  <c r="AP101" i="13"/>
  <c r="AQ101" i="13"/>
  <c r="AR101" i="13"/>
  <c r="AS101" i="13"/>
  <c r="AT101" i="13"/>
  <c r="AU101" i="13"/>
  <c r="BT101" i="13"/>
  <c r="BL101" i="13"/>
  <c r="BD101" i="13"/>
  <c r="AV101" i="13"/>
  <c r="AF101" i="13"/>
  <c r="Z101" i="13"/>
  <c r="R101" i="13"/>
  <c r="J101" i="13"/>
  <c r="CD102" i="12" l="1"/>
  <c r="E30" i="9"/>
  <c r="D30" i="9"/>
  <c r="C30" i="9"/>
  <c r="F30" i="9"/>
  <c r="B30" i="9"/>
  <c r="L30" i="9"/>
  <c r="BF100" i="11"/>
  <c r="M30" i="9"/>
  <c r="R30" i="9"/>
  <c r="O30" i="9"/>
  <c r="BB102" i="11"/>
  <c r="BF102" i="11"/>
  <c r="BB100" i="11"/>
  <c r="S30" i="9"/>
  <c r="J30" i="9"/>
  <c r="P30" i="9"/>
  <c r="K102" i="10"/>
  <c r="N30" i="9"/>
  <c r="T30" i="9"/>
  <c r="Q30" i="9"/>
  <c r="AP103" i="11"/>
  <c r="Y30" i="9"/>
  <c r="AC30" i="9"/>
  <c r="AE30" i="9"/>
  <c r="CE100" i="12"/>
  <c r="CH100" i="12"/>
  <c r="W30" i="9"/>
  <c r="AD30" i="9"/>
  <c r="AB30" i="9"/>
  <c r="CG100" i="12"/>
  <c r="Z102" i="10"/>
  <c r="CI100" i="12"/>
  <c r="CF100" i="12"/>
  <c r="X30" i="9"/>
  <c r="V30" i="9"/>
  <c r="AA30" i="9"/>
  <c r="N30" i="14"/>
  <c r="K30" i="14"/>
  <c r="D30" i="14"/>
  <c r="C30" i="14"/>
  <c r="L30" i="14"/>
  <c r="B102" i="13"/>
  <c r="CH102" i="12"/>
  <c r="CI102" i="12"/>
  <c r="CG102" i="12"/>
  <c r="CF102" i="12"/>
  <c r="CC102" i="12"/>
  <c r="CE102" i="12"/>
  <c r="E102" i="20"/>
  <c r="M102" i="20"/>
  <c r="J102" i="20"/>
  <c r="B102" i="20"/>
  <c r="G102" i="10"/>
  <c r="N101" i="20"/>
  <c r="L101" i="20"/>
  <c r="M100" i="20"/>
  <c r="K101" i="20"/>
  <c r="K100" i="10"/>
  <c r="E100" i="20"/>
  <c r="CC100" i="12"/>
  <c r="G101" i="13"/>
  <c r="F101" i="13"/>
  <c r="I101" i="13"/>
  <c r="H101" i="13"/>
  <c r="E101" i="13"/>
  <c r="Z100" i="10"/>
  <c r="D101" i="13"/>
  <c r="C101" i="20"/>
  <c r="B100" i="20"/>
  <c r="J100" i="20"/>
  <c r="G100" i="10"/>
  <c r="B100" i="13"/>
  <c r="CD100" i="12"/>
  <c r="AG101" i="11"/>
  <c r="AN101" i="13"/>
  <c r="C101" i="13"/>
  <c r="A50" i="17"/>
  <c r="A49" i="17"/>
  <c r="G7" i="14"/>
  <c r="G8" i="14"/>
  <c r="G9" i="14"/>
  <c r="G10" i="14"/>
  <c r="G11" i="14"/>
  <c r="G12" i="14"/>
  <c r="G13" i="14"/>
  <c r="G14" i="14"/>
  <c r="G15" i="14"/>
  <c r="G16" i="14"/>
  <c r="G17" i="14"/>
  <c r="G18" i="14"/>
  <c r="G19" i="14"/>
  <c r="G20" i="14"/>
  <c r="G21" i="14"/>
  <c r="G22" i="14"/>
  <c r="G23" i="14"/>
  <c r="G24" i="14"/>
  <c r="G25" i="14"/>
  <c r="G26" i="14"/>
  <c r="G27" i="14"/>
  <c r="G6" i="14"/>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69" i="20"/>
  <c r="F68" i="20"/>
  <c r="F67" i="20"/>
  <c r="F66" i="20"/>
  <c r="F65" i="20"/>
  <c r="F64" i="20"/>
  <c r="F63" i="20"/>
  <c r="F62" i="20"/>
  <c r="F61" i="20"/>
  <c r="F60"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F6" i="20"/>
  <c r="AW100" i="11" l="1"/>
  <c r="AS102" i="11"/>
  <c r="AW102" i="11"/>
  <c r="D102" i="12"/>
  <c r="G30" i="9"/>
  <c r="K30" i="9"/>
  <c r="AS100" i="11"/>
  <c r="G100" i="12"/>
  <c r="F100" i="12"/>
  <c r="H100" i="12"/>
  <c r="J100" i="12"/>
  <c r="G102" i="12"/>
  <c r="J102" i="12"/>
  <c r="Z30" i="9"/>
  <c r="U102" i="10"/>
  <c r="F102" i="12"/>
  <c r="H102" i="12"/>
  <c r="C100" i="12"/>
  <c r="C102" i="12"/>
  <c r="H103" i="10"/>
  <c r="B30" i="14"/>
  <c r="M30" i="14"/>
  <c r="E30" i="14"/>
  <c r="CB102" i="12"/>
  <c r="O102" i="20"/>
  <c r="J30" i="14"/>
  <c r="H102" i="20"/>
  <c r="M101" i="20"/>
  <c r="F29" i="14"/>
  <c r="O100" i="20"/>
  <c r="I100" i="20"/>
  <c r="D100" i="12"/>
  <c r="B101" i="13"/>
  <c r="J101" i="20"/>
  <c r="H100" i="20"/>
  <c r="U100" i="10"/>
  <c r="CB100" i="12"/>
  <c r="F28" i="14"/>
  <c r="F25" i="14"/>
  <c r="F27" i="14"/>
  <c r="F19" i="14"/>
  <c r="F11" i="14"/>
  <c r="F9" i="14"/>
  <c r="F17" i="14"/>
  <c r="F6" i="14"/>
  <c r="F10" i="14"/>
  <c r="F7" i="14"/>
  <c r="F15" i="14"/>
  <c r="F23" i="14"/>
  <c r="F8" i="14"/>
  <c r="F13" i="14"/>
  <c r="F21" i="14"/>
  <c r="F12" i="14"/>
  <c r="F14" i="14"/>
  <c r="F16" i="14"/>
  <c r="F18" i="14"/>
  <c r="F20" i="14"/>
  <c r="F22" i="14"/>
  <c r="F24" i="14"/>
  <c r="F26" i="14"/>
  <c r="F47" i="17"/>
  <c r="F45" i="17"/>
  <c r="F46" i="17"/>
  <c r="O31" i="18"/>
  <c r="C31" i="18"/>
  <c r="O19" i="18"/>
  <c r="O9" i="18"/>
  <c r="C19" i="18"/>
  <c r="J29" i="18" s="1"/>
  <c r="C9" i="18"/>
  <c r="F5" i="17"/>
  <c r="C5" i="17"/>
  <c r="CB7" i="13"/>
  <c r="CB8" i="13"/>
  <c r="CB9" i="13"/>
  <c r="CB10" i="13"/>
  <c r="CB11" i="13"/>
  <c r="CB12" i="13"/>
  <c r="CB13" i="13"/>
  <c r="CB14" i="13"/>
  <c r="CB15" i="13"/>
  <c r="CB16" i="13"/>
  <c r="CB17" i="13"/>
  <c r="CB18" i="13"/>
  <c r="CB19" i="13"/>
  <c r="CB20" i="13"/>
  <c r="CB21" i="13"/>
  <c r="CB22" i="13"/>
  <c r="CB23" i="13"/>
  <c r="CB24" i="13"/>
  <c r="CB25" i="13"/>
  <c r="CB26" i="13"/>
  <c r="CB27" i="13"/>
  <c r="CB28" i="13"/>
  <c r="CB29" i="13"/>
  <c r="CB30" i="13"/>
  <c r="CB31" i="13"/>
  <c r="CB32" i="13"/>
  <c r="CB33" i="13"/>
  <c r="CB34" i="13"/>
  <c r="CB35" i="13"/>
  <c r="CB36" i="13"/>
  <c r="CB37" i="13"/>
  <c r="CB38" i="13"/>
  <c r="CB39" i="13"/>
  <c r="CB40" i="13"/>
  <c r="CB41" i="13"/>
  <c r="CB42" i="13"/>
  <c r="CB43" i="13"/>
  <c r="CB44" i="13"/>
  <c r="CB45" i="13"/>
  <c r="CB46" i="13"/>
  <c r="CB47" i="13"/>
  <c r="CB48" i="13"/>
  <c r="CB49" i="13"/>
  <c r="CB50" i="13"/>
  <c r="CB51" i="13"/>
  <c r="CB52" i="13"/>
  <c r="CB53" i="13"/>
  <c r="CB54" i="13"/>
  <c r="CB55" i="13"/>
  <c r="CB56" i="13"/>
  <c r="CB57" i="13"/>
  <c r="CB58" i="13"/>
  <c r="CB59" i="13"/>
  <c r="CB60" i="13"/>
  <c r="CB61" i="13"/>
  <c r="CB62" i="13"/>
  <c r="CB63" i="13"/>
  <c r="CB64" i="13"/>
  <c r="CB65" i="13"/>
  <c r="CB66" i="13"/>
  <c r="CB67" i="13"/>
  <c r="CB68" i="13"/>
  <c r="CB69" i="13"/>
  <c r="CB70" i="13"/>
  <c r="CB71" i="13"/>
  <c r="CB72" i="13"/>
  <c r="CB73" i="13"/>
  <c r="CB74" i="13"/>
  <c r="CB75" i="13"/>
  <c r="CB76" i="13"/>
  <c r="CB77" i="13"/>
  <c r="CB78" i="13"/>
  <c r="CB79" i="13"/>
  <c r="CB80" i="13"/>
  <c r="CB81" i="13"/>
  <c r="CB82" i="13"/>
  <c r="CB83" i="13"/>
  <c r="CB84" i="13"/>
  <c r="CB85" i="13"/>
  <c r="CB86" i="13"/>
  <c r="CB87" i="13"/>
  <c r="CB88" i="13"/>
  <c r="CB89" i="13"/>
  <c r="CB90" i="13"/>
  <c r="CB91" i="13"/>
  <c r="CB92" i="13"/>
  <c r="CB93" i="13"/>
  <c r="CB94" i="13"/>
  <c r="CB95" i="13"/>
  <c r="CB96" i="13"/>
  <c r="CB97" i="13"/>
  <c r="CB98" i="13"/>
  <c r="CB99" i="13"/>
  <c r="CB101" i="13"/>
  <c r="CB6" i="13"/>
  <c r="CC101" i="12"/>
  <c r="CD101" i="12"/>
  <c r="CE101" i="12"/>
  <c r="CF101" i="12"/>
  <c r="CG101" i="12"/>
  <c r="CH101" i="12"/>
  <c r="CI101" i="12"/>
  <c r="BT101" i="12"/>
  <c r="BK101" i="12"/>
  <c r="BH101" i="12"/>
  <c r="BD101" i="12"/>
  <c r="AZ101" i="12"/>
  <c r="AV101" i="12"/>
  <c r="AS101" i="12"/>
  <c r="AL101" i="12"/>
  <c r="AD101" i="12"/>
  <c r="U101" i="12"/>
  <c r="V101" i="12"/>
  <c r="W101" i="12"/>
  <c r="X101" i="12"/>
  <c r="Y101" i="12"/>
  <c r="Z101" i="12"/>
  <c r="AA101" i="12"/>
  <c r="AB101" i="12"/>
  <c r="AC101" i="12"/>
  <c r="K101" i="12"/>
  <c r="AM6" i="11"/>
  <c r="AM7" i="11"/>
  <c r="AM8" i="11"/>
  <c r="AM9" i="11"/>
  <c r="AM10" i="11"/>
  <c r="AM11" i="11"/>
  <c r="AM12" i="11"/>
  <c r="AM13" i="11"/>
  <c r="AM14" i="11"/>
  <c r="AM15" i="11"/>
  <c r="AM16" i="11"/>
  <c r="AM17" i="11"/>
  <c r="AM18" i="11"/>
  <c r="AM19" i="11"/>
  <c r="AM20" i="1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72" i="11"/>
  <c r="AM73" i="11"/>
  <c r="AM74" i="11"/>
  <c r="AM75" i="11"/>
  <c r="AM76" i="11"/>
  <c r="AM77" i="11"/>
  <c r="AM78" i="11"/>
  <c r="AM79" i="11"/>
  <c r="AM80" i="11"/>
  <c r="AM81" i="11"/>
  <c r="AM82" i="11"/>
  <c r="AM83" i="11"/>
  <c r="AM84" i="11"/>
  <c r="AM85" i="11"/>
  <c r="AM86" i="11"/>
  <c r="AM87" i="11"/>
  <c r="AM88" i="11"/>
  <c r="AM89" i="11"/>
  <c r="AM90" i="11"/>
  <c r="AM91" i="11"/>
  <c r="AM92" i="11"/>
  <c r="AM93" i="11"/>
  <c r="AM94" i="11"/>
  <c r="AM95" i="11"/>
  <c r="AM96" i="11"/>
  <c r="AM97" i="11"/>
  <c r="AM98" i="11"/>
  <c r="BH6" i="12"/>
  <c r="BH7" i="12"/>
  <c r="BH8" i="12"/>
  <c r="BH9" i="12"/>
  <c r="BH10" i="12"/>
  <c r="BH11" i="12"/>
  <c r="BH12" i="12"/>
  <c r="BH13" i="12"/>
  <c r="BH14" i="12"/>
  <c r="BH15" i="12"/>
  <c r="BH16" i="12"/>
  <c r="BH17" i="12"/>
  <c r="BH18" i="12"/>
  <c r="BH19" i="12"/>
  <c r="BH20" i="12"/>
  <c r="BH21" i="12"/>
  <c r="BH22" i="12"/>
  <c r="BH23" i="12"/>
  <c r="BH24" i="12"/>
  <c r="BH25" i="12"/>
  <c r="BH26" i="12"/>
  <c r="BH27" i="12"/>
  <c r="BH28" i="12"/>
  <c r="BH29" i="12"/>
  <c r="BH30" i="12"/>
  <c r="BH31" i="12"/>
  <c r="BH32" i="12"/>
  <c r="BH33" i="12"/>
  <c r="BH34" i="12"/>
  <c r="BH35" i="12"/>
  <c r="BH36" i="12"/>
  <c r="BH37" i="12"/>
  <c r="BH38" i="12"/>
  <c r="BH39" i="12"/>
  <c r="BH40" i="12"/>
  <c r="BH41" i="12"/>
  <c r="BH42" i="12"/>
  <c r="BH43" i="12"/>
  <c r="BH44" i="12"/>
  <c r="BH45" i="12"/>
  <c r="BH46" i="12"/>
  <c r="BH47" i="12"/>
  <c r="BH48" i="12"/>
  <c r="BH49" i="12"/>
  <c r="BH50" i="12"/>
  <c r="BH51" i="12"/>
  <c r="BH52" i="12"/>
  <c r="BH53" i="12"/>
  <c r="BH54" i="12"/>
  <c r="BH55" i="12"/>
  <c r="BH56" i="12"/>
  <c r="BH57" i="12"/>
  <c r="BH58" i="12"/>
  <c r="BH59" i="12"/>
  <c r="BH60" i="12"/>
  <c r="BH61" i="12"/>
  <c r="BH62" i="12"/>
  <c r="BH63" i="12"/>
  <c r="BH64" i="12"/>
  <c r="BH65" i="12"/>
  <c r="AL6" i="12"/>
  <c r="AL7" i="12"/>
  <c r="AL8" i="12"/>
  <c r="AL9" i="12"/>
  <c r="BA102" i="11" l="1"/>
  <c r="BG100" i="11"/>
  <c r="BE100" i="11"/>
  <c r="H30" i="14"/>
  <c r="I30" i="14" s="1"/>
  <c r="BD100" i="11"/>
  <c r="M8" i="10"/>
  <c r="R60" i="10"/>
  <c r="R52" i="10"/>
  <c r="R44" i="10"/>
  <c r="R36" i="10"/>
  <c r="R28" i="10"/>
  <c r="R20" i="10"/>
  <c r="R12" i="10"/>
  <c r="M7" i="10"/>
  <c r="R59" i="10"/>
  <c r="R51" i="10"/>
  <c r="R43" i="10"/>
  <c r="R35" i="10"/>
  <c r="R27" i="10"/>
  <c r="R19" i="10"/>
  <c r="R11" i="10"/>
  <c r="M6" i="10"/>
  <c r="R58" i="10"/>
  <c r="R50" i="10"/>
  <c r="R42" i="10"/>
  <c r="R34" i="10"/>
  <c r="R26" i="10"/>
  <c r="R18" i="10"/>
  <c r="R10" i="10"/>
  <c r="R65" i="10"/>
  <c r="R57" i="10"/>
  <c r="R49" i="10"/>
  <c r="R41" i="10"/>
  <c r="R33" i="10"/>
  <c r="R25" i="10"/>
  <c r="R17" i="10"/>
  <c r="R9" i="10"/>
  <c r="R64" i="10"/>
  <c r="R56" i="10"/>
  <c r="R48" i="10"/>
  <c r="R40" i="10"/>
  <c r="R32" i="10"/>
  <c r="R24" i="10"/>
  <c r="R16" i="10"/>
  <c r="R8" i="10"/>
  <c r="R63" i="10"/>
  <c r="R55" i="10"/>
  <c r="R47" i="10"/>
  <c r="R39" i="10"/>
  <c r="R31" i="10"/>
  <c r="R23" i="10"/>
  <c r="R15" i="10"/>
  <c r="R7" i="10"/>
  <c r="R62" i="10"/>
  <c r="R54" i="10"/>
  <c r="R46" i="10"/>
  <c r="R38" i="10"/>
  <c r="R30" i="10"/>
  <c r="R22" i="10"/>
  <c r="R14" i="10"/>
  <c r="R6" i="10"/>
  <c r="BC100" i="11"/>
  <c r="M9" i="10"/>
  <c r="R61" i="10"/>
  <c r="R53" i="10"/>
  <c r="R45" i="10"/>
  <c r="R37" i="10"/>
  <c r="R29" i="10"/>
  <c r="R21" i="10"/>
  <c r="R13" i="10"/>
  <c r="B102" i="12"/>
  <c r="AZ100" i="11"/>
  <c r="U30" i="9"/>
  <c r="AZ102" i="11"/>
  <c r="BE102" i="11"/>
  <c r="BC102" i="11"/>
  <c r="BG102" i="11"/>
  <c r="BD102" i="11"/>
  <c r="I102" i="20"/>
  <c r="O30" i="14"/>
  <c r="P30" i="14" s="1"/>
  <c r="P102" i="20"/>
  <c r="G37" i="18"/>
  <c r="H33" i="18"/>
  <c r="J18" i="18"/>
  <c r="I17" i="18"/>
  <c r="H17" i="18"/>
  <c r="O101" i="20"/>
  <c r="P100" i="20"/>
  <c r="T101" i="10"/>
  <c r="S101" i="10"/>
  <c r="R101" i="10"/>
  <c r="Q101" i="10"/>
  <c r="P101" i="10"/>
  <c r="B100" i="12"/>
  <c r="O101" i="10"/>
  <c r="N101" i="10"/>
  <c r="BA100" i="11"/>
  <c r="M101" i="10"/>
  <c r="L101" i="10"/>
  <c r="I101" i="12"/>
  <c r="J101" i="10"/>
  <c r="D99" i="20"/>
  <c r="D101" i="20"/>
  <c r="CB101" i="12"/>
  <c r="B101" i="20"/>
  <c r="C21" i="18"/>
  <c r="D23" i="18"/>
  <c r="C16" i="18"/>
  <c r="E28" i="18"/>
  <c r="D25" i="18"/>
  <c r="C12" i="18"/>
  <c r="D14" i="18"/>
  <c r="I16" i="18"/>
  <c r="F28" i="18"/>
  <c r="D20" i="18"/>
  <c r="G30" i="18"/>
  <c r="C10" i="18"/>
  <c r="E20" i="18"/>
  <c r="C11" i="18"/>
  <c r="K21" i="18"/>
  <c r="E14" i="18"/>
  <c r="G16" i="18"/>
  <c r="C22" i="18"/>
  <c r="J35" i="18"/>
  <c r="C14" i="18"/>
  <c r="J17" i="18"/>
  <c r="C25" i="18"/>
  <c r="I10" i="18"/>
  <c r="H16" i="18"/>
  <c r="D21" i="18"/>
  <c r="C26" i="18"/>
  <c r="D12" i="18"/>
  <c r="D18" i="18"/>
  <c r="D22" i="18"/>
  <c r="K29" i="18"/>
  <c r="E12" i="18"/>
  <c r="C23" i="18"/>
  <c r="D30" i="18"/>
  <c r="C18" i="18"/>
  <c r="G12" i="18"/>
  <c r="D17" i="18"/>
  <c r="G20" i="18"/>
  <c r="G22" i="18"/>
  <c r="F26" i="18"/>
  <c r="D11" i="18"/>
  <c r="F14" i="18"/>
  <c r="E18" i="18"/>
  <c r="E21" i="18"/>
  <c r="F23" i="18"/>
  <c r="C29" i="18"/>
  <c r="F11" i="18"/>
  <c r="H14" i="18"/>
  <c r="G18" i="18"/>
  <c r="G21" i="18"/>
  <c r="H23" i="18"/>
  <c r="E29" i="18"/>
  <c r="C6" i="18"/>
  <c r="C33" i="18"/>
  <c r="C36" i="18"/>
  <c r="J33" i="18"/>
  <c r="G36" i="18"/>
  <c r="C17" i="18"/>
  <c r="E11" i="18"/>
  <c r="F12" i="18"/>
  <c r="G14" i="18"/>
  <c r="J16" i="18"/>
  <c r="F18" i="18"/>
  <c r="F20" i="18"/>
  <c r="F21" i="18"/>
  <c r="F22" i="18"/>
  <c r="G23" i="18"/>
  <c r="D26" i="18"/>
  <c r="D29" i="18"/>
  <c r="J30" i="18"/>
  <c r="C34" i="18"/>
  <c r="H36" i="18"/>
  <c r="G34" i="18"/>
  <c r="C37" i="18"/>
  <c r="E10" i="18"/>
  <c r="G11" i="18"/>
  <c r="H12" i="18"/>
  <c r="D16" i="18"/>
  <c r="E17" i="18"/>
  <c r="H18" i="18"/>
  <c r="H20" i="18"/>
  <c r="H21" i="18"/>
  <c r="H22" i="18"/>
  <c r="K23" i="18"/>
  <c r="C27" i="18"/>
  <c r="F29" i="18"/>
  <c r="C32" i="18"/>
  <c r="H34" i="18"/>
  <c r="D37" i="18"/>
  <c r="G10" i="18"/>
  <c r="H11" i="18"/>
  <c r="J12" i="18"/>
  <c r="E16" i="18"/>
  <c r="F17" i="18"/>
  <c r="I18" i="18"/>
  <c r="I20" i="18"/>
  <c r="I21" i="18"/>
  <c r="I22" i="18"/>
  <c r="E24" i="18"/>
  <c r="D27" i="18"/>
  <c r="G29" i="18"/>
  <c r="G32" i="18"/>
  <c r="C35" i="18"/>
  <c r="H37" i="18"/>
  <c r="D33" i="18"/>
  <c r="G101" i="12"/>
  <c r="H10" i="18"/>
  <c r="J11" i="18"/>
  <c r="F13" i="18"/>
  <c r="F16" i="18"/>
  <c r="G17" i="18"/>
  <c r="J20" i="18"/>
  <c r="J21" i="18"/>
  <c r="J22" i="18"/>
  <c r="F24" i="18"/>
  <c r="F27" i="18"/>
  <c r="H32" i="18"/>
  <c r="F35" i="18"/>
  <c r="J37" i="18"/>
  <c r="D67" i="20"/>
  <c r="D19" i="20"/>
  <c r="D11" i="20"/>
  <c r="D98" i="20"/>
  <c r="D90" i="20"/>
  <c r="D82" i="20"/>
  <c r="D74" i="20"/>
  <c r="D66" i="20"/>
  <c r="D58" i="20"/>
  <c r="D50" i="20"/>
  <c r="D42" i="20"/>
  <c r="D34" i="20"/>
  <c r="D26" i="20"/>
  <c r="D18" i="20"/>
  <c r="D10" i="20"/>
  <c r="D59" i="20"/>
  <c r="D81" i="20"/>
  <c r="D41" i="20"/>
  <c r="D96" i="20"/>
  <c r="D88" i="20"/>
  <c r="D80" i="20"/>
  <c r="D72" i="20"/>
  <c r="D64" i="20"/>
  <c r="D56" i="20"/>
  <c r="D48" i="20"/>
  <c r="D40" i="20"/>
  <c r="D32" i="20"/>
  <c r="D24" i="20"/>
  <c r="D16" i="20"/>
  <c r="D8" i="20"/>
  <c r="D91" i="20"/>
  <c r="D51" i="20"/>
  <c r="D89" i="20"/>
  <c r="D17" i="20"/>
  <c r="D95" i="20"/>
  <c r="D87" i="20"/>
  <c r="D79" i="20"/>
  <c r="D71" i="20"/>
  <c r="D63" i="20"/>
  <c r="D55" i="20"/>
  <c r="D47" i="20"/>
  <c r="D39" i="20"/>
  <c r="D31" i="20"/>
  <c r="D23" i="20"/>
  <c r="D15" i="20"/>
  <c r="D7" i="20"/>
  <c r="D83" i="20"/>
  <c r="D35" i="20"/>
  <c r="D73" i="20"/>
  <c r="D33" i="20"/>
  <c r="D94" i="20"/>
  <c r="D86" i="20"/>
  <c r="D78" i="20"/>
  <c r="D70" i="20"/>
  <c r="D62" i="20"/>
  <c r="D54" i="20"/>
  <c r="D46" i="20"/>
  <c r="D38" i="20"/>
  <c r="D30" i="20"/>
  <c r="D22" i="20"/>
  <c r="D14" i="20"/>
  <c r="D43" i="20"/>
  <c r="D97" i="20"/>
  <c r="D57" i="20"/>
  <c r="D49" i="20"/>
  <c r="D9" i="20"/>
  <c r="D6" i="20"/>
  <c r="D93" i="20"/>
  <c r="D85" i="20"/>
  <c r="D77" i="20"/>
  <c r="D69" i="20"/>
  <c r="D61" i="20"/>
  <c r="D53" i="20"/>
  <c r="D45" i="20"/>
  <c r="D37" i="20"/>
  <c r="D29" i="20"/>
  <c r="D21" i="20"/>
  <c r="D13" i="20"/>
  <c r="D75" i="20"/>
  <c r="D27" i="20"/>
  <c r="D65" i="20"/>
  <c r="D25" i="20"/>
  <c r="D92" i="20"/>
  <c r="D84" i="20"/>
  <c r="D76" i="20"/>
  <c r="D68" i="20"/>
  <c r="D60" i="20"/>
  <c r="D52" i="20"/>
  <c r="D44" i="20"/>
  <c r="D36" i="20"/>
  <c r="D28" i="20"/>
  <c r="D20" i="20"/>
  <c r="D12" i="20"/>
  <c r="J32" i="18"/>
  <c r="D34" i="18"/>
  <c r="G35" i="18"/>
  <c r="J36" i="18"/>
  <c r="K37" i="18"/>
  <c r="K32" i="18"/>
  <c r="F34" i="18"/>
  <c r="H35" i="18"/>
  <c r="K36" i="18"/>
  <c r="D38" i="18"/>
  <c r="F38" i="18"/>
  <c r="G38" i="18"/>
  <c r="D32" i="18"/>
  <c r="F33" i="18"/>
  <c r="J34" i="18"/>
  <c r="D36" i="18"/>
  <c r="F37" i="18"/>
  <c r="F32" i="18"/>
  <c r="G33" i="18"/>
  <c r="K34" i="18"/>
  <c r="F36" i="18"/>
  <c r="F101" i="12"/>
  <c r="T101" i="12"/>
  <c r="C101" i="12"/>
  <c r="H101" i="12"/>
  <c r="E101" i="12"/>
  <c r="J101" i="12"/>
  <c r="D101" i="12"/>
  <c r="B101" i="11"/>
  <c r="C101" i="10"/>
  <c r="D101" i="10"/>
  <c r="E101" i="10"/>
  <c r="F101" i="10"/>
  <c r="G101" i="10"/>
  <c r="U101" i="10"/>
  <c r="V101" i="10"/>
  <c r="W101" i="10"/>
  <c r="X101" i="10"/>
  <c r="Y101" i="10"/>
  <c r="Z101" i="10"/>
  <c r="AA101" i="10"/>
  <c r="AB101" i="10"/>
  <c r="AC101" i="10"/>
  <c r="AD101" i="10"/>
  <c r="AE101" i="10"/>
  <c r="B4" i="6"/>
  <c r="G26" i="6"/>
  <c r="R12" i="9" l="1"/>
  <c r="AU100" i="11"/>
  <c r="AV100" i="11"/>
  <c r="AX100" i="11"/>
  <c r="AR102" i="11"/>
  <c r="R6" i="9"/>
  <c r="R13" i="9"/>
  <c r="R10" i="9"/>
  <c r="R14" i="9"/>
  <c r="R20" i="9"/>
  <c r="R7" i="9"/>
  <c r="R18" i="9"/>
  <c r="M6" i="9"/>
  <c r="R19" i="9"/>
  <c r="R11" i="9"/>
  <c r="AT100" i="11"/>
  <c r="R15" i="9"/>
  <c r="R8" i="9"/>
  <c r="R9" i="9"/>
  <c r="R17" i="9"/>
  <c r="R16" i="9"/>
  <c r="I102" i="10"/>
  <c r="AY102" i="11"/>
  <c r="BF101" i="11"/>
  <c r="AQ100" i="11"/>
  <c r="AX102" i="11"/>
  <c r="AV102" i="11"/>
  <c r="AT102" i="11"/>
  <c r="AQ102" i="11"/>
  <c r="AU102" i="11"/>
  <c r="AR100" i="11"/>
  <c r="B101" i="10"/>
  <c r="P101" i="20"/>
  <c r="I100" i="10"/>
  <c r="AY100" i="11"/>
  <c r="K101" i="10"/>
  <c r="BB101" i="11"/>
  <c r="E101" i="20"/>
  <c r="BC101" i="11"/>
  <c r="AZ101" i="11"/>
  <c r="BA101" i="11"/>
  <c r="BD101" i="11"/>
  <c r="BG101" i="11"/>
  <c r="BE101" i="11"/>
  <c r="D29" i="14"/>
  <c r="D28" i="14"/>
  <c r="D14" i="14"/>
  <c r="D24" i="14"/>
  <c r="D22" i="14"/>
  <c r="D11" i="14"/>
  <c r="D27" i="14"/>
  <c r="D8" i="14"/>
  <c r="D26" i="14"/>
  <c r="D6" i="14"/>
  <c r="D12" i="14"/>
  <c r="D15" i="14"/>
  <c r="D10" i="14"/>
  <c r="D13" i="14"/>
  <c r="D17" i="14"/>
  <c r="D16" i="14"/>
  <c r="D19" i="14"/>
  <c r="D18" i="14"/>
  <c r="D21" i="14"/>
  <c r="D20" i="14"/>
  <c r="D7" i="14"/>
  <c r="D23" i="14"/>
  <c r="D9" i="14"/>
  <c r="D25" i="14"/>
  <c r="B101" i="12"/>
  <c r="F7" i="19"/>
  <c r="C7" i="19"/>
  <c r="C24" i="19" s="1"/>
  <c r="N38" i="18"/>
  <c r="N37" i="18"/>
  <c r="N36" i="18"/>
  <c r="N35" i="18"/>
  <c r="N34" i="18"/>
  <c r="N33" i="18"/>
  <c r="N32" i="18"/>
  <c r="N30" i="18"/>
  <c r="N29" i="18"/>
  <c r="N28" i="18"/>
  <c r="N27" i="18"/>
  <c r="N26" i="18"/>
  <c r="N25" i="18"/>
  <c r="N24" i="18"/>
  <c r="N23" i="18"/>
  <c r="N22" i="18"/>
  <c r="N21" i="18"/>
  <c r="N20" i="18"/>
  <c r="N18" i="18"/>
  <c r="N17" i="18"/>
  <c r="N16" i="18"/>
  <c r="N14" i="18"/>
  <c r="N13" i="18"/>
  <c r="N12" i="18"/>
  <c r="N11" i="18"/>
  <c r="N10" i="18"/>
  <c r="Q2" i="18"/>
  <c r="P2" i="18"/>
  <c r="O2" i="18"/>
  <c r="T33" i="18" s="1"/>
  <c r="X29" i="16"/>
  <c r="T29" i="16"/>
  <c r="P29" i="16"/>
  <c r="L29" i="16"/>
  <c r="G29" i="16"/>
  <c r="B29" i="16"/>
  <c r="X28" i="16"/>
  <c r="T28" i="16"/>
  <c r="P28" i="16"/>
  <c r="L28" i="16"/>
  <c r="G28" i="16"/>
  <c r="B28" i="16"/>
  <c r="X27" i="16"/>
  <c r="T27" i="16"/>
  <c r="P27" i="16"/>
  <c r="L27" i="16"/>
  <c r="G27" i="16"/>
  <c r="B27" i="16"/>
  <c r="X26" i="16"/>
  <c r="T26" i="16"/>
  <c r="P26" i="16"/>
  <c r="L26" i="16"/>
  <c r="G26" i="16"/>
  <c r="B26" i="16"/>
  <c r="X25" i="16"/>
  <c r="T25" i="16"/>
  <c r="P25" i="16"/>
  <c r="L25" i="16"/>
  <c r="G25" i="16"/>
  <c r="B25" i="16"/>
  <c r="X24" i="16"/>
  <c r="T24" i="16"/>
  <c r="P24" i="16"/>
  <c r="L24" i="16"/>
  <c r="G24" i="16"/>
  <c r="B24" i="16"/>
  <c r="X23" i="16"/>
  <c r="T23" i="16"/>
  <c r="P23" i="16"/>
  <c r="L23" i="16"/>
  <c r="G23" i="16"/>
  <c r="B23" i="16"/>
  <c r="X22" i="16"/>
  <c r="T22" i="16"/>
  <c r="P22" i="16"/>
  <c r="L22" i="16"/>
  <c r="G22" i="16"/>
  <c r="B22" i="16"/>
  <c r="X21" i="16"/>
  <c r="T21" i="16"/>
  <c r="P21" i="16"/>
  <c r="L21" i="16"/>
  <c r="G21" i="16"/>
  <c r="B21" i="16"/>
  <c r="X20" i="16"/>
  <c r="T20" i="16"/>
  <c r="P20" i="16"/>
  <c r="L20" i="16"/>
  <c r="G20" i="16"/>
  <c r="B20" i="16"/>
  <c r="X19" i="16"/>
  <c r="T19" i="16"/>
  <c r="P19" i="16"/>
  <c r="L19" i="16"/>
  <c r="G19" i="16"/>
  <c r="B19" i="16"/>
  <c r="X18" i="16"/>
  <c r="T18" i="16"/>
  <c r="P18" i="16"/>
  <c r="L18" i="16"/>
  <c r="G18" i="16"/>
  <c r="B18" i="16"/>
  <c r="X17" i="16"/>
  <c r="T17" i="16"/>
  <c r="P17" i="16"/>
  <c r="L17" i="16"/>
  <c r="G17" i="16"/>
  <c r="B17" i="16"/>
  <c r="X16" i="16"/>
  <c r="T16" i="16"/>
  <c r="P16" i="16"/>
  <c r="L16" i="16"/>
  <c r="G16" i="16"/>
  <c r="B16" i="16"/>
  <c r="X15" i="16"/>
  <c r="T15" i="16"/>
  <c r="P15" i="16"/>
  <c r="L15" i="16"/>
  <c r="G15" i="16"/>
  <c r="B15" i="16"/>
  <c r="X14" i="16"/>
  <c r="T14" i="16"/>
  <c r="P14" i="16"/>
  <c r="L14" i="16"/>
  <c r="G14" i="16"/>
  <c r="B14" i="16"/>
  <c r="X13" i="16"/>
  <c r="T13" i="16"/>
  <c r="P13" i="16"/>
  <c r="L13" i="16"/>
  <c r="G13" i="16"/>
  <c r="B13" i="16"/>
  <c r="X12" i="16"/>
  <c r="T12" i="16"/>
  <c r="P12" i="16"/>
  <c r="L12" i="16"/>
  <c r="G12" i="16"/>
  <c r="B12" i="16"/>
  <c r="X11" i="16"/>
  <c r="T11" i="16"/>
  <c r="P11" i="16"/>
  <c r="L11" i="16"/>
  <c r="G11" i="16"/>
  <c r="B11" i="16"/>
  <c r="X10" i="16"/>
  <c r="T10" i="16"/>
  <c r="P10" i="16"/>
  <c r="L10" i="16"/>
  <c r="G10" i="16"/>
  <c r="B10" i="16"/>
  <c r="X9" i="16"/>
  <c r="T9" i="16"/>
  <c r="P9" i="16"/>
  <c r="L9" i="16"/>
  <c r="G9" i="16"/>
  <c r="B9" i="16"/>
  <c r="X8" i="16"/>
  <c r="T8" i="16"/>
  <c r="P8" i="16"/>
  <c r="L8" i="16"/>
  <c r="G8" i="16"/>
  <c r="B8" i="16"/>
  <c r="X7" i="16"/>
  <c r="T7" i="16"/>
  <c r="P7" i="16"/>
  <c r="L7" i="16"/>
  <c r="G7" i="16"/>
  <c r="B7" i="16"/>
  <c r="X6" i="16"/>
  <c r="T6" i="16"/>
  <c r="P6" i="16"/>
  <c r="L6" i="16"/>
  <c r="G6" i="16"/>
  <c r="B6" i="16"/>
  <c r="AA24" i="15"/>
  <c r="Z24" i="15"/>
  <c r="Y24" i="15"/>
  <c r="W24" i="15"/>
  <c r="V24" i="15"/>
  <c r="U24" i="15"/>
  <c r="S24" i="15"/>
  <c r="R24" i="15"/>
  <c r="Q24" i="15"/>
  <c r="O24" i="15"/>
  <c r="N24" i="15"/>
  <c r="M24" i="15"/>
  <c r="K24" i="15"/>
  <c r="J24" i="15"/>
  <c r="I24" i="15"/>
  <c r="H24" i="15"/>
  <c r="F24" i="15"/>
  <c r="E24" i="15"/>
  <c r="D24" i="15"/>
  <c r="C24" i="15"/>
  <c r="AA23" i="15"/>
  <c r="Z23" i="15"/>
  <c r="Y23" i="15"/>
  <c r="W23" i="15"/>
  <c r="V23" i="15"/>
  <c r="U23" i="15"/>
  <c r="S23" i="15"/>
  <c r="R23" i="15"/>
  <c r="Q23" i="15"/>
  <c r="O23" i="15"/>
  <c r="N23" i="15"/>
  <c r="M23" i="15"/>
  <c r="K23" i="15"/>
  <c r="J23" i="15"/>
  <c r="I23" i="15"/>
  <c r="H23" i="15"/>
  <c r="F23" i="15"/>
  <c r="E23" i="15"/>
  <c r="D23" i="15"/>
  <c r="C23" i="15"/>
  <c r="AA22" i="15"/>
  <c r="Z22" i="15"/>
  <c r="Y22" i="15"/>
  <c r="W22" i="15"/>
  <c r="V22" i="15"/>
  <c r="U22" i="15"/>
  <c r="S22" i="15"/>
  <c r="R22" i="15"/>
  <c r="Q22" i="15"/>
  <c r="O22" i="15"/>
  <c r="N22" i="15"/>
  <c r="M22" i="15"/>
  <c r="K22" i="15"/>
  <c r="J22" i="15"/>
  <c r="I22" i="15"/>
  <c r="H22" i="15"/>
  <c r="F22" i="15"/>
  <c r="E22" i="15"/>
  <c r="D22" i="15"/>
  <c r="C22" i="15"/>
  <c r="AA21" i="15"/>
  <c r="Z21" i="15"/>
  <c r="Y21" i="15"/>
  <c r="W21" i="15"/>
  <c r="V21" i="15"/>
  <c r="U21" i="15"/>
  <c r="S21" i="15"/>
  <c r="R21" i="15"/>
  <c r="Q21" i="15"/>
  <c r="O21" i="15"/>
  <c r="N21" i="15"/>
  <c r="M21" i="15"/>
  <c r="K21" i="15"/>
  <c r="J21" i="15"/>
  <c r="I21" i="15"/>
  <c r="H21" i="15"/>
  <c r="F21" i="15"/>
  <c r="E21" i="15"/>
  <c r="D21" i="15"/>
  <c r="C21" i="15"/>
  <c r="AA20" i="15"/>
  <c r="Z20" i="15"/>
  <c r="Y20" i="15"/>
  <c r="W20" i="15"/>
  <c r="V20" i="15"/>
  <c r="U20" i="15"/>
  <c r="S20" i="15"/>
  <c r="R20" i="15"/>
  <c r="Q20" i="15"/>
  <c r="O20" i="15"/>
  <c r="N20" i="15"/>
  <c r="M20" i="15"/>
  <c r="K20" i="15"/>
  <c r="J20" i="15"/>
  <c r="I20" i="15"/>
  <c r="H20" i="15"/>
  <c r="F20" i="15"/>
  <c r="E20" i="15"/>
  <c r="D20" i="15"/>
  <c r="C20" i="15"/>
  <c r="AA19" i="15"/>
  <c r="Z19" i="15"/>
  <c r="Y19" i="15"/>
  <c r="W19" i="15"/>
  <c r="V19" i="15"/>
  <c r="U19" i="15"/>
  <c r="S19" i="15"/>
  <c r="R19" i="15"/>
  <c r="Q19" i="15"/>
  <c r="O19" i="15"/>
  <c r="N19" i="15"/>
  <c r="M19" i="15"/>
  <c r="K19" i="15"/>
  <c r="J19" i="15"/>
  <c r="I19" i="15"/>
  <c r="H19" i="15"/>
  <c r="F19" i="15"/>
  <c r="E19" i="15"/>
  <c r="D19" i="15"/>
  <c r="C19" i="15"/>
  <c r="AA18" i="15"/>
  <c r="Z18" i="15"/>
  <c r="Y18" i="15"/>
  <c r="W18" i="15"/>
  <c r="V18" i="15"/>
  <c r="U18" i="15"/>
  <c r="S18" i="15"/>
  <c r="R18" i="15"/>
  <c r="Q18" i="15"/>
  <c r="O18" i="15"/>
  <c r="N18" i="15"/>
  <c r="M18" i="15"/>
  <c r="K18" i="15"/>
  <c r="J18" i="15"/>
  <c r="I18" i="15"/>
  <c r="H18" i="15"/>
  <c r="F18" i="15"/>
  <c r="E18" i="15"/>
  <c r="D18" i="15"/>
  <c r="C18" i="15"/>
  <c r="AA17" i="15"/>
  <c r="Z17" i="15"/>
  <c r="Y17" i="15"/>
  <c r="W17" i="15"/>
  <c r="V17" i="15"/>
  <c r="U17" i="15"/>
  <c r="S17" i="15"/>
  <c r="R17" i="15"/>
  <c r="Q17" i="15"/>
  <c r="O17" i="15"/>
  <c r="N17" i="15"/>
  <c r="M17" i="15"/>
  <c r="K17" i="15"/>
  <c r="J17" i="15"/>
  <c r="I17" i="15"/>
  <c r="H17" i="15"/>
  <c r="F17" i="15"/>
  <c r="E17" i="15"/>
  <c r="D17" i="15"/>
  <c r="C17" i="15"/>
  <c r="AA16" i="15"/>
  <c r="Z16" i="15"/>
  <c r="Y16" i="15"/>
  <c r="W16" i="15"/>
  <c r="V16" i="15"/>
  <c r="U16" i="15"/>
  <c r="S16" i="15"/>
  <c r="R16" i="15"/>
  <c r="Q16" i="15"/>
  <c r="O16" i="15"/>
  <c r="N16" i="15"/>
  <c r="M16" i="15"/>
  <c r="K16" i="15"/>
  <c r="J16" i="15"/>
  <c r="I16" i="15"/>
  <c r="H16" i="15"/>
  <c r="F16" i="15"/>
  <c r="E16" i="15"/>
  <c r="D16" i="15"/>
  <c r="C16" i="15"/>
  <c r="AA15" i="15"/>
  <c r="Z15" i="15"/>
  <c r="Y15" i="15"/>
  <c r="W15" i="15"/>
  <c r="V15" i="15"/>
  <c r="U15" i="15"/>
  <c r="S15" i="15"/>
  <c r="R15" i="15"/>
  <c r="Q15" i="15"/>
  <c r="O15" i="15"/>
  <c r="N15" i="15"/>
  <c r="M15" i="15"/>
  <c r="K15" i="15"/>
  <c r="J15" i="15"/>
  <c r="I15" i="15"/>
  <c r="H15" i="15"/>
  <c r="F15" i="15"/>
  <c r="E15" i="15"/>
  <c r="D15" i="15"/>
  <c r="C15" i="15"/>
  <c r="AA14" i="15"/>
  <c r="Z14" i="15"/>
  <c r="Y14" i="15"/>
  <c r="W14" i="15"/>
  <c r="V14" i="15"/>
  <c r="U14" i="15"/>
  <c r="S14" i="15"/>
  <c r="R14" i="15"/>
  <c r="Q14" i="15"/>
  <c r="O14" i="15"/>
  <c r="N14" i="15"/>
  <c r="M14" i="15"/>
  <c r="K14" i="15"/>
  <c r="J14" i="15"/>
  <c r="I14" i="15"/>
  <c r="H14" i="15"/>
  <c r="F14" i="15"/>
  <c r="E14" i="15"/>
  <c r="D14" i="15"/>
  <c r="C14" i="15"/>
  <c r="AA13" i="15"/>
  <c r="Z13" i="15"/>
  <c r="Y13" i="15"/>
  <c r="W13" i="15"/>
  <c r="V13" i="15"/>
  <c r="U13" i="15"/>
  <c r="S13" i="15"/>
  <c r="R13" i="15"/>
  <c r="Q13" i="15"/>
  <c r="O13" i="15"/>
  <c r="N13" i="15"/>
  <c r="M13" i="15"/>
  <c r="K13" i="15"/>
  <c r="J13" i="15"/>
  <c r="I13" i="15"/>
  <c r="H13" i="15"/>
  <c r="F13" i="15"/>
  <c r="E13" i="15"/>
  <c r="D13" i="15"/>
  <c r="C13" i="15"/>
  <c r="AA12" i="15"/>
  <c r="Z12" i="15"/>
  <c r="Y12" i="15"/>
  <c r="W12" i="15"/>
  <c r="V12" i="15"/>
  <c r="U12" i="15"/>
  <c r="S12" i="15"/>
  <c r="R12" i="15"/>
  <c r="Q12" i="15"/>
  <c r="O12" i="15"/>
  <c r="N12" i="15"/>
  <c r="M12" i="15"/>
  <c r="K12" i="15"/>
  <c r="J12" i="15"/>
  <c r="I12" i="15"/>
  <c r="H12" i="15"/>
  <c r="F12" i="15"/>
  <c r="E12" i="15"/>
  <c r="D12" i="15"/>
  <c r="C12" i="15"/>
  <c r="AA11" i="15"/>
  <c r="Z11" i="15"/>
  <c r="Y11" i="15"/>
  <c r="W11" i="15"/>
  <c r="V11" i="15"/>
  <c r="U11" i="15"/>
  <c r="S11" i="15"/>
  <c r="R11" i="15"/>
  <c r="Q11" i="15"/>
  <c r="O11" i="15"/>
  <c r="N11" i="15"/>
  <c r="M11" i="15"/>
  <c r="K11" i="15"/>
  <c r="J11" i="15"/>
  <c r="I11" i="15"/>
  <c r="H11" i="15"/>
  <c r="F11" i="15"/>
  <c r="E11" i="15"/>
  <c r="D11" i="15"/>
  <c r="C11" i="15"/>
  <c r="AA10" i="15"/>
  <c r="Z10" i="15"/>
  <c r="Y10" i="15"/>
  <c r="W10" i="15"/>
  <c r="V10" i="15"/>
  <c r="U10" i="15"/>
  <c r="S10" i="15"/>
  <c r="R10" i="15"/>
  <c r="Q10" i="15"/>
  <c r="O10" i="15"/>
  <c r="N10" i="15"/>
  <c r="M10" i="15"/>
  <c r="K10" i="15"/>
  <c r="J10" i="15"/>
  <c r="I10" i="15"/>
  <c r="H10" i="15"/>
  <c r="F10" i="15"/>
  <c r="E10" i="15"/>
  <c r="D10" i="15"/>
  <c r="C10" i="15"/>
  <c r="AA9" i="15"/>
  <c r="Z9" i="15"/>
  <c r="Y9" i="15"/>
  <c r="W9" i="15"/>
  <c r="V9" i="15"/>
  <c r="U9" i="15"/>
  <c r="S9" i="15"/>
  <c r="R9" i="15"/>
  <c r="Q9" i="15"/>
  <c r="O9" i="15"/>
  <c r="N9" i="15"/>
  <c r="M9" i="15"/>
  <c r="K9" i="15"/>
  <c r="J9" i="15"/>
  <c r="I9" i="15"/>
  <c r="H9" i="15"/>
  <c r="F9" i="15"/>
  <c r="E9" i="15"/>
  <c r="D9" i="15"/>
  <c r="C9" i="15"/>
  <c r="AA8" i="15"/>
  <c r="Z8" i="15"/>
  <c r="Y8" i="15"/>
  <c r="W8" i="15"/>
  <c r="V8" i="15"/>
  <c r="U8" i="15"/>
  <c r="S8" i="15"/>
  <c r="R8" i="15"/>
  <c r="Q8" i="15"/>
  <c r="O8" i="15"/>
  <c r="N8" i="15"/>
  <c r="M8" i="15"/>
  <c r="K8" i="15"/>
  <c r="J8" i="15"/>
  <c r="I8" i="15"/>
  <c r="H8" i="15"/>
  <c r="F8" i="15"/>
  <c r="E8" i="15"/>
  <c r="D8" i="15"/>
  <c r="C8" i="15"/>
  <c r="AA7" i="15"/>
  <c r="Z7" i="15"/>
  <c r="Y7" i="15"/>
  <c r="W7" i="15"/>
  <c r="V7" i="15"/>
  <c r="U7" i="15"/>
  <c r="S7" i="15"/>
  <c r="R7" i="15"/>
  <c r="Q7" i="15"/>
  <c r="O7" i="15"/>
  <c r="N7" i="15"/>
  <c r="M7" i="15"/>
  <c r="K7" i="15"/>
  <c r="J7" i="15"/>
  <c r="I7" i="15"/>
  <c r="H7" i="15"/>
  <c r="F7" i="15"/>
  <c r="E7" i="15"/>
  <c r="D7" i="15"/>
  <c r="C7" i="15"/>
  <c r="AA6" i="15"/>
  <c r="Z6" i="15"/>
  <c r="Y6" i="15"/>
  <c r="W6" i="15"/>
  <c r="V6" i="15"/>
  <c r="U6" i="15"/>
  <c r="S6" i="15"/>
  <c r="R6" i="15"/>
  <c r="Q6" i="15"/>
  <c r="O6" i="15"/>
  <c r="N6" i="15"/>
  <c r="M6" i="15"/>
  <c r="K6" i="15"/>
  <c r="J6" i="15"/>
  <c r="I6" i="15"/>
  <c r="H6" i="15"/>
  <c r="F6" i="15"/>
  <c r="E6" i="15"/>
  <c r="D6" i="15"/>
  <c r="C6" i="15"/>
  <c r="BT99" i="13"/>
  <c r="BL99" i="13"/>
  <c r="BD99" i="13"/>
  <c r="AV99" i="13"/>
  <c r="AU99" i="13"/>
  <c r="AT99" i="13"/>
  <c r="AS99" i="13"/>
  <c r="AR99" i="13"/>
  <c r="AQ99" i="13"/>
  <c r="AP99" i="13"/>
  <c r="AO99" i="13"/>
  <c r="AF99" i="13"/>
  <c r="Z99" i="13"/>
  <c r="R99" i="13"/>
  <c r="J99" i="13"/>
  <c r="BT98" i="13"/>
  <c r="BL98" i="13"/>
  <c r="BD98" i="13"/>
  <c r="AV98" i="13"/>
  <c r="AU98" i="13"/>
  <c r="AT98" i="13"/>
  <c r="AS98" i="13"/>
  <c r="AR98" i="13"/>
  <c r="AQ98" i="13"/>
  <c r="AP98" i="13"/>
  <c r="AO98" i="13"/>
  <c r="AF98" i="13"/>
  <c r="Z98" i="13"/>
  <c r="R98" i="13"/>
  <c r="J98" i="13"/>
  <c r="BT97" i="13"/>
  <c r="BL97" i="13"/>
  <c r="BD97" i="13"/>
  <c r="AV97" i="13"/>
  <c r="AU97" i="13"/>
  <c r="AT97" i="13"/>
  <c r="AS97" i="13"/>
  <c r="AR97" i="13"/>
  <c r="AQ97" i="13"/>
  <c r="AP97" i="13"/>
  <c r="AO97" i="13"/>
  <c r="AF97" i="13"/>
  <c r="Z97" i="13"/>
  <c r="R97" i="13"/>
  <c r="J97" i="13"/>
  <c r="BT96" i="13"/>
  <c r="BL96" i="13"/>
  <c r="BD96" i="13"/>
  <c r="AV96" i="13"/>
  <c r="AU96" i="13"/>
  <c r="AT96" i="13"/>
  <c r="AS96" i="13"/>
  <c r="AR96" i="13"/>
  <c r="AQ96" i="13"/>
  <c r="AP96" i="13"/>
  <c r="AO96" i="13"/>
  <c r="AF96" i="13"/>
  <c r="Z96" i="13"/>
  <c r="R96" i="13"/>
  <c r="J96" i="13"/>
  <c r="BT95" i="13"/>
  <c r="BL95" i="13"/>
  <c r="BD95" i="13"/>
  <c r="AV95" i="13"/>
  <c r="AU95" i="13"/>
  <c r="AT95" i="13"/>
  <c r="AS95" i="13"/>
  <c r="AR95" i="13"/>
  <c r="AQ95" i="13"/>
  <c r="AP95" i="13"/>
  <c r="AO95" i="13"/>
  <c r="AF95" i="13"/>
  <c r="Z95" i="13"/>
  <c r="R95" i="13"/>
  <c r="J95" i="13"/>
  <c r="BT94" i="13"/>
  <c r="BL94" i="13"/>
  <c r="BD94" i="13"/>
  <c r="AV94" i="13"/>
  <c r="AU94" i="13"/>
  <c r="AT94" i="13"/>
  <c r="AS94" i="13"/>
  <c r="AR94" i="13"/>
  <c r="AQ94" i="13"/>
  <c r="AP94" i="13"/>
  <c r="AO94" i="13"/>
  <c r="AF94" i="13"/>
  <c r="Z94" i="13"/>
  <c r="R94" i="13"/>
  <c r="J94" i="13"/>
  <c r="BT93" i="13"/>
  <c r="BL93" i="13"/>
  <c r="BD93" i="13"/>
  <c r="AV93" i="13"/>
  <c r="AU93" i="13"/>
  <c r="AT93" i="13"/>
  <c r="AS93" i="13"/>
  <c r="AR93" i="13"/>
  <c r="AQ93" i="13"/>
  <c r="AP93" i="13"/>
  <c r="AO93" i="13"/>
  <c r="AF93" i="13"/>
  <c r="Z93" i="13"/>
  <c r="R93" i="13"/>
  <c r="J93" i="13"/>
  <c r="BT92" i="13"/>
  <c r="BL92" i="13"/>
  <c r="BD92" i="13"/>
  <c r="AV92" i="13"/>
  <c r="AU92" i="13"/>
  <c r="AT92" i="13"/>
  <c r="AS92" i="13"/>
  <c r="AR92" i="13"/>
  <c r="AQ92" i="13"/>
  <c r="AP92" i="13"/>
  <c r="AO92" i="13"/>
  <c r="AF92" i="13"/>
  <c r="Z92" i="13"/>
  <c r="R92" i="13"/>
  <c r="J92" i="13"/>
  <c r="BT91" i="13"/>
  <c r="BL91" i="13"/>
  <c r="BD91" i="13"/>
  <c r="AV91" i="13"/>
  <c r="AU91" i="13"/>
  <c r="AT91" i="13"/>
  <c r="AS91" i="13"/>
  <c r="AR91" i="13"/>
  <c r="AQ91" i="13"/>
  <c r="AP91" i="13"/>
  <c r="AO91" i="13"/>
  <c r="AF91" i="13"/>
  <c r="Z91" i="13"/>
  <c r="R91" i="13"/>
  <c r="J91" i="13"/>
  <c r="BT90" i="13"/>
  <c r="BL90" i="13"/>
  <c r="BD90" i="13"/>
  <c r="AV90" i="13"/>
  <c r="AU90" i="13"/>
  <c r="AT90" i="13"/>
  <c r="AS90" i="13"/>
  <c r="AR90" i="13"/>
  <c r="AQ90" i="13"/>
  <c r="AP90" i="13"/>
  <c r="AO90" i="13"/>
  <c r="AF90" i="13"/>
  <c r="Z90" i="13"/>
  <c r="R90" i="13"/>
  <c r="J90" i="13"/>
  <c r="BT89" i="13"/>
  <c r="BL89" i="13"/>
  <c r="BD89" i="13"/>
  <c r="AV89" i="13"/>
  <c r="AU89" i="13"/>
  <c r="AT89" i="13"/>
  <c r="AS89" i="13"/>
  <c r="AR89" i="13"/>
  <c r="AQ89" i="13"/>
  <c r="AP89" i="13"/>
  <c r="AO89" i="13"/>
  <c r="AF89" i="13"/>
  <c r="Z89" i="13"/>
  <c r="R89" i="13"/>
  <c r="J89" i="13"/>
  <c r="BT88" i="13"/>
  <c r="BL88" i="13"/>
  <c r="BD88" i="13"/>
  <c r="AV88" i="13"/>
  <c r="AU88" i="13"/>
  <c r="AT88" i="13"/>
  <c r="AS88" i="13"/>
  <c r="AR88" i="13"/>
  <c r="AQ88" i="13"/>
  <c r="AP88" i="13"/>
  <c r="AO88" i="13"/>
  <c r="AF88" i="13"/>
  <c r="Z88" i="13"/>
  <c r="R88" i="13"/>
  <c r="J88" i="13"/>
  <c r="BT87" i="13"/>
  <c r="BL87" i="13"/>
  <c r="BD87" i="13"/>
  <c r="AV87" i="13"/>
  <c r="AU87" i="13"/>
  <c r="AT87" i="13"/>
  <c r="AS87" i="13"/>
  <c r="AR87" i="13"/>
  <c r="AQ87" i="13"/>
  <c r="AP87" i="13"/>
  <c r="AO87" i="13"/>
  <c r="AF87" i="13"/>
  <c r="Z87" i="13"/>
  <c r="R87" i="13"/>
  <c r="J87" i="13"/>
  <c r="BT86" i="13"/>
  <c r="BL86" i="13"/>
  <c r="BD86" i="13"/>
  <c r="AV86" i="13"/>
  <c r="AU86" i="13"/>
  <c r="AT86" i="13"/>
  <c r="AS86" i="13"/>
  <c r="AR86" i="13"/>
  <c r="AQ86" i="13"/>
  <c r="AP86" i="13"/>
  <c r="AO86" i="13"/>
  <c r="AF86" i="13"/>
  <c r="Z86" i="13"/>
  <c r="R86" i="13"/>
  <c r="J86" i="13"/>
  <c r="BT85" i="13"/>
  <c r="BL85" i="13"/>
  <c r="BD85" i="13"/>
  <c r="AV85" i="13"/>
  <c r="AU85" i="13"/>
  <c r="AT85" i="13"/>
  <c r="AS85" i="13"/>
  <c r="AR85" i="13"/>
  <c r="AQ85" i="13"/>
  <c r="AP85" i="13"/>
  <c r="AO85" i="13"/>
  <c r="AF85" i="13"/>
  <c r="Z85" i="13"/>
  <c r="R85" i="13"/>
  <c r="J85" i="13"/>
  <c r="BT84" i="13"/>
  <c r="BL84" i="13"/>
  <c r="BD84" i="13"/>
  <c r="AV84" i="13"/>
  <c r="AU84" i="13"/>
  <c r="AT84" i="13"/>
  <c r="AS84" i="13"/>
  <c r="AR84" i="13"/>
  <c r="AQ84" i="13"/>
  <c r="AP84" i="13"/>
  <c r="AO84" i="13"/>
  <c r="AF84" i="13"/>
  <c r="Z84" i="13"/>
  <c r="R84" i="13"/>
  <c r="J84" i="13"/>
  <c r="BT83" i="13"/>
  <c r="BL83" i="13"/>
  <c r="BD83" i="13"/>
  <c r="AV83" i="13"/>
  <c r="AU83" i="13"/>
  <c r="AT83" i="13"/>
  <c r="AS83" i="13"/>
  <c r="AR83" i="13"/>
  <c r="AQ83" i="13"/>
  <c r="AP83" i="13"/>
  <c r="AO83" i="13"/>
  <c r="AF83" i="13"/>
  <c r="Z83" i="13"/>
  <c r="R83" i="13"/>
  <c r="J83" i="13"/>
  <c r="BT82" i="13"/>
  <c r="BL82" i="13"/>
  <c r="BD82" i="13"/>
  <c r="AV82" i="13"/>
  <c r="AU82" i="13"/>
  <c r="AT82" i="13"/>
  <c r="AS82" i="13"/>
  <c r="AR82" i="13"/>
  <c r="AQ82" i="13"/>
  <c r="AP82" i="13"/>
  <c r="AO82" i="13"/>
  <c r="AF82" i="13"/>
  <c r="Z82" i="13"/>
  <c r="R82" i="13"/>
  <c r="J82" i="13"/>
  <c r="BT81" i="13"/>
  <c r="BL81" i="13"/>
  <c r="BD81" i="13"/>
  <c r="AV81" i="13"/>
  <c r="AU81" i="13"/>
  <c r="AT81" i="13"/>
  <c r="AS81" i="13"/>
  <c r="AR81" i="13"/>
  <c r="AQ81" i="13"/>
  <c r="AP81" i="13"/>
  <c r="AO81" i="13"/>
  <c r="AF81" i="13"/>
  <c r="Z81" i="13"/>
  <c r="R81" i="13"/>
  <c r="J81" i="13"/>
  <c r="BT80" i="13"/>
  <c r="BL80" i="13"/>
  <c r="BD80" i="13"/>
  <c r="AV80" i="13"/>
  <c r="AU80" i="13"/>
  <c r="AT80" i="13"/>
  <c r="AS80" i="13"/>
  <c r="AR80" i="13"/>
  <c r="AQ80" i="13"/>
  <c r="AP80" i="13"/>
  <c r="AO80" i="13"/>
  <c r="AF80" i="13"/>
  <c r="Z80" i="13"/>
  <c r="R80" i="13"/>
  <c r="J80" i="13"/>
  <c r="BT79" i="13"/>
  <c r="BL79" i="13"/>
  <c r="BD79" i="13"/>
  <c r="AV79" i="13"/>
  <c r="AU79" i="13"/>
  <c r="AT79" i="13"/>
  <c r="AS79" i="13"/>
  <c r="AR79" i="13"/>
  <c r="AQ79" i="13"/>
  <c r="AP79" i="13"/>
  <c r="AO79" i="13"/>
  <c r="AF79" i="13"/>
  <c r="Z79" i="13"/>
  <c r="R79" i="13"/>
  <c r="J79" i="13"/>
  <c r="BT78" i="13"/>
  <c r="BL78" i="13"/>
  <c r="BD78" i="13"/>
  <c r="AV78" i="13"/>
  <c r="AU78" i="13"/>
  <c r="AT78" i="13"/>
  <c r="AS78" i="13"/>
  <c r="AR78" i="13"/>
  <c r="AQ78" i="13"/>
  <c r="AP78" i="13"/>
  <c r="AO78" i="13"/>
  <c r="AF78" i="13"/>
  <c r="Z78" i="13"/>
  <c r="R78" i="13"/>
  <c r="J78" i="13"/>
  <c r="BT77" i="13"/>
  <c r="BL77" i="13"/>
  <c r="BD77" i="13"/>
  <c r="AV77" i="13"/>
  <c r="AU77" i="13"/>
  <c r="AT77" i="13"/>
  <c r="AS77" i="13"/>
  <c r="AR77" i="13"/>
  <c r="AQ77" i="13"/>
  <c r="AP77" i="13"/>
  <c r="AO77" i="13"/>
  <c r="AF77" i="13"/>
  <c r="Z77" i="13"/>
  <c r="R77" i="13"/>
  <c r="J77" i="13"/>
  <c r="BT76" i="13"/>
  <c r="BL76" i="13"/>
  <c r="BD76" i="13"/>
  <c r="AV76" i="13"/>
  <c r="AU76" i="13"/>
  <c r="AT76" i="13"/>
  <c r="AS76" i="13"/>
  <c r="AR76" i="13"/>
  <c r="AQ76" i="13"/>
  <c r="AP76" i="13"/>
  <c r="AO76" i="13"/>
  <c r="AF76" i="13"/>
  <c r="Z76" i="13"/>
  <c r="R76" i="13"/>
  <c r="J76" i="13"/>
  <c r="BT75" i="13"/>
  <c r="BL75" i="13"/>
  <c r="BD75" i="13"/>
  <c r="AV75" i="13"/>
  <c r="AU75" i="13"/>
  <c r="AT75" i="13"/>
  <c r="AS75" i="13"/>
  <c r="AR75" i="13"/>
  <c r="AQ75" i="13"/>
  <c r="AP75" i="13"/>
  <c r="AO75" i="13"/>
  <c r="AF75" i="13"/>
  <c r="Z75" i="13"/>
  <c r="R75" i="13"/>
  <c r="J75" i="13"/>
  <c r="BT74" i="13"/>
  <c r="BL74" i="13"/>
  <c r="BD74" i="13"/>
  <c r="AV74" i="13"/>
  <c r="AU74" i="13"/>
  <c r="AT74" i="13"/>
  <c r="AS74" i="13"/>
  <c r="AR74" i="13"/>
  <c r="AQ74" i="13"/>
  <c r="AP74" i="13"/>
  <c r="AO74" i="13"/>
  <c r="AF74" i="13"/>
  <c r="Z74" i="13"/>
  <c r="R74" i="13"/>
  <c r="J74" i="13"/>
  <c r="BT73" i="13"/>
  <c r="BL73" i="13"/>
  <c r="BD73" i="13"/>
  <c r="AV73" i="13"/>
  <c r="AU73" i="13"/>
  <c r="AT73" i="13"/>
  <c r="AS73" i="13"/>
  <c r="AR73" i="13"/>
  <c r="AQ73" i="13"/>
  <c r="AP73" i="13"/>
  <c r="AO73" i="13"/>
  <c r="AF73" i="13"/>
  <c r="Z73" i="13"/>
  <c r="R73" i="13"/>
  <c r="J73" i="13"/>
  <c r="BT72" i="13"/>
  <c r="BL72" i="13"/>
  <c r="BD72" i="13"/>
  <c r="AV72" i="13"/>
  <c r="AU72" i="13"/>
  <c r="AT72" i="13"/>
  <c r="AS72" i="13"/>
  <c r="AR72" i="13"/>
  <c r="AQ72" i="13"/>
  <c r="AP72" i="13"/>
  <c r="AO72" i="13"/>
  <c r="AF72" i="13"/>
  <c r="Z72" i="13"/>
  <c r="R72" i="13"/>
  <c r="J72" i="13"/>
  <c r="BT71" i="13"/>
  <c r="BL71" i="13"/>
  <c r="BD71" i="13"/>
  <c r="AV71" i="13"/>
  <c r="AU71" i="13"/>
  <c r="AT71" i="13"/>
  <c r="AS71" i="13"/>
  <c r="AR71" i="13"/>
  <c r="AQ71" i="13"/>
  <c r="AP71" i="13"/>
  <c r="AO71" i="13"/>
  <c r="AF71" i="13"/>
  <c r="Z71" i="13"/>
  <c r="R71" i="13"/>
  <c r="J71" i="13"/>
  <c r="BT70" i="13"/>
  <c r="BL70" i="13"/>
  <c r="BD70" i="13"/>
  <c r="AV70" i="13"/>
  <c r="AU70" i="13"/>
  <c r="AT70" i="13"/>
  <c r="AS70" i="13"/>
  <c r="AR70" i="13"/>
  <c r="AQ70" i="13"/>
  <c r="AP70" i="13"/>
  <c r="AO70" i="13"/>
  <c r="AF70" i="13"/>
  <c r="Z70" i="13"/>
  <c r="R70" i="13"/>
  <c r="J70" i="13"/>
  <c r="BT69" i="13"/>
  <c r="BL69" i="13"/>
  <c r="BD69" i="13"/>
  <c r="AV69" i="13"/>
  <c r="AU69" i="13"/>
  <c r="AT69" i="13"/>
  <c r="AS69" i="13"/>
  <c r="AR69" i="13"/>
  <c r="AQ69" i="13"/>
  <c r="AP69" i="13"/>
  <c r="AO69" i="13"/>
  <c r="AF69" i="13"/>
  <c r="Z69" i="13"/>
  <c r="R69" i="13"/>
  <c r="J69" i="13"/>
  <c r="BT68" i="13"/>
  <c r="BL68" i="13"/>
  <c r="BD68" i="13"/>
  <c r="AV68" i="13"/>
  <c r="AU68" i="13"/>
  <c r="AT68" i="13"/>
  <c r="AS68" i="13"/>
  <c r="AR68" i="13"/>
  <c r="AQ68" i="13"/>
  <c r="AP68" i="13"/>
  <c r="AO68" i="13"/>
  <c r="AF68" i="13"/>
  <c r="Z68" i="13"/>
  <c r="R68" i="13"/>
  <c r="J68" i="13"/>
  <c r="BT67" i="13"/>
  <c r="BL67" i="13"/>
  <c r="BD67" i="13"/>
  <c r="AV67" i="13"/>
  <c r="AU67" i="13"/>
  <c r="AT67" i="13"/>
  <c r="AS67" i="13"/>
  <c r="AR67" i="13"/>
  <c r="AQ67" i="13"/>
  <c r="AP67" i="13"/>
  <c r="AO67" i="13"/>
  <c r="AF67" i="13"/>
  <c r="Z67" i="13"/>
  <c r="R67" i="13"/>
  <c r="J67" i="13"/>
  <c r="BT66" i="13"/>
  <c r="BL66" i="13"/>
  <c r="BD66" i="13"/>
  <c r="AV66" i="13"/>
  <c r="AU66" i="13"/>
  <c r="AT66" i="13"/>
  <c r="AS66" i="13"/>
  <c r="AR66" i="13"/>
  <c r="AQ66" i="13"/>
  <c r="AP66" i="13"/>
  <c r="AO66" i="13"/>
  <c r="AF66" i="13"/>
  <c r="Z66" i="13"/>
  <c r="R66" i="13"/>
  <c r="J66" i="13"/>
  <c r="BT65" i="13"/>
  <c r="BL65" i="13"/>
  <c r="BD65" i="13"/>
  <c r="AV65" i="13"/>
  <c r="AU65" i="13"/>
  <c r="AT65" i="13"/>
  <c r="AS65" i="13"/>
  <c r="AR65" i="13"/>
  <c r="AQ65" i="13"/>
  <c r="AP65" i="13"/>
  <c r="AO65" i="13"/>
  <c r="AF65" i="13"/>
  <c r="Z65" i="13"/>
  <c r="R65" i="13"/>
  <c r="J65" i="13"/>
  <c r="BT64" i="13"/>
  <c r="BL64" i="13"/>
  <c r="BD64" i="13"/>
  <c r="AV64" i="13"/>
  <c r="AU64" i="13"/>
  <c r="AT64" i="13"/>
  <c r="AS64" i="13"/>
  <c r="AR64" i="13"/>
  <c r="AQ64" i="13"/>
  <c r="AP64" i="13"/>
  <c r="AO64" i="13"/>
  <c r="AF64" i="13"/>
  <c r="Z64" i="13"/>
  <c r="R64" i="13"/>
  <c r="J64" i="13"/>
  <c r="BT63" i="13"/>
  <c r="BL63" i="13"/>
  <c r="BD63" i="13"/>
  <c r="AV63" i="13"/>
  <c r="AU63" i="13"/>
  <c r="AT63" i="13"/>
  <c r="AS63" i="13"/>
  <c r="AR63" i="13"/>
  <c r="AQ63" i="13"/>
  <c r="AP63" i="13"/>
  <c r="AO63" i="13"/>
  <c r="AF63" i="13"/>
  <c r="Z63" i="13"/>
  <c r="R63" i="13"/>
  <c r="J63" i="13"/>
  <c r="BT62" i="13"/>
  <c r="BL62" i="13"/>
  <c r="BD62" i="13"/>
  <c r="AV62" i="13"/>
  <c r="AU62" i="13"/>
  <c r="AT62" i="13"/>
  <c r="AS62" i="13"/>
  <c r="AR62" i="13"/>
  <c r="AQ62" i="13"/>
  <c r="AP62" i="13"/>
  <c r="AO62" i="13"/>
  <c r="AF62" i="13"/>
  <c r="Z62" i="13"/>
  <c r="R62" i="13"/>
  <c r="J62" i="13"/>
  <c r="BT61" i="13"/>
  <c r="BL61" i="13"/>
  <c r="BD61" i="13"/>
  <c r="AV61" i="13"/>
  <c r="AU61" i="13"/>
  <c r="AT61" i="13"/>
  <c r="AS61" i="13"/>
  <c r="AR61" i="13"/>
  <c r="AQ61" i="13"/>
  <c r="AP61" i="13"/>
  <c r="AO61" i="13"/>
  <c r="AF61" i="13"/>
  <c r="Z61" i="13"/>
  <c r="R61" i="13"/>
  <c r="J61" i="13"/>
  <c r="BT60" i="13"/>
  <c r="BL60" i="13"/>
  <c r="BD60" i="13"/>
  <c r="AV60" i="13"/>
  <c r="AU60" i="13"/>
  <c r="AT60" i="13"/>
  <c r="AS60" i="13"/>
  <c r="AR60" i="13"/>
  <c r="AQ60" i="13"/>
  <c r="AP60" i="13"/>
  <c r="AO60" i="13"/>
  <c r="AF60" i="13"/>
  <c r="Z60" i="13"/>
  <c r="R60" i="13"/>
  <c r="J60" i="13"/>
  <c r="BT59" i="13"/>
  <c r="BL59" i="13"/>
  <c r="BD59" i="13"/>
  <c r="AV59" i="13"/>
  <c r="AU59" i="13"/>
  <c r="AT59" i="13"/>
  <c r="AS59" i="13"/>
  <c r="AR59" i="13"/>
  <c r="AQ59" i="13"/>
  <c r="AP59" i="13"/>
  <c r="AO59" i="13"/>
  <c r="AF59" i="13"/>
  <c r="Z59" i="13"/>
  <c r="R59" i="13"/>
  <c r="J59" i="13"/>
  <c r="BT58" i="13"/>
  <c r="BL58" i="13"/>
  <c r="BD58" i="13"/>
  <c r="AV58" i="13"/>
  <c r="AU58" i="13"/>
  <c r="AT58" i="13"/>
  <c r="AS58" i="13"/>
  <c r="AR58" i="13"/>
  <c r="AQ58" i="13"/>
  <c r="AP58" i="13"/>
  <c r="AO58" i="13"/>
  <c r="AF58" i="13"/>
  <c r="Z58" i="13"/>
  <c r="R58" i="13"/>
  <c r="J58" i="13"/>
  <c r="BT57" i="13"/>
  <c r="BL57" i="13"/>
  <c r="BD57" i="13"/>
  <c r="AV57" i="13"/>
  <c r="AU57" i="13"/>
  <c r="AT57" i="13"/>
  <c r="AS57" i="13"/>
  <c r="AR57" i="13"/>
  <c r="AQ57" i="13"/>
  <c r="AP57" i="13"/>
  <c r="AO57" i="13"/>
  <c r="AF57" i="13"/>
  <c r="Z57" i="13"/>
  <c r="R57" i="13"/>
  <c r="J57" i="13"/>
  <c r="BT56" i="13"/>
  <c r="BL56" i="13"/>
  <c r="BD56" i="13"/>
  <c r="AV56" i="13"/>
  <c r="AU56" i="13"/>
  <c r="AT56" i="13"/>
  <c r="AS56" i="13"/>
  <c r="AR56" i="13"/>
  <c r="AQ56" i="13"/>
  <c r="AP56" i="13"/>
  <c r="AO56" i="13"/>
  <c r="AF56" i="13"/>
  <c r="Z56" i="13"/>
  <c r="R56" i="13"/>
  <c r="J56" i="13"/>
  <c r="BT55" i="13"/>
  <c r="BL55" i="13"/>
  <c r="BD55" i="13"/>
  <c r="AV55" i="13"/>
  <c r="AU55" i="13"/>
  <c r="AT55" i="13"/>
  <c r="AS55" i="13"/>
  <c r="AR55" i="13"/>
  <c r="AQ55" i="13"/>
  <c r="AP55" i="13"/>
  <c r="AO55" i="13"/>
  <c r="AF55" i="13"/>
  <c r="Z55" i="13"/>
  <c r="R55" i="13"/>
  <c r="J55" i="13"/>
  <c r="BT54" i="13"/>
  <c r="BL54" i="13"/>
  <c r="BD54" i="13"/>
  <c r="AV54" i="13"/>
  <c r="AU54" i="13"/>
  <c r="AT54" i="13"/>
  <c r="AS54" i="13"/>
  <c r="AR54" i="13"/>
  <c r="AQ54" i="13"/>
  <c r="AP54" i="13"/>
  <c r="AO54" i="13"/>
  <c r="AF54" i="13"/>
  <c r="Z54" i="13"/>
  <c r="R54" i="13"/>
  <c r="J54" i="13"/>
  <c r="BT53" i="13"/>
  <c r="BL53" i="13"/>
  <c r="BD53" i="13"/>
  <c r="AV53" i="13"/>
  <c r="AU53" i="13"/>
  <c r="AT53" i="13"/>
  <c r="AS53" i="13"/>
  <c r="AR53" i="13"/>
  <c r="AQ53" i="13"/>
  <c r="AP53" i="13"/>
  <c r="AO53" i="13"/>
  <c r="AF53" i="13"/>
  <c r="Z53" i="13"/>
  <c r="R53" i="13"/>
  <c r="J53" i="13"/>
  <c r="BT52" i="13"/>
  <c r="BL52" i="13"/>
  <c r="BD52" i="13"/>
  <c r="AV52" i="13"/>
  <c r="AU52" i="13"/>
  <c r="AT52" i="13"/>
  <c r="AS52" i="13"/>
  <c r="AR52" i="13"/>
  <c r="AQ52" i="13"/>
  <c r="AP52" i="13"/>
  <c r="AO52" i="13"/>
  <c r="AF52" i="13"/>
  <c r="Z52" i="13"/>
  <c r="R52" i="13"/>
  <c r="J52" i="13"/>
  <c r="BT51" i="13"/>
  <c r="BL51" i="13"/>
  <c r="BD51" i="13"/>
  <c r="AV51" i="13"/>
  <c r="AU51" i="13"/>
  <c r="AT51" i="13"/>
  <c r="AS51" i="13"/>
  <c r="AR51" i="13"/>
  <c r="AQ51" i="13"/>
  <c r="AP51" i="13"/>
  <c r="AO51" i="13"/>
  <c r="AF51" i="13"/>
  <c r="Z51" i="13"/>
  <c r="R51" i="13"/>
  <c r="J51" i="13"/>
  <c r="BT50" i="13"/>
  <c r="BL50" i="13"/>
  <c r="BD50" i="13"/>
  <c r="AV50" i="13"/>
  <c r="AU50" i="13"/>
  <c r="AT50" i="13"/>
  <c r="AS50" i="13"/>
  <c r="AR50" i="13"/>
  <c r="AQ50" i="13"/>
  <c r="AP50" i="13"/>
  <c r="AO50" i="13"/>
  <c r="AF50" i="13"/>
  <c r="Z50" i="13"/>
  <c r="R50" i="13"/>
  <c r="J50" i="13"/>
  <c r="BT49" i="13"/>
  <c r="BL49" i="13"/>
  <c r="BD49" i="13"/>
  <c r="AV49" i="13"/>
  <c r="AU49" i="13"/>
  <c r="AT49" i="13"/>
  <c r="AS49" i="13"/>
  <c r="AR49" i="13"/>
  <c r="AQ49" i="13"/>
  <c r="AP49" i="13"/>
  <c r="AO49" i="13"/>
  <c r="AF49" i="13"/>
  <c r="Z49" i="13"/>
  <c r="R49" i="13"/>
  <c r="J49" i="13"/>
  <c r="BT48" i="13"/>
  <c r="BL48" i="13"/>
  <c r="BD48" i="13"/>
  <c r="AV48" i="13"/>
  <c r="AU48" i="13"/>
  <c r="AT48" i="13"/>
  <c r="AS48" i="13"/>
  <c r="AR48" i="13"/>
  <c r="AQ48" i="13"/>
  <c r="AP48" i="13"/>
  <c r="AO48" i="13"/>
  <c r="AF48" i="13"/>
  <c r="Z48" i="13"/>
  <c r="R48" i="13"/>
  <c r="J48" i="13"/>
  <c r="BT47" i="13"/>
  <c r="BL47" i="13"/>
  <c r="BD47" i="13"/>
  <c r="AV47" i="13"/>
  <c r="AU47" i="13"/>
  <c r="AT47" i="13"/>
  <c r="AS47" i="13"/>
  <c r="AR47" i="13"/>
  <c r="AQ47" i="13"/>
  <c r="AP47" i="13"/>
  <c r="AO47" i="13"/>
  <c r="AF47" i="13"/>
  <c r="Z47" i="13"/>
  <c r="R47" i="13"/>
  <c r="J47" i="13"/>
  <c r="BT46" i="13"/>
  <c r="BL46" i="13"/>
  <c r="BD46" i="13"/>
  <c r="AV46" i="13"/>
  <c r="AU46" i="13"/>
  <c r="AT46" i="13"/>
  <c r="AS46" i="13"/>
  <c r="AR46" i="13"/>
  <c r="AQ46" i="13"/>
  <c r="AP46" i="13"/>
  <c r="AO46" i="13"/>
  <c r="AF46" i="13"/>
  <c r="Z46" i="13"/>
  <c r="R46" i="13"/>
  <c r="J46" i="13"/>
  <c r="BT45" i="13"/>
  <c r="BL45" i="13"/>
  <c r="BD45" i="13"/>
  <c r="AV45" i="13"/>
  <c r="AU45" i="13"/>
  <c r="AT45" i="13"/>
  <c r="AS45" i="13"/>
  <c r="AR45" i="13"/>
  <c r="AQ45" i="13"/>
  <c r="AP45" i="13"/>
  <c r="AO45" i="13"/>
  <c r="AF45" i="13"/>
  <c r="Z45" i="13"/>
  <c r="R45" i="13"/>
  <c r="J45" i="13"/>
  <c r="BT44" i="13"/>
  <c r="BL44" i="13"/>
  <c r="BD44" i="13"/>
  <c r="AV44" i="13"/>
  <c r="AU44" i="13"/>
  <c r="AT44" i="13"/>
  <c r="AS44" i="13"/>
  <c r="AR44" i="13"/>
  <c r="AQ44" i="13"/>
  <c r="AP44" i="13"/>
  <c r="AO44" i="13"/>
  <c r="AF44" i="13"/>
  <c r="Z44" i="13"/>
  <c r="R44" i="13"/>
  <c r="J44" i="13"/>
  <c r="BT43" i="13"/>
  <c r="BL43" i="13"/>
  <c r="BD43" i="13"/>
  <c r="AV43" i="13"/>
  <c r="AU43" i="13"/>
  <c r="AT43" i="13"/>
  <c r="AS43" i="13"/>
  <c r="AR43" i="13"/>
  <c r="AQ43" i="13"/>
  <c r="AP43" i="13"/>
  <c r="AO43" i="13"/>
  <c r="AF43" i="13"/>
  <c r="Z43" i="13"/>
  <c r="R43" i="13"/>
  <c r="J43" i="13"/>
  <c r="BT42" i="13"/>
  <c r="BL42" i="13"/>
  <c r="BD42" i="13"/>
  <c r="AV42" i="13"/>
  <c r="AU42" i="13"/>
  <c r="AT42" i="13"/>
  <c r="AS42" i="13"/>
  <c r="AR42" i="13"/>
  <c r="AQ42" i="13"/>
  <c r="AP42" i="13"/>
  <c r="AO42" i="13"/>
  <c r="AF42" i="13"/>
  <c r="Z42" i="13"/>
  <c r="R42" i="13"/>
  <c r="J42" i="13"/>
  <c r="BT41" i="13"/>
  <c r="BL41" i="13"/>
  <c r="BD41" i="13"/>
  <c r="AV41" i="13"/>
  <c r="AU41" i="13"/>
  <c r="AT41" i="13"/>
  <c r="AS41" i="13"/>
  <c r="AR41" i="13"/>
  <c r="AQ41" i="13"/>
  <c r="AP41" i="13"/>
  <c r="AO41" i="13"/>
  <c r="AF41" i="13"/>
  <c r="Z41" i="13"/>
  <c r="R41" i="13"/>
  <c r="J41" i="13"/>
  <c r="BT40" i="13"/>
  <c r="BL40" i="13"/>
  <c r="BD40" i="13"/>
  <c r="AV40" i="13"/>
  <c r="AU40" i="13"/>
  <c r="AT40" i="13"/>
  <c r="AS40" i="13"/>
  <c r="AR40" i="13"/>
  <c r="AQ40" i="13"/>
  <c r="AP40" i="13"/>
  <c r="AO40" i="13"/>
  <c r="AF40" i="13"/>
  <c r="Z40" i="13"/>
  <c r="R40" i="13"/>
  <c r="J40" i="13"/>
  <c r="BT39" i="13"/>
  <c r="BL39" i="13"/>
  <c r="BD39" i="13"/>
  <c r="AV39" i="13"/>
  <c r="AU39" i="13"/>
  <c r="AT39" i="13"/>
  <c r="AS39" i="13"/>
  <c r="AR39" i="13"/>
  <c r="AQ39" i="13"/>
  <c r="AP39" i="13"/>
  <c r="AO39" i="13"/>
  <c r="AF39" i="13"/>
  <c r="Z39" i="13"/>
  <c r="R39" i="13"/>
  <c r="J39" i="13"/>
  <c r="BT38" i="13"/>
  <c r="BL38" i="13"/>
  <c r="BD38" i="13"/>
  <c r="AV38" i="13"/>
  <c r="AU38" i="13"/>
  <c r="AT38" i="13"/>
  <c r="AS38" i="13"/>
  <c r="AR38" i="13"/>
  <c r="AQ38" i="13"/>
  <c r="AP38" i="13"/>
  <c r="AO38" i="13"/>
  <c r="AF38" i="13"/>
  <c r="Z38" i="13"/>
  <c r="R38" i="13"/>
  <c r="J38" i="13"/>
  <c r="BT37" i="13"/>
  <c r="BL37" i="13"/>
  <c r="BD37" i="13"/>
  <c r="AV37" i="13"/>
  <c r="AU37" i="13"/>
  <c r="AT37" i="13"/>
  <c r="AS37" i="13"/>
  <c r="AR37" i="13"/>
  <c r="AQ37" i="13"/>
  <c r="AP37" i="13"/>
  <c r="AO37" i="13"/>
  <c r="AF37" i="13"/>
  <c r="Z37" i="13"/>
  <c r="R37" i="13"/>
  <c r="J37" i="13"/>
  <c r="BT36" i="13"/>
  <c r="BL36" i="13"/>
  <c r="BD36" i="13"/>
  <c r="AV36" i="13"/>
  <c r="AU36" i="13"/>
  <c r="AT36" i="13"/>
  <c r="AS36" i="13"/>
  <c r="AR36" i="13"/>
  <c r="AQ36" i="13"/>
  <c r="AP36" i="13"/>
  <c r="AO36" i="13"/>
  <c r="AF36" i="13"/>
  <c r="Z36" i="13"/>
  <c r="R36" i="13"/>
  <c r="J36" i="13"/>
  <c r="BT35" i="13"/>
  <c r="BL35" i="13"/>
  <c r="BD35" i="13"/>
  <c r="AV35" i="13"/>
  <c r="AU35" i="13"/>
  <c r="AT35" i="13"/>
  <c r="AS35" i="13"/>
  <c r="AR35" i="13"/>
  <c r="AQ35" i="13"/>
  <c r="AP35" i="13"/>
  <c r="AO35" i="13"/>
  <c r="AF35" i="13"/>
  <c r="Z35" i="13"/>
  <c r="R35" i="13"/>
  <c r="J35" i="13"/>
  <c r="BT34" i="13"/>
  <c r="BL34" i="13"/>
  <c r="BD34" i="13"/>
  <c r="AV34" i="13"/>
  <c r="AU34" i="13"/>
  <c r="AT34" i="13"/>
  <c r="AS34" i="13"/>
  <c r="AR34" i="13"/>
  <c r="AQ34" i="13"/>
  <c r="AP34" i="13"/>
  <c r="AO34" i="13"/>
  <c r="AF34" i="13"/>
  <c r="Z34" i="13"/>
  <c r="R34" i="13"/>
  <c r="J34" i="13"/>
  <c r="BT33" i="13"/>
  <c r="BL33" i="13"/>
  <c r="BD33" i="13"/>
  <c r="AV33" i="13"/>
  <c r="AU33" i="13"/>
  <c r="AT33" i="13"/>
  <c r="AS33" i="13"/>
  <c r="AR33" i="13"/>
  <c r="AQ33" i="13"/>
  <c r="AP33" i="13"/>
  <c r="AO33" i="13"/>
  <c r="AF33" i="13"/>
  <c r="Z33" i="13"/>
  <c r="R33" i="13"/>
  <c r="J33" i="13"/>
  <c r="BT32" i="13"/>
  <c r="BL32" i="13"/>
  <c r="BD32" i="13"/>
  <c r="AV32" i="13"/>
  <c r="AU32" i="13"/>
  <c r="AT32" i="13"/>
  <c r="AS32" i="13"/>
  <c r="AR32" i="13"/>
  <c r="AQ32" i="13"/>
  <c r="AP32" i="13"/>
  <c r="AO32" i="13"/>
  <c r="AF32" i="13"/>
  <c r="Z32" i="13"/>
  <c r="R32" i="13"/>
  <c r="J32" i="13"/>
  <c r="BT31" i="13"/>
  <c r="BL31" i="13"/>
  <c r="BD31" i="13"/>
  <c r="AV31" i="13"/>
  <c r="AU31" i="13"/>
  <c r="AT31" i="13"/>
  <c r="AS31" i="13"/>
  <c r="AR31" i="13"/>
  <c r="AQ31" i="13"/>
  <c r="AP31" i="13"/>
  <c r="AO31" i="13"/>
  <c r="AF31" i="13"/>
  <c r="Z31" i="13"/>
  <c r="R31" i="13"/>
  <c r="J31" i="13"/>
  <c r="BT30" i="13"/>
  <c r="BL30" i="13"/>
  <c r="BD30" i="13"/>
  <c r="AV30" i="13"/>
  <c r="AU30" i="13"/>
  <c r="AT30" i="13"/>
  <c r="AS30" i="13"/>
  <c r="AR30" i="13"/>
  <c r="AQ30" i="13"/>
  <c r="AP30" i="13"/>
  <c r="AO30" i="13"/>
  <c r="AF30" i="13"/>
  <c r="Z30" i="13"/>
  <c r="R30" i="13"/>
  <c r="J30" i="13"/>
  <c r="BT29" i="13"/>
  <c r="BL29" i="13"/>
  <c r="BD29" i="13"/>
  <c r="AV29" i="13"/>
  <c r="AU29" i="13"/>
  <c r="AT29" i="13"/>
  <c r="AS29" i="13"/>
  <c r="AR29" i="13"/>
  <c r="AQ29" i="13"/>
  <c r="AP29" i="13"/>
  <c r="AO29" i="13"/>
  <c r="AF29" i="13"/>
  <c r="Z29" i="13"/>
  <c r="R29" i="13"/>
  <c r="J29" i="13"/>
  <c r="BT28" i="13"/>
  <c r="BL28" i="13"/>
  <c r="BD28" i="13"/>
  <c r="AV28" i="13"/>
  <c r="AU28" i="13"/>
  <c r="AT28" i="13"/>
  <c r="AS28" i="13"/>
  <c r="AR28" i="13"/>
  <c r="AQ28" i="13"/>
  <c r="AP28" i="13"/>
  <c r="AO28" i="13"/>
  <c r="AF28" i="13"/>
  <c r="Z28" i="13"/>
  <c r="R28" i="13"/>
  <c r="J28" i="13"/>
  <c r="BT27" i="13"/>
  <c r="BL27" i="13"/>
  <c r="BD27" i="13"/>
  <c r="AV27" i="13"/>
  <c r="AU27" i="13"/>
  <c r="AT27" i="13"/>
  <c r="AS27" i="13"/>
  <c r="AR27" i="13"/>
  <c r="AQ27" i="13"/>
  <c r="AP27" i="13"/>
  <c r="AO27" i="13"/>
  <c r="AF27" i="13"/>
  <c r="Z27" i="13"/>
  <c r="R27" i="13"/>
  <c r="J27" i="13"/>
  <c r="BT26" i="13"/>
  <c r="BL26" i="13"/>
  <c r="BD26" i="13"/>
  <c r="AV26" i="13"/>
  <c r="AU26" i="13"/>
  <c r="AT26" i="13"/>
  <c r="AS26" i="13"/>
  <c r="AR26" i="13"/>
  <c r="AQ26" i="13"/>
  <c r="AP26" i="13"/>
  <c r="AO26" i="13"/>
  <c r="AF26" i="13"/>
  <c r="Z26" i="13"/>
  <c r="R26" i="13"/>
  <c r="J26" i="13"/>
  <c r="BT25" i="13"/>
  <c r="BL25" i="13"/>
  <c r="BD25" i="13"/>
  <c r="AV25" i="13"/>
  <c r="AU25" i="13"/>
  <c r="AT25" i="13"/>
  <c r="AS25" i="13"/>
  <c r="AR25" i="13"/>
  <c r="AQ25" i="13"/>
  <c r="AP25" i="13"/>
  <c r="AO25" i="13"/>
  <c r="AF25" i="13"/>
  <c r="Z25" i="13"/>
  <c r="R25" i="13"/>
  <c r="J25" i="13"/>
  <c r="BT24" i="13"/>
  <c r="BL24" i="13"/>
  <c r="BD24" i="13"/>
  <c r="AV24" i="13"/>
  <c r="AU24" i="13"/>
  <c r="AT24" i="13"/>
  <c r="AS24" i="13"/>
  <c r="AR24" i="13"/>
  <c r="AQ24" i="13"/>
  <c r="AP24" i="13"/>
  <c r="AO24" i="13"/>
  <c r="AF24" i="13"/>
  <c r="Z24" i="13"/>
  <c r="R24" i="13"/>
  <c r="J24" i="13"/>
  <c r="BT23" i="13"/>
  <c r="BL23" i="13"/>
  <c r="BD23" i="13"/>
  <c r="AV23" i="13"/>
  <c r="AU23" i="13"/>
  <c r="AT23" i="13"/>
  <c r="AS23" i="13"/>
  <c r="AR23" i="13"/>
  <c r="AQ23" i="13"/>
  <c r="AP23" i="13"/>
  <c r="AO23" i="13"/>
  <c r="AF23" i="13"/>
  <c r="Z23" i="13"/>
  <c r="R23" i="13"/>
  <c r="J23" i="13"/>
  <c r="BT22" i="13"/>
  <c r="BL22" i="13"/>
  <c r="BD22" i="13"/>
  <c r="AV22" i="13"/>
  <c r="AU22" i="13"/>
  <c r="AT22" i="13"/>
  <c r="AS22" i="13"/>
  <c r="AR22" i="13"/>
  <c r="AQ22" i="13"/>
  <c r="AP22" i="13"/>
  <c r="AO22" i="13"/>
  <c r="AF22" i="13"/>
  <c r="Z22" i="13"/>
  <c r="R22" i="13"/>
  <c r="J22" i="13"/>
  <c r="BT21" i="13"/>
  <c r="BL21" i="13"/>
  <c r="BD21" i="13"/>
  <c r="AV21" i="13"/>
  <c r="AU21" i="13"/>
  <c r="AT21" i="13"/>
  <c r="AS21" i="13"/>
  <c r="AR21" i="13"/>
  <c r="AQ21" i="13"/>
  <c r="AP21" i="13"/>
  <c r="AO21" i="13"/>
  <c r="AF21" i="13"/>
  <c r="Z21" i="13"/>
  <c r="R21" i="13"/>
  <c r="J21" i="13"/>
  <c r="BT20" i="13"/>
  <c r="BL20" i="13"/>
  <c r="BD20" i="13"/>
  <c r="AV20" i="13"/>
  <c r="AU20" i="13"/>
  <c r="AT20" i="13"/>
  <c r="AS20" i="13"/>
  <c r="AR20" i="13"/>
  <c r="AQ20" i="13"/>
  <c r="AP20" i="13"/>
  <c r="AO20" i="13"/>
  <c r="AF20" i="13"/>
  <c r="Z20" i="13"/>
  <c r="R20" i="13"/>
  <c r="J20" i="13"/>
  <c r="BT19" i="13"/>
  <c r="BL19" i="13"/>
  <c r="BD19" i="13"/>
  <c r="AV19" i="13"/>
  <c r="AU19" i="13"/>
  <c r="AT19" i="13"/>
  <c r="AS19" i="13"/>
  <c r="AR19" i="13"/>
  <c r="AQ19" i="13"/>
  <c r="AP19" i="13"/>
  <c r="AO19" i="13"/>
  <c r="AF19" i="13"/>
  <c r="Z19" i="13"/>
  <c r="R19" i="13"/>
  <c r="J19" i="13"/>
  <c r="BT18" i="13"/>
  <c r="BL18" i="13"/>
  <c r="BD18" i="13"/>
  <c r="AV18" i="13"/>
  <c r="AU18" i="13"/>
  <c r="AT18" i="13"/>
  <c r="AS18" i="13"/>
  <c r="AR18" i="13"/>
  <c r="AQ18" i="13"/>
  <c r="AP18" i="13"/>
  <c r="AO18" i="13"/>
  <c r="AF18" i="13"/>
  <c r="Z18" i="13"/>
  <c r="R18" i="13"/>
  <c r="J18" i="13"/>
  <c r="BT17" i="13"/>
  <c r="BL17" i="13"/>
  <c r="BD17" i="13"/>
  <c r="AV17" i="13"/>
  <c r="AU17" i="13"/>
  <c r="AT17" i="13"/>
  <c r="AS17" i="13"/>
  <c r="AR17" i="13"/>
  <c r="AQ17" i="13"/>
  <c r="AP17" i="13"/>
  <c r="AO17" i="13"/>
  <c r="AF17" i="13"/>
  <c r="Z17" i="13"/>
  <c r="R17" i="13"/>
  <c r="J17" i="13"/>
  <c r="BT16" i="13"/>
  <c r="BL16" i="13"/>
  <c r="BD16" i="13"/>
  <c r="AV16" i="13"/>
  <c r="AU16" i="13"/>
  <c r="AT16" i="13"/>
  <c r="AS16" i="13"/>
  <c r="AR16" i="13"/>
  <c r="AQ16" i="13"/>
  <c r="AP16" i="13"/>
  <c r="AO16" i="13"/>
  <c r="AF16" i="13"/>
  <c r="Z16" i="13"/>
  <c r="R16" i="13"/>
  <c r="J16" i="13"/>
  <c r="BT15" i="13"/>
  <c r="BL15" i="13"/>
  <c r="BD15" i="13"/>
  <c r="AV15" i="13"/>
  <c r="AU15" i="13"/>
  <c r="AT15" i="13"/>
  <c r="AS15" i="13"/>
  <c r="AR15" i="13"/>
  <c r="AQ15" i="13"/>
  <c r="AP15" i="13"/>
  <c r="AO15" i="13"/>
  <c r="AF15" i="13"/>
  <c r="Z15" i="13"/>
  <c r="R15" i="13"/>
  <c r="J15" i="13"/>
  <c r="BT14" i="13"/>
  <c r="BL14" i="13"/>
  <c r="BD14" i="13"/>
  <c r="AV14" i="13"/>
  <c r="AU14" i="13"/>
  <c r="AT14" i="13"/>
  <c r="AS14" i="13"/>
  <c r="AR14" i="13"/>
  <c r="AQ14" i="13"/>
  <c r="AP14" i="13"/>
  <c r="AO14" i="13"/>
  <c r="AF14" i="13"/>
  <c r="Z14" i="13"/>
  <c r="R14" i="13"/>
  <c r="J14" i="13"/>
  <c r="BT13" i="13"/>
  <c r="BL13" i="13"/>
  <c r="BD13" i="13"/>
  <c r="AV13" i="13"/>
  <c r="AU13" i="13"/>
  <c r="AT13" i="13"/>
  <c r="AS13" i="13"/>
  <c r="AR13" i="13"/>
  <c r="AQ13" i="13"/>
  <c r="AP13" i="13"/>
  <c r="AO13" i="13"/>
  <c r="AF13" i="13"/>
  <c r="Z13" i="13"/>
  <c r="R13" i="13"/>
  <c r="J13" i="13"/>
  <c r="BT12" i="13"/>
  <c r="BL12" i="13"/>
  <c r="BD12" i="13"/>
  <c r="AV12" i="13"/>
  <c r="AU12" i="13"/>
  <c r="AT12" i="13"/>
  <c r="AS12" i="13"/>
  <c r="AR12" i="13"/>
  <c r="AQ12" i="13"/>
  <c r="AP12" i="13"/>
  <c r="AO12" i="13"/>
  <c r="AF12" i="13"/>
  <c r="Z12" i="13"/>
  <c r="R12" i="13"/>
  <c r="J12" i="13"/>
  <c r="BT11" i="13"/>
  <c r="BL11" i="13"/>
  <c r="BD11" i="13"/>
  <c r="AV11" i="13"/>
  <c r="AU11" i="13"/>
  <c r="AT11" i="13"/>
  <c r="AS11" i="13"/>
  <c r="AR11" i="13"/>
  <c r="AQ11" i="13"/>
  <c r="AP11" i="13"/>
  <c r="AO11" i="13"/>
  <c r="AF11" i="13"/>
  <c r="Z11" i="13"/>
  <c r="R11" i="13"/>
  <c r="J11" i="13"/>
  <c r="BT10" i="13"/>
  <c r="BL10" i="13"/>
  <c r="BD10" i="13"/>
  <c r="AV10" i="13"/>
  <c r="AU10" i="13"/>
  <c r="AT10" i="13"/>
  <c r="AS10" i="13"/>
  <c r="AR10" i="13"/>
  <c r="AQ10" i="13"/>
  <c r="AP10" i="13"/>
  <c r="AO10" i="13"/>
  <c r="AF10" i="13"/>
  <c r="Z10" i="13"/>
  <c r="R10" i="13"/>
  <c r="J10" i="13"/>
  <c r="BT9" i="13"/>
  <c r="BL9" i="13"/>
  <c r="BD9" i="13"/>
  <c r="AV9" i="13"/>
  <c r="AU9" i="13"/>
  <c r="AT9" i="13"/>
  <c r="AS9" i="13"/>
  <c r="AR9" i="13"/>
  <c r="AQ9" i="13"/>
  <c r="AP9" i="13"/>
  <c r="AO9" i="13"/>
  <c r="AF9" i="13"/>
  <c r="Z9" i="13"/>
  <c r="R9" i="13"/>
  <c r="J9" i="13"/>
  <c r="BT8" i="13"/>
  <c r="BL8" i="13"/>
  <c r="BD8" i="13"/>
  <c r="AV8" i="13"/>
  <c r="AU8" i="13"/>
  <c r="AT8" i="13"/>
  <c r="AS8" i="13"/>
  <c r="AR8" i="13"/>
  <c r="AQ8" i="13"/>
  <c r="AP8" i="13"/>
  <c r="AO8" i="13"/>
  <c r="AF8" i="13"/>
  <c r="Z8" i="13"/>
  <c r="R8" i="13"/>
  <c r="J8" i="13"/>
  <c r="BT7" i="13"/>
  <c r="BL7" i="13"/>
  <c r="BD7" i="13"/>
  <c r="AV7" i="13"/>
  <c r="AU7" i="13"/>
  <c r="AT7" i="13"/>
  <c r="AS7" i="13"/>
  <c r="AR7" i="13"/>
  <c r="AQ7" i="13"/>
  <c r="AP7" i="13"/>
  <c r="AO7" i="13"/>
  <c r="AF7" i="13"/>
  <c r="Z7" i="13"/>
  <c r="R7" i="13"/>
  <c r="J7" i="13"/>
  <c r="BT6" i="13"/>
  <c r="BL6" i="13"/>
  <c r="BD6" i="13"/>
  <c r="AV6" i="13"/>
  <c r="AU6" i="13"/>
  <c r="AT6" i="13"/>
  <c r="AS6" i="13"/>
  <c r="AR6" i="13"/>
  <c r="AQ6" i="13"/>
  <c r="AP6" i="13"/>
  <c r="AO6" i="13"/>
  <c r="AF6" i="13"/>
  <c r="Z6" i="13"/>
  <c r="R6" i="13"/>
  <c r="J6" i="13"/>
  <c r="BT99" i="12"/>
  <c r="BK99" i="12"/>
  <c r="BH99" i="12"/>
  <c r="BD99" i="12"/>
  <c r="AZ99" i="12"/>
  <c r="AV99" i="12"/>
  <c r="AS99" i="12"/>
  <c r="AL99" i="12"/>
  <c r="AD99" i="12"/>
  <c r="AC99" i="12"/>
  <c r="AB99" i="12"/>
  <c r="AA99" i="12"/>
  <c r="Z99" i="12"/>
  <c r="Y99" i="12"/>
  <c r="X99" i="12"/>
  <c r="W99" i="12"/>
  <c r="V99" i="12"/>
  <c r="U99" i="12"/>
  <c r="K99" i="12"/>
  <c r="BT98" i="12"/>
  <c r="BK98" i="12"/>
  <c r="BH98" i="12"/>
  <c r="BD98" i="12"/>
  <c r="AZ98" i="12"/>
  <c r="AV98" i="12"/>
  <c r="AS98" i="12"/>
  <c r="AL98" i="12"/>
  <c r="AD98" i="12"/>
  <c r="AC98" i="12"/>
  <c r="AB98" i="12"/>
  <c r="AA98" i="12"/>
  <c r="Z98" i="12"/>
  <c r="Y98" i="12"/>
  <c r="X98" i="12"/>
  <c r="W98" i="12"/>
  <c r="V98" i="12"/>
  <c r="U98" i="12"/>
  <c r="K98" i="12"/>
  <c r="BT97" i="12"/>
  <c r="BK97" i="12"/>
  <c r="BH97" i="12"/>
  <c r="BD97" i="12"/>
  <c r="AZ97" i="12"/>
  <c r="AV97" i="12"/>
  <c r="AS97" i="12"/>
  <c r="AL97" i="12"/>
  <c r="AD97" i="12"/>
  <c r="AC97" i="12"/>
  <c r="AB97" i="12"/>
  <c r="AA97" i="12"/>
  <c r="Z97" i="12"/>
  <c r="Y97" i="12"/>
  <c r="X97" i="12"/>
  <c r="W97" i="12"/>
  <c r="V97" i="12"/>
  <c r="U97" i="12"/>
  <c r="K97" i="12"/>
  <c r="BT96" i="12"/>
  <c r="BK96" i="12"/>
  <c r="BH96" i="12"/>
  <c r="BD96" i="12"/>
  <c r="AZ96" i="12"/>
  <c r="AV96" i="12"/>
  <c r="AS96" i="12"/>
  <c r="AL96" i="12"/>
  <c r="AD96" i="12"/>
  <c r="AC96" i="12"/>
  <c r="AB96" i="12"/>
  <c r="AA96" i="12"/>
  <c r="Z96" i="12"/>
  <c r="Y96" i="12"/>
  <c r="X96" i="12"/>
  <c r="W96" i="12"/>
  <c r="V96" i="12"/>
  <c r="U96" i="12"/>
  <c r="K96" i="12"/>
  <c r="BT95" i="12"/>
  <c r="BK95" i="12"/>
  <c r="BH95" i="12"/>
  <c r="BD95" i="12"/>
  <c r="AZ95" i="12"/>
  <c r="AV95" i="12"/>
  <c r="AS95" i="12"/>
  <c r="AL95" i="12"/>
  <c r="AD95" i="12"/>
  <c r="AC95" i="12"/>
  <c r="AB95" i="12"/>
  <c r="AA95" i="12"/>
  <c r="Z95" i="12"/>
  <c r="Y95" i="12"/>
  <c r="X95" i="12"/>
  <c r="W95" i="12"/>
  <c r="V95" i="12"/>
  <c r="U95" i="12"/>
  <c r="K95" i="12"/>
  <c r="BT94" i="12"/>
  <c r="BK94" i="12"/>
  <c r="BH94" i="12"/>
  <c r="BD94" i="12"/>
  <c r="AZ94" i="12"/>
  <c r="AV94" i="12"/>
  <c r="AS94" i="12"/>
  <c r="AL94" i="12"/>
  <c r="AD94" i="12"/>
  <c r="AC94" i="12"/>
  <c r="AB94" i="12"/>
  <c r="AA94" i="12"/>
  <c r="Z94" i="12"/>
  <c r="Y94" i="12"/>
  <c r="X94" i="12"/>
  <c r="W94" i="12"/>
  <c r="V94" i="12"/>
  <c r="U94" i="12"/>
  <c r="K94" i="12"/>
  <c r="BT93" i="12"/>
  <c r="BK93" i="12"/>
  <c r="BH93" i="12"/>
  <c r="BD93" i="12"/>
  <c r="AZ93" i="12"/>
  <c r="AV93" i="12"/>
  <c r="AS93" i="12"/>
  <c r="AL93" i="12"/>
  <c r="AD93" i="12"/>
  <c r="AC93" i="12"/>
  <c r="AB93" i="12"/>
  <c r="AA93" i="12"/>
  <c r="Z93" i="12"/>
  <c r="Y93" i="12"/>
  <c r="X93" i="12"/>
  <c r="W93" i="12"/>
  <c r="V93" i="12"/>
  <c r="U93" i="12"/>
  <c r="K93" i="12"/>
  <c r="BT92" i="12"/>
  <c r="BK92" i="12"/>
  <c r="BH92" i="12"/>
  <c r="BD92" i="12"/>
  <c r="AZ92" i="12"/>
  <c r="AV92" i="12"/>
  <c r="AS92" i="12"/>
  <c r="AL92" i="12"/>
  <c r="AD92" i="12"/>
  <c r="AC92" i="12"/>
  <c r="AB92" i="12"/>
  <c r="AA92" i="12"/>
  <c r="Z92" i="12"/>
  <c r="Y92" i="12"/>
  <c r="X92" i="12"/>
  <c r="W92" i="12"/>
  <c r="V92" i="12"/>
  <c r="U92" i="12"/>
  <c r="K92" i="12"/>
  <c r="BT91" i="12"/>
  <c r="BK91" i="12"/>
  <c r="BH91" i="12"/>
  <c r="BD91" i="12"/>
  <c r="AZ91" i="12"/>
  <c r="AV91" i="12"/>
  <c r="AS91" i="12"/>
  <c r="AL91" i="12"/>
  <c r="AD91" i="12"/>
  <c r="AC91" i="12"/>
  <c r="AB91" i="12"/>
  <c r="AA91" i="12"/>
  <c r="Z91" i="12"/>
  <c r="Y91" i="12"/>
  <c r="X91" i="12"/>
  <c r="W91" i="12"/>
  <c r="V91" i="12"/>
  <c r="U91" i="12"/>
  <c r="K91" i="12"/>
  <c r="BT90" i="12"/>
  <c r="BK90" i="12"/>
  <c r="BH90" i="12"/>
  <c r="BD90" i="12"/>
  <c r="AZ90" i="12"/>
  <c r="AV90" i="12"/>
  <c r="AS90" i="12"/>
  <c r="AL90" i="12"/>
  <c r="AD90" i="12"/>
  <c r="AC90" i="12"/>
  <c r="AB90" i="12"/>
  <c r="AA90" i="12"/>
  <c r="Z90" i="12"/>
  <c r="Y90" i="12"/>
  <c r="X90" i="12"/>
  <c r="W90" i="12"/>
  <c r="V90" i="12"/>
  <c r="U90" i="12"/>
  <c r="K90" i="12"/>
  <c r="BT89" i="12"/>
  <c r="BK89" i="12"/>
  <c r="BH89" i="12"/>
  <c r="BD89" i="12"/>
  <c r="AZ89" i="12"/>
  <c r="AV89" i="12"/>
  <c r="AS89" i="12"/>
  <c r="AL89" i="12"/>
  <c r="AD89" i="12"/>
  <c r="AC89" i="12"/>
  <c r="AB89" i="12"/>
  <c r="AA89" i="12"/>
  <c r="Z89" i="12"/>
  <c r="Y89" i="12"/>
  <c r="X89" i="12"/>
  <c r="W89" i="12"/>
  <c r="V89" i="12"/>
  <c r="U89" i="12"/>
  <c r="K89" i="12"/>
  <c r="BT88" i="12"/>
  <c r="BK88" i="12"/>
  <c r="BH88" i="12"/>
  <c r="BD88" i="12"/>
  <c r="AZ88" i="12"/>
  <c r="AV88" i="12"/>
  <c r="AS88" i="12"/>
  <c r="AL88" i="12"/>
  <c r="AD88" i="12"/>
  <c r="AC88" i="12"/>
  <c r="AB88" i="12"/>
  <c r="AA88" i="12"/>
  <c r="Z88" i="12"/>
  <c r="Y88" i="12"/>
  <c r="X88" i="12"/>
  <c r="W88" i="12"/>
  <c r="V88" i="12"/>
  <c r="U88" i="12"/>
  <c r="K88" i="12"/>
  <c r="BT87" i="12"/>
  <c r="BK87" i="12"/>
  <c r="BH87" i="12"/>
  <c r="BD87" i="12"/>
  <c r="AZ87" i="12"/>
  <c r="AV87" i="12"/>
  <c r="AS87" i="12"/>
  <c r="AL87" i="12"/>
  <c r="AD87" i="12"/>
  <c r="AC87" i="12"/>
  <c r="AB87" i="12"/>
  <c r="AA87" i="12"/>
  <c r="Z87" i="12"/>
  <c r="Y87" i="12"/>
  <c r="X87" i="12"/>
  <c r="W87" i="12"/>
  <c r="V87" i="12"/>
  <c r="U87" i="12"/>
  <c r="K87" i="12"/>
  <c r="BT86" i="12"/>
  <c r="BK86" i="12"/>
  <c r="BH86" i="12"/>
  <c r="BD86" i="12"/>
  <c r="AZ86" i="12"/>
  <c r="AV86" i="12"/>
  <c r="AS86" i="12"/>
  <c r="AL86" i="12"/>
  <c r="AD86" i="12"/>
  <c r="AC86" i="12"/>
  <c r="AB86" i="12"/>
  <c r="AA86" i="12"/>
  <c r="Z86" i="12"/>
  <c r="Y86" i="12"/>
  <c r="X86" i="12"/>
  <c r="W86" i="12"/>
  <c r="V86" i="12"/>
  <c r="U86" i="12"/>
  <c r="K86" i="12"/>
  <c r="BT85" i="12"/>
  <c r="BK85" i="12"/>
  <c r="BH85" i="12"/>
  <c r="BD85" i="12"/>
  <c r="AZ85" i="12"/>
  <c r="AV85" i="12"/>
  <c r="AS85" i="12"/>
  <c r="AL85" i="12"/>
  <c r="AD85" i="12"/>
  <c r="AC85" i="12"/>
  <c r="AB85" i="12"/>
  <c r="AA85" i="12"/>
  <c r="Z85" i="12"/>
  <c r="Y85" i="12"/>
  <c r="X85" i="12"/>
  <c r="W85" i="12"/>
  <c r="V85" i="12"/>
  <c r="U85" i="12"/>
  <c r="K85" i="12"/>
  <c r="BT84" i="12"/>
  <c r="BK84" i="12"/>
  <c r="BH84" i="12"/>
  <c r="BD84" i="12"/>
  <c r="AZ84" i="12"/>
  <c r="AV84" i="12"/>
  <c r="AS84" i="12"/>
  <c r="AL84" i="12"/>
  <c r="AD84" i="12"/>
  <c r="AC84" i="12"/>
  <c r="AB84" i="12"/>
  <c r="AA84" i="12"/>
  <c r="Z84" i="12"/>
  <c r="Y84" i="12"/>
  <c r="X84" i="12"/>
  <c r="W84" i="12"/>
  <c r="V84" i="12"/>
  <c r="U84" i="12"/>
  <c r="K84" i="12"/>
  <c r="BT83" i="12"/>
  <c r="BK83" i="12"/>
  <c r="BH83" i="12"/>
  <c r="BD83" i="12"/>
  <c r="AZ83" i="12"/>
  <c r="AV83" i="12"/>
  <c r="AS83" i="12"/>
  <c r="AL83" i="12"/>
  <c r="AD83" i="12"/>
  <c r="AC83" i="12"/>
  <c r="AB83" i="12"/>
  <c r="AA83" i="12"/>
  <c r="Z83" i="12"/>
  <c r="Y83" i="12"/>
  <c r="X83" i="12"/>
  <c r="W83" i="12"/>
  <c r="V83" i="12"/>
  <c r="U83" i="12"/>
  <c r="K83" i="12"/>
  <c r="BT82" i="12"/>
  <c r="BK82" i="12"/>
  <c r="BH82" i="12"/>
  <c r="BD82" i="12"/>
  <c r="AZ82" i="12"/>
  <c r="AV82" i="12"/>
  <c r="AS82" i="12"/>
  <c r="AL82" i="12"/>
  <c r="AD82" i="12"/>
  <c r="AC82" i="12"/>
  <c r="AB82" i="12"/>
  <c r="AA82" i="12"/>
  <c r="Z82" i="12"/>
  <c r="Y82" i="12"/>
  <c r="X82" i="12"/>
  <c r="W82" i="12"/>
  <c r="V82" i="12"/>
  <c r="U82" i="12"/>
  <c r="K82" i="12"/>
  <c r="BT81" i="12"/>
  <c r="BK81" i="12"/>
  <c r="BH81" i="12"/>
  <c r="BD81" i="12"/>
  <c r="AZ81" i="12"/>
  <c r="AV81" i="12"/>
  <c r="AS81" i="12"/>
  <c r="AL81" i="12"/>
  <c r="AD81" i="12"/>
  <c r="AC81" i="12"/>
  <c r="AB81" i="12"/>
  <c r="AA81" i="12"/>
  <c r="Z81" i="12"/>
  <c r="Y81" i="12"/>
  <c r="X81" i="12"/>
  <c r="W81" i="12"/>
  <c r="V81" i="12"/>
  <c r="U81" i="12"/>
  <c r="K81" i="12"/>
  <c r="BT80" i="12"/>
  <c r="BK80" i="12"/>
  <c r="BH80" i="12"/>
  <c r="BD80" i="12"/>
  <c r="AZ80" i="12"/>
  <c r="AV80" i="12"/>
  <c r="AS80" i="12"/>
  <c r="AL80" i="12"/>
  <c r="AD80" i="12"/>
  <c r="AC80" i="12"/>
  <c r="AB80" i="12"/>
  <c r="AA80" i="12"/>
  <c r="Z80" i="12"/>
  <c r="Y80" i="12"/>
  <c r="X80" i="12"/>
  <c r="W80" i="12"/>
  <c r="V80" i="12"/>
  <c r="U80" i="12"/>
  <c r="K80" i="12"/>
  <c r="BT79" i="12"/>
  <c r="BK79" i="12"/>
  <c r="BH79" i="12"/>
  <c r="BD79" i="12"/>
  <c r="AZ79" i="12"/>
  <c r="AV79" i="12"/>
  <c r="AS79" i="12"/>
  <c r="AL79" i="12"/>
  <c r="AD79" i="12"/>
  <c r="AC79" i="12"/>
  <c r="AB79" i="12"/>
  <c r="AA79" i="12"/>
  <c r="Z79" i="12"/>
  <c r="Y79" i="12"/>
  <c r="X79" i="12"/>
  <c r="W79" i="12"/>
  <c r="V79" i="12"/>
  <c r="U79" i="12"/>
  <c r="K79" i="12"/>
  <c r="BT78" i="12"/>
  <c r="BK78" i="12"/>
  <c r="BH78" i="12"/>
  <c r="BD78" i="12"/>
  <c r="AZ78" i="12"/>
  <c r="AV78" i="12"/>
  <c r="AS78" i="12"/>
  <c r="AL78" i="12"/>
  <c r="AD78" i="12"/>
  <c r="AC78" i="12"/>
  <c r="AB78" i="12"/>
  <c r="AA78" i="12"/>
  <c r="Z78" i="12"/>
  <c r="Y78" i="12"/>
  <c r="X78" i="12"/>
  <c r="W78" i="12"/>
  <c r="V78" i="12"/>
  <c r="U78" i="12"/>
  <c r="K78" i="12"/>
  <c r="BT77" i="12"/>
  <c r="BK77" i="12"/>
  <c r="BH77" i="12"/>
  <c r="BD77" i="12"/>
  <c r="AZ77" i="12"/>
  <c r="AV77" i="12"/>
  <c r="AS77" i="12"/>
  <c r="AL77" i="12"/>
  <c r="AD77" i="12"/>
  <c r="AC77" i="12"/>
  <c r="AB77" i="12"/>
  <c r="AA77" i="12"/>
  <c r="Z77" i="12"/>
  <c r="Y77" i="12"/>
  <c r="X77" i="12"/>
  <c r="W77" i="12"/>
  <c r="V77" i="12"/>
  <c r="U77" i="12"/>
  <c r="K77" i="12"/>
  <c r="BT76" i="12"/>
  <c r="BK76" i="12"/>
  <c r="BH76" i="12"/>
  <c r="BD76" i="12"/>
  <c r="AZ76" i="12"/>
  <c r="AV76" i="12"/>
  <c r="AS76" i="12"/>
  <c r="AL76" i="12"/>
  <c r="AD76" i="12"/>
  <c r="AC76" i="12"/>
  <c r="AB76" i="12"/>
  <c r="AA76" i="12"/>
  <c r="Z76" i="12"/>
  <c r="Y76" i="12"/>
  <c r="X76" i="12"/>
  <c r="W76" i="12"/>
  <c r="V76" i="12"/>
  <c r="U76" i="12"/>
  <c r="K76" i="12"/>
  <c r="BT75" i="12"/>
  <c r="BK75" i="12"/>
  <c r="BH75" i="12"/>
  <c r="BD75" i="12"/>
  <c r="AZ75" i="12"/>
  <c r="AV75" i="12"/>
  <c r="AS75" i="12"/>
  <c r="AL75" i="12"/>
  <c r="AD75" i="12"/>
  <c r="AC75" i="12"/>
  <c r="AB75" i="12"/>
  <c r="AA75" i="12"/>
  <c r="Z75" i="12"/>
  <c r="Y75" i="12"/>
  <c r="X75" i="12"/>
  <c r="W75" i="12"/>
  <c r="V75" i="12"/>
  <c r="U75" i="12"/>
  <c r="K75" i="12"/>
  <c r="BT74" i="12"/>
  <c r="BK74" i="12"/>
  <c r="BH74" i="12"/>
  <c r="BD74" i="12"/>
  <c r="AZ74" i="12"/>
  <c r="AV74" i="12"/>
  <c r="AS74" i="12"/>
  <c r="AL74" i="12"/>
  <c r="AD74" i="12"/>
  <c r="AC74" i="12"/>
  <c r="AB74" i="12"/>
  <c r="AA74" i="12"/>
  <c r="Z74" i="12"/>
  <c r="Y74" i="12"/>
  <c r="X74" i="12"/>
  <c r="W74" i="12"/>
  <c r="V74" i="12"/>
  <c r="U74" i="12"/>
  <c r="K74" i="12"/>
  <c r="BT73" i="12"/>
  <c r="BK73" i="12"/>
  <c r="BH73" i="12"/>
  <c r="BD73" i="12"/>
  <c r="AZ73" i="12"/>
  <c r="AV73" i="12"/>
  <c r="AS73" i="12"/>
  <c r="AL73" i="12"/>
  <c r="AD73" i="12"/>
  <c r="AC73" i="12"/>
  <c r="AB73" i="12"/>
  <c r="AA73" i="12"/>
  <c r="Z73" i="12"/>
  <c r="Y73" i="12"/>
  <c r="X73" i="12"/>
  <c r="W73" i="12"/>
  <c r="V73" i="12"/>
  <c r="U73" i="12"/>
  <c r="K73" i="12"/>
  <c r="BT72" i="12"/>
  <c r="BK72" i="12"/>
  <c r="BH72" i="12"/>
  <c r="BD72" i="12"/>
  <c r="AZ72" i="12"/>
  <c r="AV72" i="12"/>
  <c r="AS72" i="12"/>
  <c r="AL72" i="12"/>
  <c r="AD72" i="12"/>
  <c r="AC72" i="12"/>
  <c r="AB72" i="12"/>
  <c r="AA72" i="12"/>
  <c r="Z72" i="12"/>
  <c r="Y72" i="12"/>
  <c r="X72" i="12"/>
  <c r="W72" i="12"/>
  <c r="V72" i="12"/>
  <c r="U72" i="12"/>
  <c r="K72" i="12"/>
  <c r="BT71" i="12"/>
  <c r="BK71" i="12"/>
  <c r="BH71" i="12"/>
  <c r="BD71" i="12"/>
  <c r="AZ71" i="12"/>
  <c r="AV71" i="12"/>
  <c r="AS71" i="12"/>
  <c r="AL71" i="12"/>
  <c r="AD71" i="12"/>
  <c r="AC71" i="12"/>
  <c r="AB71" i="12"/>
  <c r="AA71" i="12"/>
  <c r="Z71" i="12"/>
  <c r="Y71" i="12"/>
  <c r="X71" i="12"/>
  <c r="W71" i="12"/>
  <c r="V71" i="12"/>
  <c r="U71" i="12"/>
  <c r="K71" i="12"/>
  <c r="BT70" i="12"/>
  <c r="BK70" i="12"/>
  <c r="BH70" i="12"/>
  <c r="BD70" i="12"/>
  <c r="AZ70" i="12"/>
  <c r="AV70" i="12"/>
  <c r="AS70" i="12"/>
  <c r="AL70" i="12"/>
  <c r="AD70" i="12"/>
  <c r="AC70" i="12"/>
  <c r="AB70" i="12"/>
  <c r="AA70" i="12"/>
  <c r="Z70" i="12"/>
  <c r="Y70" i="12"/>
  <c r="X70" i="12"/>
  <c r="W70" i="12"/>
  <c r="V70" i="12"/>
  <c r="U70" i="12"/>
  <c r="K70" i="12"/>
  <c r="BT69" i="12"/>
  <c r="BK69" i="12"/>
  <c r="BH69" i="12"/>
  <c r="BD69" i="12"/>
  <c r="AZ69" i="12"/>
  <c r="AV69" i="12"/>
  <c r="AS69" i="12"/>
  <c r="AL69" i="12"/>
  <c r="AD69" i="12"/>
  <c r="AC69" i="12"/>
  <c r="AB69" i="12"/>
  <c r="AA69" i="12"/>
  <c r="Z69" i="12"/>
  <c r="Y69" i="12"/>
  <c r="X69" i="12"/>
  <c r="W69" i="12"/>
  <c r="V69" i="12"/>
  <c r="U69" i="12"/>
  <c r="K69" i="12"/>
  <c r="BT68" i="12"/>
  <c r="BK68" i="12"/>
  <c r="BH68" i="12"/>
  <c r="BD68" i="12"/>
  <c r="AZ68" i="12"/>
  <c r="AV68" i="12"/>
  <c r="AS68" i="12"/>
  <c r="AL68" i="12"/>
  <c r="AD68" i="12"/>
  <c r="AC68" i="12"/>
  <c r="AB68" i="12"/>
  <c r="AA68" i="12"/>
  <c r="Z68" i="12"/>
  <c r="Y68" i="12"/>
  <c r="X68" i="12"/>
  <c r="W68" i="12"/>
  <c r="V68" i="12"/>
  <c r="U68" i="12"/>
  <c r="K68" i="12"/>
  <c r="BT67" i="12"/>
  <c r="BK67" i="12"/>
  <c r="BH67" i="12"/>
  <c r="BD67" i="12"/>
  <c r="AZ67" i="12"/>
  <c r="AV67" i="12"/>
  <c r="AS67" i="12"/>
  <c r="AL67" i="12"/>
  <c r="AD67" i="12"/>
  <c r="AC67" i="12"/>
  <c r="AB67" i="12"/>
  <c r="AA67" i="12"/>
  <c r="Z67" i="12"/>
  <c r="Y67" i="12"/>
  <c r="X67" i="12"/>
  <c r="W67" i="12"/>
  <c r="V67" i="12"/>
  <c r="U67" i="12"/>
  <c r="K67" i="12"/>
  <c r="BT66" i="12"/>
  <c r="BK66" i="12"/>
  <c r="BH66" i="12"/>
  <c r="BD66" i="12"/>
  <c r="AZ66" i="12"/>
  <c r="AV66" i="12"/>
  <c r="AS66" i="12"/>
  <c r="AL66" i="12"/>
  <c r="AD66" i="12"/>
  <c r="AC66" i="12"/>
  <c r="AB66" i="12"/>
  <c r="AA66" i="12"/>
  <c r="Z66" i="12"/>
  <c r="Y66" i="12"/>
  <c r="X66" i="12"/>
  <c r="W66" i="12"/>
  <c r="V66" i="12"/>
  <c r="U66" i="12"/>
  <c r="K66" i="12"/>
  <c r="BT65" i="12"/>
  <c r="BK65" i="12"/>
  <c r="BD65" i="12"/>
  <c r="AZ65" i="12"/>
  <c r="AV65" i="12"/>
  <c r="AS65" i="12"/>
  <c r="AL65" i="12"/>
  <c r="AD65" i="12"/>
  <c r="AC65" i="12"/>
  <c r="AB65" i="12"/>
  <c r="AA65" i="12"/>
  <c r="Z65" i="12"/>
  <c r="Y65" i="12"/>
  <c r="X65" i="12"/>
  <c r="W65" i="12"/>
  <c r="V65" i="12"/>
  <c r="U65" i="12"/>
  <c r="K65" i="12"/>
  <c r="BT64" i="12"/>
  <c r="BK64" i="12"/>
  <c r="BD64" i="12"/>
  <c r="AZ64" i="12"/>
  <c r="AV64" i="12"/>
  <c r="AS64" i="12"/>
  <c r="AL64" i="12"/>
  <c r="AD64" i="12"/>
  <c r="AC64" i="12"/>
  <c r="AB64" i="12"/>
  <c r="AA64" i="12"/>
  <c r="Z64" i="12"/>
  <c r="Y64" i="12"/>
  <c r="X64" i="12"/>
  <c r="W64" i="12"/>
  <c r="V64" i="12"/>
  <c r="U64" i="12"/>
  <c r="K64" i="12"/>
  <c r="BT63" i="12"/>
  <c r="BK63" i="12"/>
  <c r="BD63" i="12"/>
  <c r="AZ63" i="12"/>
  <c r="AV63" i="12"/>
  <c r="AS63" i="12"/>
  <c r="AL63" i="12"/>
  <c r="AD63" i="12"/>
  <c r="AC63" i="12"/>
  <c r="AB63" i="12"/>
  <c r="AA63" i="12"/>
  <c r="Z63" i="12"/>
  <c r="Y63" i="12"/>
  <c r="X63" i="12"/>
  <c r="W63" i="12"/>
  <c r="V63" i="12"/>
  <c r="U63" i="12"/>
  <c r="K63" i="12"/>
  <c r="BT62" i="12"/>
  <c r="BK62" i="12"/>
  <c r="BD62" i="12"/>
  <c r="AZ62" i="12"/>
  <c r="AV62" i="12"/>
  <c r="AS62" i="12"/>
  <c r="AL62" i="12"/>
  <c r="AD62" i="12"/>
  <c r="AC62" i="12"/>
  <c r="AB62" i="12"/>
  <c r="AA62" i="12"/>
  <c r="Z62" i="12"/>
  <c r="Y62" i="12"/>
  <c r="X62" i="12"/>
  <c r="W62" i="12"/>
  <c r="V62" i="12"/>
  <c r="U62" i="12"/>
  <c r="K62" i="12"/>
  <c r="BT61" i="12"/>
  <c r="BK61" i="12"/>
  <c r="BD61" i="12"/>
  <c r="AZ61" i="12"/>
  <c r="AV61" i="12"/>
  <c r="AS61" i="12"/>
  <c r="AL61" i="12"/>
  <c r="AD61" i="12"/>
  <c r="AC61" i="12"/>
  <c r="AB61" i="12"/>
  <c r="AA61" i="12"/>
  <c r="Z61" i="12"/>
  <c r="Y61" i="12"/>
  <c r="X61" i="12"/>
  <c r="W61" i="12"/>
  <c r="V61" i="12"/>
  <c r="U61" i="12"/>
  <c r="K61" i="12"/>
  <c r="BT60" i="12"/>
  <c r="BK60" i="12"/>
  <c r="BD60" i="12"/>
  <c r="AZ60" i="12"/>
  <c r="AV60" i="12"/>
  <c r="AS60" i="12"/>
  <c r="AL60" i="12"/>
  <c r="AD60" i="12"/>
  <c r="AC60" i="12"/>
  <c r="AB60" i="12"/>
  <c r="AA60" i="12"/>
  <c r="Z60" i="12"/>
  <c r="Y60" i="12"/>
  <c r="X60" i="12"/>
  <c r="W60" i="12"/>
  <c r="V60" i="12"/>
  <c r="U60" i="12"/>
  <c r="K60" i="12"/>
  <c r="BT59" i="12"/>
  <c r="BK59" i="12"/>
  <c r="BD59" i="12"/>
  <c r="AZ59" i="12"/>
  <c r="AV59" i="12"/>
  <c r="AS59" i="12"/>
  <c r="AL59" i="12"/>
  <c r="AD59" i="12"/>
  <c r="AC59" i="12"/>
  <c r="AB59" i="12"/>
  <c r="AA59" i="12"/>
  <c r="Z59" i="12"/>
  <c r="Y59" i="12"/>
  <c r="X59" i="12"/>
  <c r="W59" i="12"/>
  <c r="V59" i="12"/>
  <c r="U59" i="12"/>
  <c r="K59" i="12"/>
  <c r="BT58" i="12"/>
  <c r="BK58" i="12"/>
  <c r="BD58" i="12"/>
  <c r="AZ58" i="12"/>
  <c r="AV58" i="12"/>
  <c r="AS58" i="12"/>
  <c r="AL58" i="12"/>
  <c r="AD58" i="12"/>
  <c r="AC58" i="12"/>
  <c r="AB58" i="12"/>
  <c r="AA58" i="12"/>
  <c r="Z58" i="12"/>
  <c r="Y58" i="12"/>
  <c r="X58" i="12"/>
  <c r="W58" i="12"/>
  <c r="V58" i="12"/>
  <c r="U58" i="12"/>
  <c r="K58" i="12"/>
  <c r="BT57" i="12"/>
  <c r="BK57" i="12"/>
  <c r="BD57" i="12"/>
  <c r="AZ57" i="12"/>
  <c r="AV57" i="12"/>
  <c r="AS57" i="12"/>
  <c r="AL57" i="12"/>
  <c r="AD57" i="12"/>
  <c r="AC57" i="12"/>
  <c r="AB57" i="12"/>
  <c r="AA57" i="12"/>
  <c r="Z57" i="12"/>
  <c r="Y57" i="12"/>
  <c r="X57" i="12"/>
  <c r="W57" i="12"/>
  <c r="V57" i="12"/>
  <c r="U57" i="12"/>
  <c r="K57" i="12"/>
  <c r="BT56" i="12"/>
  <c r="BK56" i="12"/>
  <c r="BD56" i="12"/>
  <c r="AZ56" i="12"/>
  <c r="AV56" i="12"/>
  <c r="AS56" i="12"/>
  <c r="AL56" i="12"/>
  <c r="AD56" i="12"/>
  <c r="AC56" i="12"/>
  <c r="AB56" i="12"/>
  <c r="AA56" i="12"/>
  <c r="Z56" i="12"/>
  <c r="Y56" i="12"/>
  <c r="X56" i="12"/>
  <c r="W56" i="12"/>
  <c r="V56" i="12"/>
  <c r="U56" i="12"/>
  <c r="K56" i="12"/>
  <c r="BT55" i="12"/>
  <c r="BK55" i="12"/>
  <c r="BD55" i="12"/>
  <c r="AZ55" i="12"/>
  <c r="AV55" i="12"/>
  <c r="AS55" i="12"/>
  <c r="AL55" i="12"/>
  <c r="AD55" i="12"/>
  <c r="AC55" i="12"/>
  <c r="AB55" i="12"/>
  <c r="AA55" i="12"/>
  <c r="Z55" i="12"/>
  <c r="Y55" i="12"/>
  <c r="X55" i="12"/>
  <c r="W55" i="12"/>
  <c r="V55" i="12"/>
  <c r="U55" i="12"/>
  <c r="K55" i="12"/>
  <c r="BT54" i="12"/>
  <c r="BK54" i="12"/>
  <c r="BD54" i="12"/>
  <c r="AZ54" i="12"/>
  <c r="AV54" i="12"/>
  <c r="AS54" i="12"/>
  <c r="AL54" i="12"/>
  <c r="AD54" i="12"/>
  <c r="AC54" i="12"/>
  <c r="AB54" i="12"/>
  <c r="AA54" i="12"/>
  <c r="Z54" i="12"/>
  <c r="Y54" i="12"/>
  <c r="X54" i="12"/>
  <c r="W54" i="12"/>
  <c r="V54" i="12"/>
  <c r="U54" i="12"/>
  <c r="K54" i="12"/>
  <c r="BT53" i="12"/>
  <c r="BK53" i="12"/>
  <c r="BD53" i="12"/>
  <c r="AZ53" i="12"/>
  <c r="AV53" i="12"/>
  <c r="AS53" i="12"/>
  <c r="AL53" i="12"/>
  <c r="AD53" i="12"/>
  <c r="AC53" i="12"/>
  <c r="AB53" i="12"/>
  <c r="AA53" i="12"/>
  <c r="Z53" i="12"/>
  <c r="Y53" i="12"/>
  <c r="X53" i="12"/>
  <c r="W53" i="12"/>
  <c r="V53" i="12"/>
  <c r="U53" i="12"/>
  <c r="K53" i="12"/>
  <c r="BT52" i="12"/>
  <c r="BK52" i="12"/>
  <c r="BD52" i="12"/>
  <c r="AZ52" i="12"/>
  <c r="AV52" i="12"/>
  <c r="AS52" i="12"/>
  <c r="AL52" i="12"/>
  <c r="AD52" i="12"/>
  <c r="AC52" i="12"/>
  <c r="AB52" i="12"/>
  <c r="AA52" i="12"/>
  <c r="Z52" i="12"/>
  <c r="Y52" i="12"/>
  <c r="X52" i="12"/>
  <c r="W52" i="12"/>
  <c r="V52" i="12"/>
  <c r="U52" i="12"/>
  <c r="K52" i="12"/>
  <c r="BT51" i="12"/>
  <c r="BK51" i="12"/>
  <c r="BD51" i="12"/>
  <c r="AZ51" i="12"/>
  <c r="AV51" i="12"/>
  <c r="AS51" i="12"/>
  <c r="AL51" i="12"/>
  <c r="AD51" i="12"/>
  <c r="AC51" i="12"/>
  <c r="AB51" i="12"/>
  <c r="AA51" i="12"/>
  <c r="Z51" i="12"/>
  <c r="Y51" i="12"/>
  <c r="X51" i="12"/>
  <c r="W51" i="12"/>
  <c r="V51" i="12"/>
  <c r="U51" i="12"/>
  <c r="K51" i="12"/>
  <c r="BT50" i="12"/>
  <c r="BK50" i="12"/>
  <c r="BD50" i="12"/>
  <c r="AZ50" i="12"/>
  <c r="AV50" i="12"/>
  <c r="AS50" i="12"/>
  <c r="AL50" i="12"/>
  <c r="AD50" i="12"/>
  <c r="AC50" i="12"/>
  <c r="AB50" i="12"/>
  <c r="AA50" i="12"/>
  <c r="Z50" i="12"/>
  <c r="Y50" i="12"/>
  <c r="X50" i="12"/>
  <c r="W50" i="12"/>
  <c r="V50" i="12"/>
  <c r="U50" i="12"/>
  <c r="K50" i="12"/>
  <c r="BT49" i="12"/>
  <c r="BK49" i="12"/>
  <c r="BD49" i="12"/>
  <c r="AZ49" i="12"/>
  <c r="AV49" i="12"/>
  <c r="AS49" i="12"/>
  <c r="AL49" i="12"/>
  <c r="AD49" i="12"/>
  <c r="AC49" i="12"/>
  <c r="AB49" i="12"/>
  <c r="AA49" i="12"/>
  <c r="Z49" i="12"/>
  <c r="Y49" i="12"/>
  <c r="X49" i="12"/>
  <c r="W49" i="12"/>
  <c r="V49" i="12"/>
  <c r="U49" i="12"/>
  <c r="K49" i="12"/>
  <c r="BT48" i="12"/>
  <c r="BK48" i="12"/>
  <c r="BD48" i="12"/>
  <c r="AZ48" i="12"/>
  <c r="AV48" i="12"/>
  <c r="AS48" i="12"/>
  <c r="AL48" i="12"/>
  <c r="AD48" i="12"/>
  <c r="AC48" i="12"/>
  <c r="AB48" i="12"/>
  <c r="AA48" i="12"/>
  <c r="Z48" i="12"/>
  <c r="Y48" i="12"/>
  <c r="X48" i="12"/>
  <c r="W48" i="12"/>
  <c r="V48" i="12"/>
  <c r="U48" i="12"/>
  <c r="K48" i="12"/>
  <c r="BT47" i="12"/>
  <c r="BK47" i="12"/>
  <c r="BD47" i="12"/>
  <c r="AZ47" i="12"/>
  <c r="AV47" i="12"/>
  <c r="AS47" i="12"/>
  <c r="AL47" i="12"/>
  <c r="AD47" i="12"/>
  <c r="AC47" i="12"/>
  <c r="AB47" i="12"/>
  <c r="AA47" i="12"/>
  <c r="Z47" i="12"/>
  <c r="Y47" i="12"/>
  <c r="X47" i="12"/>
  <c r="W47" i="12"/>
  <c r="V47" i="12"/>
  <c r="U47" i="12"/>
  <c r="K47" i="12"/>
  <c r="BT46" i="12"/>
  <c r="BK46" i="12"/>
  <c r="BD46" i="12"/>
  <c r="AZ46" i="12"/>
  <c r="AV46" i="12"/>
  <c r="AS46" i="12"/>
  <c r="AL46" i="12"/>
  <c r="AD46" i="12"/>
  <c r="AC46" i="12"/>
  <c r="AB46" i="12"/>
  <c r="AA46" i="12"/>
  <c r="Z46" i="12"/>
  <c r="Y46" i="12"/>
  <c r="X46" i="12"/>
  <c r="W46" i="12"/>
  <c r="V46" i="12"/>
  <c r="U46" i="12"/>
  <c r="K46" i="12"/>
  <c r="BT45" i="12"/>
  <c r="BK45" i="12"/>
  <c r="BD45" i="12"/>
  <c r="AZ45" i="12"/>
  <c r="AV45" i="12"/>
  <c r="AS45" i="12"/>
  <c r="AL45" i="12"/>
  <c r="AD45" i="12"/>
  <c r="AC45" i="12"/>
  <c r="AB45" i="12"/>
  <c r="AA45" i="12"/>
  <c r="Z45" i="12"/>
  <c r="Y45" i="12"/>
  <c r="X45" i="12"/>
  <c r="W45" i="12"/>
  <c r="V45" i="12"/>
  <c r="U45" i="12"/>
  <c r="K45" i="12"/>
  <c r="BT44" i="12"/>
  <c r="BK44" i="12"/>
  <c r="BD44" i="12"/>
  <c r="AZ44" i="12"/>
  <c r="AV44" i="12"/>
  <c r="AS44" i="12"/>
  <c r="AL44" i="12"/>
  <c r="AD44" i="12"/>
  <c r="AC44" i="12"/>
  <c r="AB44" i="12"/>
  <c r="AA44" i="12"/>
  <c r="Z44" i="12"/>
  <c r="Y44" i="12"/>
  <c r="X44" i="12"/>
  <c r="W44" i="12"/>
  <c r="V44" i="12"/>
  <c r="U44" i="12"/>
  <c r="K44" i="12"/>
  <c r="BT43" i="12"/>
  <c r="BK43" i="12"/>
  <c r="BD43" i="12"/>
  <c r="AZ43" i="12"/>
  <c r="AV43" i="12"/>
  <c r="AS43" i="12"/>
  <c r="AL43" i="12"/>
  <c r="AD43" i="12"/>
  <c r="AC43" i="12"/>
  <c r="AB43" i="12"/>
  <c r="AA43" i="12"/>
  <c r="Z43" i="12"/>
  <c r="Y43" i="12"/>
  <c r="X43" i="12"/>
  <c r="W43" i="12"/>
  <c r="V43" i="12"/>
  <c r="U43" i="12"/>
  <c r="K43" i="12"/>
  <c r="BT42" i="12"/>
  <c r="BK42" i="12"/>
  <c r="BD42" i="12"/>
  <c r="AZ42" i="12"/>
  <c r="AV42" i="12"/>
  <c r="AS42" i="12"/>
  <c r="AL42" i="12"/>
  <c r="AD42" i="12"/>
  <c r="AC42" i="12"/>
  <c r="AB42" i="12"/>
  <c r="AA42" i="12"/>
  <c r="Z42" i="12"/>
  <c r="Y42" i="12"/>
  <c r="X42" i="12"/>
  <c r="W42" i="12"/>
  <c r="V42" i="12"/>
  <c r="U42" i="12"/>
  <c r="K42" i="12"/>
  <c r="BT41" i="12"/>
  <c r="BK41" i="12"/>
  <c r="BD41" i="12"/>
  <c r="AZ41" i="12"/>
  <c r="AV41" i="12"/>
  <c r="AS41" i="12"/>
  <c r="AL41" i="12"/>
  <c r="AD41" i="12"/>
  <c r="AC41" i="12"/>
  <c r="AB41" i="12"/>
  <c r="AA41" i="12"/>
  <c r="Z41" i="12"/>
  <c r="Y41" i="12"/>
  <c r="X41" i="12"/>
  <c r="W41" i="12"/>
  <c r="V41" i="12"/>
  <c r="U41" i="12"/>
  <c r="K41" i="12"/>
  <c r="BT40" i="12"/>
  <c r="BK40" i="12"/>
  <c r="BD40" i="12"/>
  <c r="AZ40" i="12"/>
  <c r="AV40" i="12"/>
  <c r="AS40" i="12"/>
  <c r="AL40" i="12"/>
  <c r="AD40" i="12"/>
  <c r="AC40" i="12"/>
  <c r="AB40" i="12"/>
  <c r="AA40" i="12"/>
  <c r="Z40" i="12"/>
  <c r="Y40" i="12"/>
  <c r="X40" i="12"/>
  <c r="W40" i="12"/>
  <c r="V40" i="12"/>
  <c r="U40" i="12"/>
  <c r="K40" i="12"/>
  <c r="BT39" i="12"/>
  <c r="BK39" i="12"/>
  <c r="BD39" i="12"/>
  <c r="AZ39" i="12"/>
  <c r="AV39" i="12"/>
  <c r="AS39" i="12"/>
  <c r="AL39" i="12"/>
  <c r="AD39" i="12"/>
  <c r="AC39" i="12"/>
  <c r="AB39" i="12"/>
  <c r="AA39" i="12"/>
  <c r="Z39" i="12"/>
  <c r="Y39" i="12"/>
  <c r="X39" i="12"/>
  <c r="W39" i="12"/>
  <c r="V39" i="12"/>
  <c r="U39" i="12"/>
  <c r="K39" i="12"/>
  <c r="BT38" i="12"/>
  <c r="BK38" i="12"/>
  <c r="BD38" i="12"/>
  <c r="AZ38" i="12"/>
  <c r="AV38" i="12"/>
  <c r="AS38" i="12"/>
  <c r="AL38" i="12"/>
  <c r="AD38" i="12"/>
  <c r="AC38" i="12"/>
  <c r="AB38" i="12"/>
  <c r="AA38" i="12"/>
  <c r="Z38" i="12"/>
  <c r="Y38" i="12"/>
  <c r="X38" i="12"/>
  <c r="W38" i="12"/>
  <c r="V38" i="12"/>
  <c r="U38" i="12"/>
  <c r="K38" i="12"/>
  <c r="BT37" i="12"/>
  <c r="BK37" i="12"/>
  <c r="BD37" i="12"/>
  <c r="AZ37" i="12"/>
  <c r="AV37" i="12"/>
  <c r="AS37" i="12"/>
  <c r="AL37" i="12"/>
  <c r="AD37" i="12"/>
  <c r="AC37" i="12"/>
  <c r="AB37" i="12"/>
  <c r="AA37" i="12"/>
  <c r="Z37" i="12"/>
  <c r="Y37" i="12"/>
  <c r="X37" i="12"/>
  <c r="W37" i="12"/>
  <c r="V37" i="12"/>
  <c r="U37" i="12"/>
  <c r="K37" i="12"/>
  <c r="BT36" i="12"/>
  <c r="BK36" i="12"/>
  <c r="BD36" i="12"/>
  <c r="AZ36" i="12"/>
  <c r="AV36" i="12"/>
  <c r="AS36" i="12"/>
  <c r="AL36" i="12"/>
  <c r="AD36" i="12"/>
  <c r="AC36" i="12"/>
  <c r="AB36" i="12"/>
  <c r="AA36" i="12"/>
  <c r="Z36" i="12"/>
  <c r="Y36" i="12"/>
  <c r="X36" i="12"/>
  <c r="W36" i="12"/>
  <c r="V36" i="12"/>
  <c r="U36" i="12"/>
  <c r="K36" i="12"/>
  <c r="BT35" i="12"/>
  <c r="BK35" i="12"/>
  <c r="BD35" i="12"/>
  <c r="AZ35" i="12"/>
  <c r="AV35" i="12"/>
  <c r="AS35" i="12"/>
  <c r="AL35" i="12"/>
  <c r="AD35" i="12"/>
  <c r="AC35" i="12"/>
  <c r="AB35" i="12"/>
  <c r="AA35" i="12"/>
  <c r="Z35" i="12"/>
  <c r="Y35" i="12"/>
  <c r="X35" i="12"/>
  <c r="W35" i="12"/>
  <c r="V35" i="12"/>
  <c r="U35" i="12"/>
  <c r="K35" i="12"/>
  <c r="BT34" i="12"/>
  <c r="BK34" i="12"/>
  <c r="BD34" i="12"/>
  <c r="AZ34" i="12"/>
  <c r="AV34" i="12"/>
  <c r="AS34" i="12"/>
  <c r="AL34" i="12"/>
  <c r="AD34" i="12"/>
  <c r="AC34" i="12"/>
  <c r="AB34" i="12"/>
  <c r="AA34" i="12"/>
  <c r="Z34" i="12"/>
  <c r="Y34" i="12"/>
  <c r="X34" i="12"/>
  <c r="W34" i="12"/>
  <c r="V34" i="12"/>
  <c r="U34" i="12"/>
  <c r="K34" i="12"/>
  <c r="BT33" i="12"/>
  <c r="BK33" i="12"/>
  <c r="BD33" i="12"/>
  <c r="AZ33" i="12"/>
  <c r="AV33" i="12"/>
  <c r="AS33" i="12"/>
  <c r="AL33" i="12"/>
  <c r="AD33" i="12"/>
  <c r="AC33" i="12"/>
  <c r="AB33" i="12"/>
  <c r="AA33" i="12"/>
  <c r="Z33" i="12"/>
  <c r="Y33" i="12"/>
  <c r="X33" i="12"/>
  <c r="W33" i="12"/>
  <c r="V33" i="12"/>
  <c r="U33" i="12"/>
  <c r="K33" i="12"/>
  <c r="BT32" i="12"/>
  <c r="BK32" i="12"/>
  <c r="BD32" i="12"/>
  <c r="AZ32" i="12"/>
  <c r="AV32" i="12"/>
  <c r="AS32" i="12"/>
  <c r="AL32" i="12"/>
  <c r="AD32" i="12"/>
  <c r="AC32" i="12"/>
  <c r="AB32" i="12"/>
  <c r="AA32" i="12"/>
  <c r="I32" i="12" s="1"/>
  <c r="Z32" i="12"/>
  <c r="Y32" i="12"/>
  <c r="X32" i="12"/>
  <c r="W32" i="12"/>
  <c r="V32" i="12"/>
  <c r="U32" i="12"/>
  <c r="K32" i="12"/>
  <c r="BT31" i="12"/>
  <c r="BK31" i="12"/>
  <c r="BD31" i="12"/>
  <c r="AZ31" i="12"/>
  <c r="AV31" i="12"/>
  <c r="AS31" i="12"/>
  <c r="AL31" i="12"/>
  <c r="AD31" i="12"/>
  <c r="AC31" i="12"/>
  <c r="AB31" i="12"/>
  <c r="AA31" i="12"/>
  <c r="Z31" i="12"/>
  <c r="Y31" i="12"/>
  <c r="X31" i="12"/>
  <c r="W31" i="12"/>
  <c r="V31" i="12"/>
  <c r="U31" i="12"/>
  <c r="K31" i="12"/>
  <c r="BT30" i="12"/>
  <c r="BK30" i="12"/>
  <c r="BD30" i="12"/>
  <c r="AZ30" i="12"/>
  <c r="AV30" i="12"/>
  <c r="AS30" i="12"/>
  <c r="AL30" i="12"/>
  <c r="AD30" i="12"/>
  <c r="AC30" i="12"/>
  <c r="AB30" i="12"/>
  <c r="AA30" i="12"/>
  <c r="Z30" i="12"/>
  <c r="Y30" i="12"/>
  <c r="X30" i="12"/>
  <c r="W30" i="12"/>
  <c r="V30" i="12"/>
  <c r="U30" i="12"/>
  <c r="K30" i="12"/>
  <c r="BT29" i="12"/>
  <c r="BK29" i="12"/>
  <c r="BD29" i="12"/>
  <c r="AZ29" i="12"/>
  <c r="AV29" i="12"/>
  <c r="AS29" i="12"/>
  <c r="AL29" i="12"/>
  <c r="AD29" i="12"/>
  <c r="AC29" i="12"/>
  <c r="AB29" i="12"/>
  <c r="AA29" i="12"/>
  <c r="Z29" i="12"/>
  <c r="Y29" i="12"/>
  <c r="X29" i="12"/>
  <c r="W29" i="12"/>
  <c r="V29" i="12"/>
  <c r="U29" i="12"/>
  <c r="K29" i="12"/>
  <c r="BT28" i="12"/>
  <c r="BK28" i="12"/>
  <c r="BD28" i="12"/>
  <c r="AZ28" i="12"/>
  <c r="AV28" i="12"/>
  <c r="AS28" i="12"/>
  <c r="AL28" i="12"/>
  <c r="AD28" i="12"/>
  <c r="AC28" i="12"/>
  <c r="AB28" i="12"/>
  <c r="AA28" i="12"/>
  <c r="Z28" i="12"/>
  <c r="Y28" i="12"/>
  <c r="X28" i="12"/>
  <c r="W28" i="12"/>
  <c r="V28" i="12"/>
  <c r="U28" i="12"/>
  <c r="K28" i="12"/>
  <c r="BT27" i="12"/>
  <c r="BK27" i="12"/>
  <c r="BD27" i="12"/>
  <c r="AZ27" i="12"/>
  <c r="AV27" i="12"/>
  <c r="AS27" i="12"/>
  <c r="AL27" i="12"/>
  <c r="AD27" i="12"/>
  <c r="AC27" i="12"/>
  <c r="AB27" i="12"/>
  <c r="AA27" i="12"/>
  <c r="Z27" i="12"/>
  <c r="Y27" i="12"/>
  <c r="X27" i="12"/>
  <c r="W27" i="12"/>
  <c r="V27" i="12"/>
  <c r="U27" i="12"/>
  <c r="K27" i="12"/>
  <c r="BT26" i="12"/>
  <c r="BK26" i="12"/>
  <c r="BD26" i="12"/>
  <c r="AZ26" i="12"/>
  <c r="AV26" i="12"/>
  <c r="AS26" i="12"/>
  <c r="AL26" i="12"/>
  <c r="AD26" i="12"/>
  <c r="AC26" i="12"/>
  <c r="AB26" i="12"/>
  <c r="AA26" i="12"/>
  <c r="Z26" i="12"/>
  <c r="Y26" i="12"/>
  <c r="X26" i="12"/>
  <c r="W26" i="12"/>
  <c r="V26" i="12"/>
  <c r="U26" i="12"/>
  <c r="K26" i="12"/>
  <c r="BT25" i="12"/>
  <c r="BK25" i="12"/>
  <c r="BD25" i="12"/>
  <c r="AZ25" i="12"/>
  <c r="AV25" i="12"/>
  <c r="AS25" i="12"/>
  <c r="AL25" i="12"/>
  <c r="AD25" i="12"/>
  <c r="AC25" i="12"/>
  <c r="AB25" i="12"/>
  <c r="AA25" i="12"/>
  <c r="Z25" i="12"/>
  <c r="Y25" i="12"/>
  <c r="X25" i="12"/>
  <c r="W25" i="12"/>
  <c r="V25" i="12"/>
  <c r="U25" i="12"/>
  <c r="K25" i="12"/>
  <c r="BT24" i="12"/>
  <c r="BK24" i="12"/>
  <c r="BD24" i="12"/>
  <c r="AZ24" i="12"/>
  <c r="AV24" i="12"/>
  <c r="AS24" i="12"/>
  <c r="AL24" i="12"/>
  <c r="AD24" i="12"/>
  <c r="AC24" i="12"/>
  <c r="AB24" i="12"/>
  <c r="AA24" i="12"/>
  <c r="Z24" i="12"/>
  <c r="Y24" i="12"/>
  <c r="X24" i="12"/>
  <c r="W24" i="12"/>
  <c r="V24" i="12"/>
  <c r="U24" i="12"/>
  <c r="K24" i="12"/>
  <c r="BT23" i="12"/>
  <c r="BK23" i="12"/>
  <c r="BD23" i="12"/>
  <c r="AZ23" i="12"/>
  <c r="AV23" i="12"/>
  <c r="AS23" i="12"/>
  <c r="AL23" i="12"/>
  <c r="AD23" i="12"/>
  <c r="AC23" i="12"/>
  <c r="AB23" i="12"/>
  <c r="AA23" i="12"/>
  <c r="Z23" i="12"/>
  <c r="Y23" i="12"/>
  <c r="X23" i="12"/>
  <c r="W23" i="12"/>
  <c r="V23" i="12"/>
  <c r="U23" i="12"/>
  <c r="K23" i="12"/>
  <c r="BT22" i="12"/>
  <c r="BK22" i="12"/>
  <c r="BD22" i="12"/>
  <c r="AZ22" i="12"/>
  <c r="AV22" i="12"/>
  <c r="AS22" i="12"/>
  <c r="AL22" i="12"/>
  <c r="AD22" i="12"/>
  <c r="AC22" i="12"/>
  <c r="AB22" i="12"/>
  <c r="AA22" i="12"/>
  <c r="Z22" i="12"/>
  <c r="Y22" i="12"/>
  <c r="X22" i="12"/>
  <c r="W22" i="12"/>
  <c r="V22" i="12"/>
  <c r="U22" i="12"/>
  <c r="K22" i="12"/>
  <c r="BT21" i="12"/>
  <c r="BK21" i="12"/>
  <c r="BD21" i="12"/>
  <c r="AZ21" i="12"/>
  <c r="AV21" i="12"/>
  <c r="AS21" i="12"/>
  <c r="AL21" i="12"/>
  <c r="AD21" i="12"/>
  <c r="AC21" i="12"/>
  <c r="AB21" i="12"/>
  <c r="AA21" i="12"/>
  <c r="Z21" i="12"/>
  <c r="Y21" i="12"/>
  <c r="X21" i="12"/>
  <c r="W21" i="12"/>
  <c r="V21" i="12"/>
  <c r="U21" i="12"/>
  <c r="K21" i="12"/>
  <c r="BT20" i="12"/>
  <c r="BK20" i="12"/>
  <c r="BD20" i="12"/>
  <c r="AZ20" i="12"/>
  <c r="AV20" i="12"/>
  <c r="AS20" i="12"/>
  <c r="AL20" i="12"/>
  <c r="AD20" i="12"/>
  <c r="AC20" i="12"/>
  <c r="AB20" i="12"/>
  <c r="AA20" i="12"/>
  <c r="Z20" i="12"/>
  <c r="Y20" i="12"/>
  <c r="X20" i="12"/>
  <c r="W20" i="12"/>
  <c r="V20" i="12"/>
  <c r="U20" i="12"/>
  <c r="K20" i="12"/>
  <c r="BT19" i="12"/>
  <c r="BK19" i="12"/>
  <c r="BD19" i="12"/>
  <c r="AZ19" i="12"/>
  <c r="AV19" i="12"/>
  <c r="AS19" i="12"/>
  <c r="AL19" i="12"/>
  <c r="AD19" i="12"/>
  <c r="AC19" i="12"/>
  <c r="AB19" i="12"/>
  <c r="AA19" i="12"/>
  <c r="Z19" i="12"/>
  <c r="Y19" i="12"/>
  <c r="X19" i="12"/>
  <c r="W19" i="12"/>
  <c r="V19" i="12"/>
  <c r="U19" i="12"/>
  <c r="K19" i="12"/>
  <c r="BT18" i="12"/>
  <c r="BK18" i="12"/>
  <c r="BD18" i="12"/>
  <c r="AZ18" i="12"/>
  <c r="AV18" i="12"/>
  <c r="AS18" i="12"/>
  <c r="AL18" i="12"/>
  <c r="AD18" i="12"/>
  <c r="AC18" i="12"/>
  <c r="AB18" i="12"/>
  <c r="AA18" i="12"/>
  <c r="Z18" i="12"/>
  <c r="Y18" i="12"/>
  <c r="X18" i="12"/>
  <c r="W18" i="12"/>
  <c r="V18" i="12"/>
  <c r="U18" i="12"/>
  <c r="K18" i="12"/>
  <c r="BT17" i="12"/>
  <c r="BK17" i="12"/>
  <c r="BD17" i="12"/>
  <c r="AZ17" i="12"/>
  <c r="AV17" i="12"/>
  <c r="AS17" i="12"/>
  <c r="AL17" i="12"/>
  <c r="AD17" i="12"/>
  <c r="AC17" i="12"/>
  <c r="AB17" i="12"/>
  <c r="AA17" i="12"/>
  <c r="Z17" i="12"/>
  <c r="Y17" i="12"/>
  <c r="X17" i="12"/>
  <c r="W17" i="12"/>
  <c r="V17" i="12"/>
  <c r="U17" i="12"/>
  <c r="K17" i="12"/>
  <c r="BT16" i="12"/>
  <c r="BK16" i="12"/>
  <c r="BD16" i="12"/>
  <c r="AZ16" i="12"/>
  <c r="AV16" i="12"/>
  <c r="AS16" i="12"/>
  <c r="AL16" i="12"/>
  <c r="AD16" i="12"/>
  <c r="AC16" i="12"/>
  <c r="AB16" i="12"/>
  <c r="AA16" i="12"/>
  <c r="Z16" i="12"/>
  <c r="Y16" i="12"/>
  <c r="X16" i="12"/>
  <c r="W16" i="12"/>
  <c r="V16" i="12"/>
  <c r="U16" i="12"/>
  <c r="K16" i="12"/>
  <c r="BT15" i="12"/>
  <c r="BK15" i="12"/>
  <c r="BD15" i="12"/>
  <c r="AZ15" i="12"/>
  <c r="AV15" i="12"/>
  <c r="AS15" i="12"/>
  <c r="AL15" i="12"/>
  <c r="AD15" i="12"/>
  <c r="AC15" i="12"/>
  <c r="AB15" i="12"/>
  <c r="AA15" i="12"/>
  <c r="Z15" i="12"/>
  <c r="Y15" i="12"/>
  <c r="X15" i="12"/>
  <c r="W15" i="12"/>
  <c r="V15" i="12"/>
  <c r="U15" i="12"/>
  <c r="K15" i="12"/>
  <c r="BT14" i="12"/>
  <c r="BK14" i="12"/>
  <c r="BD14" i="12"/>
  <c r="AZ14" i="12"/>
  <c r="AV14" i="12"/>
  <c r="AS14" i="12"/>
  <c r="AL14" i="12"/>
  <c r="AD14" i="12"/>
  <c r="AC14" i="12"/>
  <c r="AB14" i="12"/>
  <c r="AA14" i="12"/>
  <c r="Z14" i="12"/>
  <c r="Y14" i="12"/>
  <c r="X14" i="12"/>
  <c r="W14" i="12"/>
  <c r="V14" i="12"/>
  <c r="U14" i="12"/>
  <c r="K14" i="12"/>
  <c r="BT13" i="12"/>
  <c r="BK13" i="12"/>
  <c r="BD13" i="12"/>
  <c r="AZ13" i="12"/>
  <c r="AV13" i="12"/>
  <c r="AS13" i="12"/>
  <c r="AL13" i="12"/>
  <c r="AD13" i="12"/>
  <c r="AC13" i="12"/>
  <c r="AB13" i="12"/>
  <c r="AA13" i="12"/>
  <c r="Z13" i="12"/>
  <c r="Y13" i="12"/>
  <c r="X13" i="12"/>
  <c r="W13" i="12"/>
  <c r="V13" i="12"/>
  <c r="U13" i="12"/>
  <c r="K13" i="12"/>
  <c r="BT12" i="12"/>
  <c r="BK12" i="12"/>
  <c r="BD12" i="12"/>
  <c r="AZ12" i="12"/>
  <c r="AV12" i="12"/>
  <c r="AS12" i="12"/>
  <c r="AL12" i="12"/>
  <c r="AD12" i="12"/>
  <c r="AC12" i="12"/>
  <c r="AB12" i="12"/>
  <c r="AA12" i="12"/>
  <c r="Z12" i="12"/>
  <c r="Y12" i="12"/>
  <c r="X12" i="12"/>
  <c r="W12" i="12"/>
  <c r="V12" i="12"/>
  <c r="U12" i="12"/>
  <c r="K12" i="12"/>
  <c r="BT11" i="12"/>
  <c r="BK11" i="12"/>
  <c r="BD11" i="12"/>
  <c r="AZ11" i="12"/>
  <c r="AV11" i="12"/>
  <c r="AS11" i="12"/>
  <c r="AL11" i="12"/>
  <c r="AD11" i="12"/>
  <c r="AC11" i="12"/>
  <c r="AB11" i="12"/>
  <c r="AA11" i="12"/>
  <c r="Z11" i="12"/>
  <c r="Y11" i="12"/>
  <c r="X11" i="12"/>
  <c r="W11" i="12"/>
  <c r="V11" i="12"/>
  <c r="U11" i="12"/>
  <c r="K11" i="12"/>
  <c r="BT10" i="12"/>
  <c r="BK10" i="12"/>
  <c r="BD10" i="12"/>
  <c r="AZ10" i="12"/>
  <c r="AV10" i="12"/>
  <c r="AS10" i="12"/>
  <c r="AL10" i="12"/>
  <c r="AD10" i="12"/>
  <c r="AC10" i="12"/>
  <c r="AB10" i="12"/>
  <c r="AA10" i="12"/>
  <c r="Z10" i="12"/>
  <c r="Y10" i="12"/>
  <c r="X10" i="12"/>
  <c r="W10" i="12"/>
  <c r="V10" i="12"/>
  <c r="U10" i="12"/>
  <c r="K10" i="12"/>
  <c r="BT9" i="12"/>
  <c r="BK9" i="12"/>
  <c r="BD9" i="12"/>
  <c r="AZ9" i="12"/>
  <c r="AV9" i="12"/>
  <c r="AS9" i="12"/>
  <c r="AD9" i="12"/>
  <c r="AC9" i="12"/>
  <c r="AB9" i="12"/>
  <c r="AA9" i="12"/>
  <c r="Z9" i="12"/>
  <c r="Y9" i="12"/>
  <c r="X9" i="12"/>
  <c r="W9" i="12"/>
  <c r="V9" i="12"/>
  <c r="U9" i="12"/>
  <c r="K9" i="12"/>
  <c r="BT8" i="12"/>
  <c r="BK8" i="12"/>
  <c r="BD8" i="12"/>
  <c r="AZ8" i="12"/>
  <c r="AV8" i="12"/>
  <c r="AS8" i="12"/>
  <c r="AD8" i="12"/>
  <c r="AC8" i="12"/>
  <c r="AB8" i="12"/>
  <c r="AA8" i="12"/>
  <c r="Z8" i="12"/>
  <c r="Y8" i="12"/>
  <c r="X8" i="12"/>
  <c r="W8" i="12"/>
  <c r="V8" i="12"/>
  <c r="U8" i="12"/>
  <c r="K8" i="12"/>
  <c r="BT7" i="12"/>
  <c r="BK7" i="12"/>
  <c r="BD7" i="12"/>
  <c r="AZ7" i="12"/>
  <c r="AV7" i="12"/>
  <c r="AS7" i="12"/>
  <c r="AD7" i="12"/>
  <c r="AC7" i="12"/>
  <c r="AB7" i="12"/>
  <c r="AA7" i="12"/>
  <c r="Z7" i="12"/>
  <c r="Y7" i="12"/>
  <c r="X7" i="12"/>
  <c r="W7" i="12"/>
  <c r="V7" i="12"/>
  <c r="U7" i="12"/>
  <c r="K7" i="12"/>
  <c r="BT6" i="12"/>
  <c r="BK6" i="12"/>
  <c r="BD6" i="12"/>
  <c r="AZ6" i="12"/>
  <c r="AV6" i="12"/>
  <c r="AS6" i="12"/>
  <c r="AD6" i="12"/>
  <c r="AC6" i="12"/>
  <c r="AB6" i="12"/>
  <c r="AA6" i="12"/>
  <c r="Z6" i="12"/>
  <c r="Y6" i="12"/>
  <c r="X6" i="12"/>
  <c r="W6" i="12"/>
  <c r="V6" i="12"/>
  <c r="U6" i="12"/>
  <c r="K6" i="12"/>
  <c r="AO99" i="11"/>
  <c r="AN99" i="11"/>
  <c r="AM99" i="11"/>
  <c r="AL99" i="11"/>
  <c r="AK99" i="11"/>
  <c r="AJ99" i="11"/>
  <c r="AI99" i="11"/>
  <c r="AH99" i="11"/>
  <c r="Z99" i="11"/>
  <c r="X99" i="11"/>
  <c r="P99" i="11"/>
  <c r="H99" i="11"/>
  <c r="B99" i="11"/>
  <c r="AO98" i="11"/>
  <c r="AN98" i="11"/>
  <c r="AL98" i="11"/>
  <c r="AK98" i="11"/>
  <c r="AJ98" i="11"/>
  <c r="AI98" i="11"/>
  <c r="AH98" i="11"/>
  <c r="Z98" i="11"/>
  <c r="X98" i="11"/>
  <c r="P98" i="11"/>
  <c r="H98" i="11"/>
  <c r="B98" i="11"/>
  <c r="AO97" i="11"/>
  <c r="AN97" i="11"/>
  <c r="AL97" i="11"/>
  <c r="AK97" i="11"/>
  <c r="AJ97" i="11"/>
  <c r="AI97" i="11"/>
  <c r="AH97" i="11"/>
  <c r="Z97" i="11"/>
  <c r="X97" i="11"/>
  <c r="P97" i="11"/>
  <c r="H97" i="11"/>
  <c r="B97" i="11"/>
  <c r="AO96" i="11"/>
  <c r="AN96" i="11"/>
  <c r="AL96" i="11"/>
  <c r="AK96" i="11"/>
  <c r="AJ96" i="11"/>
  <c r="AI96" i="11"/>
  <c r="AH96" i="11"/>
  <c r="Z96" i="11"/>
  <c r="X96" i="11"/>
  <c r="P96" i="11"/>
  <c r="H96" i="11"/>
  <c r="B96" i="11"/>
  <c r="AO95" i="11"/>
  <c r="AN95" i="11"/>
  <c r="AL95" i="11"/>
  <c r="AK95" i="11"/>
  <c r="AJ95" i="11"/>
  <c r="AI95" i="11"/>
  <c r="AH95" i="11"/>
  <c r="Z95" i="11"/>
  <c r="X95" i="11"/>
  <c r="P95" i="11"/>
  <c r="H95" i="11"/>
  <c r="B95" i="11"/>
  <c r="AO94" i="11"/>
  <c r="AN94" i="11"/>
  <c r="AL94" i="11"/>
  <c r="AK94" i="11"/>
  <c r="AJ94" i="11"/>
  <c r="AI94" i="11"/>
  <c r="AH94" i="11"/>
  <c r="Z94" i="11"/>
  <c r="X94" i="11"/>
  <c r="P94" i="11"/>
  <c r="H94" i="11"/>
  <c r="B94" i="11"/>
  <c r="AO93" i="11"/>
  <c r="AN93" i="11"/>
  <c r="AL93" i="11"/>
  <c r="AK93" i="11"/>
  <c r="AJ93" i="11"/>
  <c r="AI93" i="11"/>
  <c r="AH93" i="11"/>
  <c r="Z93" i="11"/>
  <c r="X93" i="11"/>
  <c r="P93" i="11"/>
  <c r="H93" i="11"/>
  <c r="B93" i="11"/>
  <c r="AO92" i="11"/>
  <c r="AN92" i="11"/>
  <c r="AL92" i="11"/>
  <c r="AK92" i="11"/>
  <c r="AJ92" i="11"/>
  <c r="AI92" i="11"/>
  <c r="AH92" i="11"/>
  <c r="Z92" i="11"/>
  <c r="X92" i="11"/>
  <c r="P92" i="11"/>
  <c r="H92" i="11"/>
  <c r="B92" i="11"/>
  <c r="AO91" i="11"/>
  <c r="AN91" i="11"/>
  <c r="AL91" i="11"/>
  <c r="AK91" i="11"/>
  <c r="AJ91" i="11"/>
  <c r="AI91" i="11"/>
  <c r="AH91" i="11"/>
  <c r="Z91" i="11"/>
  <c r="X91" i="11"/>
  <c r="P91" i="11"/>
  <c r="H91" i="11"/>
  <c r="B91" i="11"/>
  <c r="AO90" i="11"/>
  <c r="AN90" i="11"/>
  <c r="AL90" i="11"/>
  <c r="AK90" i="11"/>
  <c r="AJ90" i="11"/>
  <c r="AI90" i="11"/>
  <c r="AH90" i="11"/>
  <c r="Z90" i="11"/>
  <c r="X90" i="11"/>
  <c r="P90" i="11"/>
  <c r="H90" i="11"/>
  <c r="B90" i="11"/>
  <c r="AO89" i="11"/>
  <c r="AN89" i="11"/>
  <c r="AL89" i="11"/>
  <c r="AK89" i="11"/>
  <c r="AJ89" i="11"/>
  <c r="AI89" i="11"/>
  <c r="AH89" i="11"/>
  <c r="Z89" i="11"/>
  <c r="X89" i="11"/>
  <c r="P89" i="11"/>
  <c r="H89" i="11"/>
  <c r="B89" i="11"/>
  <c r="AO88" i="11"/>
  <c r="AN88" i="11"/>
  <c r="AL88" i="11"/>
  <c r="AK88" i="11"/>
  <c r="AJ88" i="11"/>
  <c r="AI88" i="11"/>
  <c r="AH88" i="11"/>
  <c r="Z88" i="11"/>
  <c r="X88" i="11"/>
  <c r="P88" i="11"/>
  <c r="H88" i="11"/>
  <c r="B88" i="11"/>
  <c r="AO87" i="11"/>
  <c r="AN87" i="11"/>
  <c r="AL87" i="11"/>
  <c r="AK87" i="11"/>
  <c r="AJ87" i="11"/>
  <c r="AI87" i="11"/>
  <c r="AH87" i="11"/>
  <c r="Z87" i="11"/>
  <c r="X87" i="11"/>
  <c r="P87" i="11"/>
  <c r="H87" i="11"/>
  <c r="B87" i="11"/>
  <c r="AO86" i="11"/>
  <c r="AN86" i="11"/>
  <c r="AL86" i="11"/>
  <c r="AK86" i="11"/>
  <c r="AJ86" i="11"/>
  <c r="AI86" i="11"/>
  <c r="AH86" i="11"/>
  <c r="Z86" i="11"/>
  <c r="X86" i="11"/>
  <c r="P86" i="11"/>
  <c r="H86" i="11"/>
  <c r="B86" i="11"/>
  <c r="AO85" i="11"/>
  <c r="AN85" i="11"/>
  <c r="AL85" i="11"/>
  <c r="AK85" i="11"/>
  <c r="AJ85" i="11"/>
  <c r="AI85" i="11"/>
  <c r="AH85" i="11"/>
  <c r="Z85" i="11"/>
  <c r="X85" i="11"/>
  <c r="P85" i="11"/>
  <c r="H85" i="11"/>
  <c r="B85" i="11"/>
  <c r="AO84" i="11"/>
  <c r="AN84" i="11"/>
  <c r="AL84" i="11"/>
  <c r="AK84" i="11"/>
  <c r="AJ84" i="11"/>
  <c r="AI84" i="11"/>
  <c r="AH84" i="11"/>
  <c r="Z84" i="11"/>
  <c r="X84" i="11"/>
  <c r="P84" i="11"/>
  <c r="H84" i="11"/>
  <c r="B84" i="11"/>
  <c r="AO83" i="11"/>
  <c r="AN83" i="11"/>
  <c r="AL83" i="11"/>
  <c r="AK83" i="11"/>
  <c r="AJ83" i="11"/>
  <c r="AI83" i="11"/>
  <c r="AH83" i="11"/>
  <c r="Z83" i="11"/>
  <c r="X83" i="11"/>
  <c r="P83" i="11"/>
  <c r="H83" i="11"/>
  <c r="B83" i="11"/>
  <c r="AO82" i="11"/>
  <c r="AN82" i="11"/>
  <c r="AL82" i="11"/>
  <c r="AK82" i="11"/>
  <c r="AJ82" i="11"/>
  <c r="AI82" i="11"/>
  <c r="AH82" i="11"/>
  <c r="Z82" i="11"/>
  <c r="X82" i="11"/>
  <c r="P82" i="11"/>
  <c r="H82" i="11"/>
  <c r="B82" i="11"/>
  <c r="AO81" i="11"/>
  <c r="AN81" i="11"/>
  <c r="AL81" i="11"/>
  <c r="AK81" i="11"/>
  <c r="AJ81" i="11"/>
  <c r="AI81" i="11"/>
  <c r="AH81" i="11"/>
  <c r="Z81" i="11"/>
  <c r="X81" i="11"/>
  <c r="P81" i="11"/>
  <c r="H81" i="11"/>
  <c r="B81" i="11"/>
  <c r="AO80" i="11"/>
  <c r="AN80" i="11"/>
  <c r="AL80" i="11"/>
  <c r="AK80" i="11"/>
  <c r="AJ80" i="11"/>
  <c r="AI80" i="11"/>
  <c r="AH80" i="11"/>
  <c r="Z80" i="11"/>
  <c r="X80" i="11"/>
  <c r="P80" i="11"/>
  <c r="H80" i="11"/>
  <c r="B80" i="11"/>
  <c r="AO79" i="11"/>
  <c r="AN79" i="11"/>
  <c r="AL79" i="11"/>
  <c r="AK79" i="11"/>
  <c r="AJ79" i="11"/>
  <c r="AI79" i="11"/>
  <c r="AH79" i="11"/>
  <c r="Z79" i="11"/>
  <c r="X79" i="11"/>
  <c r="P79" i="11"/>
  <c r="H79" i="11"/>
  <c r="B79" i="11"/>
  <c r="AO78" i="11"/>
  <c r="AN78" i="11"/>
  <c r="AL78" i="11"/>
  <c r="AK78" i="11"/>
  <c r="AJ78" i="11"/>
  <c r="AI78" i="11"/>
  <c r="AH78" i="11"/>
  <c r="Z78" i="11"/>
  <c r="X78" i="11"/>
  <c r="P78" i="11"/>
  <c r="H78" i="11"/>
  <c r="B78" i="11"/>
  <c r="AO77" i="11"/>
  <c r="AN77" i="11"/>
  <c r="AL77" i="11"/>
  <c r="AK77" i="11"/>
  <c r="AJ77" i="11"/>
  <c r="AI77" i="11"/>
  <c r="AH77" i="11"/>
  <c r="Z77" i="11"/>
  <c r="X77" i="11"/>
  <c r="P77" i="11"/>
  <c r="H77" i="11"/>
  <c r="B77" i="11"/>
  <c r="AO76" i="11"/>
  <c r="AN76" i="11"/>
  <c r="AL76" i="11"/>
  <c r="AK76" i="11"/>
  <c r="AJ76" i="11"/>
  <c r="AI76" i="11"/>
  <c r="AH76" i="11"/>
  <c r="Z76" i="11"/>
  <c r="X76" i="11"/>
  <c r="P76" i="11"/>
  <c r="H76" i="11"/>
  <c r="B76" i="11"/>
  <c r="AO75" i="11"/>
  <c r="AN75" i="11"/>
  <c r="AL75" i="11"/>
  <c r="AK75" i="11"/>
  <c r="AJ75" i="11"/>
  <c r="AI75" i="11"/>
  <c r="AH75" i="11"/>
  <c r="Z75" i="11"/>
  <c r="X75" i="11"/>
  <c r="P75" i="11"/>
  <c r="H75" i="11"/>
  <c r="B75" i="11"/>
  <c r="AO74" i="11"/>
  <c r="AN74" i="11"/>
  <c r="AL74" i="11"/>
  <c r="AK74" i="11"/>
  <c r="AJ74" i="11"/>
  <c r="AI74" i="11"/>
  <c r="AH74" i="11"/>
  <c r="Z74" i="11"/>
  <c r="X74" i="11"/>
  <c r="P74" i="11"/>
  <c r="H74" i="11"/>
  <c r="B74" i="11"/>
  <c r="AO73" i="11"/>
  <c r="AN73" i="11"/>
  <c r="AL73" i="11"/>
  <c r="AK73" i="11"/>
  <c r="AJ73" i="11"/>
  <c r="AI73" i="11"/>
  <c r="AH73" i="11"/>
  <c r="Z73" i="11"/>
  <c r="X73" i="11"/>
  <c r="P73" i="11"/>
  <c r="H73" i="11"/>
  <c r="B73" i="11"/>
  <c r="AO72" i="11"/>
  <c r="AN72" i="11"/>
  <c r="AL72" i="11"/>
  <c r="AK72" i="11"/>
  <c r="AJ72" i="11"/>
  <c r="AI72" i="11"/>
  <c r="AH72" i="11"/>
  <c r="Z72" i="11"/>
  <c r="X72" i="11"/>
  <c r="P72" i="11"/>
  <c r="H72" i="11"/>
  <c r="B72" i="11"/>
  <c r="AO71" i="11"/>
  <c r="AN71" i="11"/>
  <c r="AL71" i="11"/>
  <c r="AK71" i="11"/>
  <c r="AJ71" i="11"/>
  <c r="AI71" i="11"/>
  <c r="AH71" i="11"/>
  <c r="Z71" i="11"/>
  <c r="X71" i="11"/>
  <c r="P71" i="11"/>
  <c r="H71" i="11"/>
  <c r="B71" i="11"/>
  <c r="AO70" i="11"/>
  <c r="AN70" i="11"/>
  <c r="AL70" i="11"/>
  <c r="AK70" i="11"/>
  <c r="AJ70" i="11"/>
  <c r="AI70" i="11"/>
  <c r="AH70" i="11"/>
  <c r="Z70" i="11"/>
  <c r="X70" i="11"/>
  <c r="P70" i="11"/>
  <c r="H70" i="11"/>
  <c r="B70" i="11"/>
  <c r="AO69" i="11"/>
  <c r="AN69" i="11"/>
  <c r="AL69" i="11"/>
  <c r="AK69" i="11"/>
  <c r="AJ69" i="11"/>
  <c r="AI69" i="11"/>
  <c r="AH69" i="11"/>
  <c r="Z69" i="11"/>
  <c r="X69" i="11"/>
  <c r="P69" i="11"/>
  <c r="H69" i="11"/>
  <c r="B69" i="11"/>
  <c r="AO68" i="11"/>
  <c r="AN68" i="11"/>
  <c r="AL68" i="11"/>
  <c r="AK68" i="11"/>
  <c r="AJ68" i="11"/>
  <c r="AI68" i="11"/>
  <c r="AH68" i="11"/>
  <c r="Z68" i="11"/>
  <c r="X68" i="11"/>
  <c r="P68" i="11"/>
  <c r="H68" i="11"/>
  <c r="B68" i="11"/>
  <c r="AO67" i="11"/>
  <c r="AN67" i="11"/>
  <c r="AL67" i="11"/>
  <c r="AK67" i="11"/>
  <c r="AJ67" i="11"/>
  <c r="AI67" i="11"/>
  <c r="AH67" i="11"/>
  <c r="Z67" i="11"/>
  <c r="X67" i="11"/>
  <c r="P67" i="11"/>
  <c r="H67" i="11"/>
  <c r="B67" i="11"/>
  <c r="AO66" i="11"/>
  <c r="AN66" i="11"/>
  <c r="AL66" i="11"/>
  <c r="AK66" i="11"/>
  <c r="AJ66" i="11"/>
  <c r="AI66" i="11"/>
  <c r="AH66" i="11"/>
  <c r="Z66" i="11"/>
  <c r="X66" i="11"/>
  <c r="P66" i="11"/>
  <c r="H66" i="11"/>
  <c r="B66" i="11"/>
  <c r="AO65" i="11"/>
  <c r="AN65" i="11"/>
  <c r="AL65" i="11"/>
  <c r="AK65" i="11"/>
  <c r="AJ65" i="11"/>
  <c r="AI65" i="11"/>
  <c r="AH65" i="11"/>
  <c r="Z65" i="11"/>
  <c r="X65" i="11"/>
  <c r="P65" i="11"/>
  <c r="H65" i="11"/>
  <c r="B65" i="11"/>
  <c r="AO64" i="11"/>
  <c r="AN64" i="11"/>
  <c r="AL64" i="11"/>
  <c r="AK64" i="11"/>
  <c r="AJ64" i="11"/>
  <c r="AI64" i="11"/>
  <c r="AH64" i="11"/>
  <c r="Z64" i="11"/>
  <c r="X64" i="11"/>
  <c r="P64" i="11"/>
  <c r="H64" i="11"/>
  <c r="B64" i="11"/>
  <c r="AO63" i="11"/>
  <c r="AN63" i="11"/>
  <c r="AL63" i="11"/>
  <c r="AK63" i="11"/>
  <c r="AJ63" i="11"/>
  <c r="AI63" i="11"/>
  <c r="AH63" i="11"/>
  <c r="Z63" i="11"/>
  <c r="X63" i="11"/>
  <c r="P63" i="11"/>
  <c r="H63" i="11"/>
  <c r="B63" i="11"/>
  <c r="AO62" i="11"/>
  <c r="AN62" i="11"/>
  <c r="AL62" i="11"/>
  <c r="AK62" i="11"/>
  <c r="AJ62" i="11"/>
  <c r="AI62" i="11"/>
  <c r="AH62" i="11"/>
  <c r="Z62" i="11"/>
  <c r="X62" i="11"/>
  <c r="P62" i="11"/>
  <c r="H62" i="11"/>
  <c r="B62" i="11"/>
  <c r="AO61" i="11"/>
  <c r="AN61" i="11"/>
  <c r="AL61" i="11"/>
  <c r="AK61" i="11"/>
  <c r="AJ61" i="11"/>
  <c r="AI61" i="11"/>
  <c r="AH61" i="11"/>
  <c r="Z61" i="11"/>
  <c r="X61" i="11"/>
  <c r="P61" i="11"/>
  <c r="H61" i="11"/>
  <c r="B61" i="11"/>
  <c r="AO60" i="11"/>
  <c r="AN60" i="11"/>
  <c r="AL60" i="11"/>
  <c r="AK60" i="11"/>
  <c r="AJ60" i="11"/>
  <c r="AI60" i="11"/>
  <c r="AH60" i="11"/>
  <c r="Z60" i="11"/>
  <c r="X60" i="11"/>
  <c r="P60" i="11"/>
  <c r="H60" i="11"/>
  <c r="B60" i="11"/>
  <c r="AO59" i="11"/>
  <c r="AN59" i="11"/>
  <c r="AL59" i="11"/>
  <c r="AK59" i="11"/>
  <c r="AJ59" i="11"/>
  <c r="AI59" i="11"/>
  <c r="AH59" i="11"/>
  <c r="Z59" i="11"/>
  <c r="X59" i="11"/>
  <c r="P59" i="11"/>
  <c r="H59" i="11"/>
  <c r="B59" i="11"/>
  <c r="AO58" i="11"/>
  <c r="AN58" i="11"/>
  <c r="AL58" i="11"/>
  <c r="AK58" i="11"/>
  <c r="AJ58" i="11"/>
  <c r="AI58" i="11"/>
  <c r="AH58" i="11"/>
  <c r="Z58" i="11"/>
  <c r="X58" i="11"/>
  <c r="P58" i="11"/>
  <c r="H58" i="11"/>
  <c r="B58" i="11"/>
  <c r="AO57" i="11"/>
  <c r="AN57" i="11"/>
  <c r="AL57" i="11"/>
  <c r="AK57" i="11"/>
  <c r="AJ57" i="11"/>
  <c r="AI57" i="11"/>
  <c r="AH57" i="11"/>
  <c r="Z57" i="11"/>
  <c r="X57" i="11"/>
  <c r="P57" i="11"/>
  <c r="H57" i="11"/>
  <c r="B57" i="11"/>
  <c r="AO56" i="11"/>
  <c r="AN56" i="11"/>
  <c r="AL56" i="11"/>
  <c r="AK56" i="11"/>
  <c r="AJ56" i="11"/>
  <c r="AI56" i="11"/>
  <c r="AH56" i="11"/>
  <c r="Z56" i="11"/>
  <c r="X56" i="11"/>
  <c r="P56" i="11"/>
  <c r="H56" i="11"/>
  <c r="B56" i="11"/>
  <c r="AO55" i="11"/>
  <c r="AN55" i="11"/>
  <c r="AL55" i="11"/>
  <c r="AK55" i="11"/>
  <c r="AJ55" i="11"/>
  <c r="AI55" i="11"/>
  <c r="AH55" i="11"/>
  <c r="Z55" i="11"/>
  <c r="X55" i="11"/>
  <c r="P55" i="11"/>
  <c r="H55" i="11"/>
  <c r="B55" i="11"/>
  <c r="AO54" i="11"/>
  <c r="AN54" i="11"/>
  <c r="AL54" i="11"/>
  <c r="AK54" i="11"/>
  <c r="AJ54" i="11"/>
  <c r="AI54" i="11"/>
  <c r="AH54" i="11"/>
  <c r="Z54" i="11"/>
  <c r="X54" i="11"/>
  <c r="P54" i="11"/>
  <c r="H54" i="11"/>
  <c r="B54" i="11"/>
  <c r="AO53" i="11"/>
  <c r="AN53" i="11"/>
  <c r="AL53" i="11"/>
  <c r="AK53" i="11"/>
  <c r="AJ53" i="11"/>
  <c r="AI53" i="11"/>
  <c r="AH53" i="11"/>
  <c r="Z53" i="11"/>
  <c r="X53" i="11"/>
  <c r="P53" i="11"/>
  <c r="H53" i="11"/>
  <c r="B53" i="11"/>
  <c r="AO52" i="11"/>
  <c r="AN52" i="11"/>
  <c r="AL52" i="11"/>
  <c r="AK52" i="11"/>
  <c r="AJ52" i="11"/>
  <c r="AI52" i="11"/>
  <c r="AH52" i="11"/>
  <c r="Z52" i="11"/>
  <c r="X52" i="11"/>
  <c r="P52" i="11"/>
  <c r="H52" i="11"/>
  <c r="B52" i="11"/>
  <c r="AO51" i="11"/>
  <c r="AN51" i="11"/>
  <c r="AL51" i="11"/>
  <c r="AK51" i="11"/>
  <c r="AJ51" i="11"/>
  <c r="AI51" i="11"/>
  <c r="AH51" i="11"/>
  <c r="Z51" i="11"/>
  <c r="X51" i="11"/>
  <c r="P51" i="11"/>
  <c r="H51" i="11"/>
  <c r="B51" i="11"/>
  <c r="AO50" i="11"/>
  <c r="AN50" i="11"/>
  <c r="AL50" i="11"/>
  <c r="AK50" i="11"/>
  <c r="AJ50" i="11"/>
  <c r="AI50" i="11"/>
  <c r="AH50" i="11"/>
  <c r="Z50" i="11"/>
  <c r="X50" i="11"/>
  <c r="P50" i="11"/>
  <c r="H50" i="11"/>
  <c r="B50" i="11"/>
  <c r="AO49" i="11"/>
  <c r="AN49" i="11"/>
  <c r="AL49" i="11"/>
  <c r="AK49" i="11"/>
  <c r="AJ49" i="11"/>
  <c r="AI49" i="11"/>
  <c r="AH49" i="11"/>
  <c r="Z49" i="11"/>
  <c r="X49" i="11"/>
  <c r="P49" i="11"/>
  <c r="H49" i="11"/>
  <c r="B49" i="11"/>
  <c r="AO48" i="11"/>
  <c r="AN48" i="11"/>
  <c r="AL48" i="11"/>
  <c r="AK48" i="11"/>
  <c r="AJ48" i="11"/>
  <c r="AI48" i="11"/>
  <c r="AH48" i="11"/>
  <c r="Z48" i="11"/>
  <c r="X48" i="11"/>
  <c r="P48" i="11"/>
  <c r="H48" i="11"/>
  <c r="B48" i="11"/>
  <c r="AO47" i="11"/>
  <c r="AN47" i="11"/>
  <c r="AL47" i="11"/>
  <c r="AK47" i="11"/>
  <c r="AJ47" i="11"/>
  <c r="AI47" i="11"/>
  <c r="AH47" i="11"/>
  <c r="Z47" i="11"/>
  <c r="X47" i="11"/>
  <c r="P47" i="11"/>
  <c r="H47" i="11"/>
  <c r="B47" i="11"/>
  <c r="AO46" i="11"/>
  <c r="AN46" i="11"/>
  <c r="AL46" i="11"/>
  <c r="AK46" i="11"/>
  <c r="AJ46" i="11"/>
  <c r="AI46" i="11"/>
  <c r="AH46" i="11"/>
  <c r="Z46" i="11"/>
  <c r="X46" i="11"/>
  <c r="P46" i="11"/>
  <c r="H46" i="11"/>
  <c r="B46" i="11"/>
  <c r="AO45" i="11"/>
  <c r="AN45" i="11"/>
  <c r="AL45" i="11"/>
  <c r="AK45" i="11"/>
  <c r="AJ45" i="11"/>
  <c r="AI45" i="11"/>
  <c r="AH45" i="11"/>
  <c r="Z45" i="11"/>
  <c r="X45" i="11"/>
  <c r="P45" i="11"/>
  <c r="H45" i="11"/>
  <c r="B45" i="11"/>
  <c r="AO44" i="11"/>
  <c r="AN44" i="11"/>
  <c r="AL44" i="11"/>
  <c r="AK44" i="11"/>
  <c r="AJ44" i="11"/>
  <c r="AI44" i="11"/>
  <c r="AH44" i="11"/>
  <c r="Z44" i="11"/>
  <c r="X44" i="11"/>
  <c r="P44" i="11"/>
  <c r="H44" i="11"/>
  <c r="B44" i="11"/>
  <c r="AO43" i="11"/>
  <c r="AN43" i="11"/>
  <c r="AL43" i="11"/>
  <c r="AK43" i="11"/>
  <c r="AJ43" i="11"/>
  <c r="AI43" i="11"/>
  <c r="AH43" i="11"/>
  <c r="Z43" i="11"/>
  <c r="X43" i="11"/>
  <c r="P43" i="11"/>
  <c r="H43" i="11"/>
  <c r="B43" i="11"/>
  <c r="AO42" i="11"/>
  <c r="AN42" i="11"/>
  <c r="AL42" i="11"/>
  <c r="AK42" i="11"/>
  <c r="AJ42" i="11"/>
  <c r="AI42" i="11"/>
  <c r="AH42" i="11"/>
  <c r="Z42" i="11"/>
  <c r="X42" i="11"/>
  <c r="P42" i="11"/>
  <c r="H42" i="11"/>
  <c r="B42" i="11"/>
  <c r="AO41" i="11"/>
  <c r="AN41" i="11"/>
  <c r="AL41" i="11"/>
  <c r="AK41" i="11"/>
  <c r="AJ41" i="11"/>
  <c r="AI41" i="11"/>
  <c r="AH41" i="11"/>
  <c r="Z41" i="11"/>
  <c r="X41" i="11"/>
  <c r="P41" i="11"/>
  <c r="H41" i="11"/>
  <c r="B41" i="11"/>
  <c r="AO40" i="11"/>
  <c r="AN40" i="11"/>
  <c r="AL40" i="11"/>
  <c r="AK40" i="11"/>
  <c r="AJ40" i="11"/>
  <c r="AI40" i="11"/>
  <c r="AH40" i="11"/>
  <c r="Z40" i="11"/>
  <c r="X40" i="11"/>
  <c r="P40" i="11"/>
  <c r="H40" i="11"/>
  <c r="B40" i="11"/>
  <c r="AO39" i="11"/>
  <c r="AN39" i="11"/>
  <c r="AL39" i="11"/>
  <c r="AK39" i="11"/>
  <c r="AJ39" i="11"/>
  <c r="AI39" i="11"/>
  <c r="AH39" i="11"/>
  <c r="Z39" i="11"/>
  <c r="X39" i="11"/>
  <c r="P39" i="11"/>
  <c r="H39" i="11"/>
  <c r="B39" i="11"/>
  <c r="AO38" i="11"/>
  <c r="AN38" i="11"/>
  <c r="AL38" i="11"/>
  <c r="AK38" i="11"/>
  <c r="AJ38" i="11"/>
  <c r="AI38" i="11"/>
  <c r="AH38" i="11"/>
  <c r="Z38" i="11"/>
  <c r="X38" i="11"/>
  <c r="P38" i="11"/>
  <c r="H38" i="11"/>
  <c r="B38" i="11"/>
  <c r="AO37" i="11"/>
  <c r="AN37" i="11"/>
  <c r="AL37" i="11"/>
  <c r="AK37" i="11"/>
  <c r="AJ37" i="11"/>
  <c r="AI37" i="11"/>
  <c r="AH37" i="11"/>
  <c r="Z37" i="11"/>
  <c r="X37" i="11"/>
  <c r="P37" i="11"/>
  <c r="H37" i="11"/>
  <c r="B37" i="11"/>
  <c r="AO36" i="11"/>
  <c r="AN36" i="11"/>
  <c r="AL36" i="11"/>
  <c r="AK36" i="11"/>
  <c r="AJ36" i="11"/>
  <c r="AI36" i="11"/>
  <c r="AH36" i="11"/>
  <c r="Z36" i="11"/>
  <c r="X36" i="11"/>
  <c r="P36" i="11"/>
  <c r="H36" i="11"/>
  <c r="B36" i="11"/>
  <c r="AO35" i="11"/>
  <c r="AN35" i="11"/>
  <c r="AL35" i="11"/>
  <c r="AK35" i="11"/>
  <c r="AJ35" i="11"/>
  <c r="AI35" i="11"/>
  <c r="AH35" i="11"/>
  <c r="Z35" i="11"/>
  <c r="X35" i="11"/>
  <c r="P35" i="11"/>
  <c r="H35" i="11"/>
  <c r="B35" i="11"/>
  <c r="AO34" i="11"/>
  <c r="AN34" i="11"/>
  <c r="AL34" i="11"/>
  <c r="AK34" i="11"/>
  <c r="AJ34" i="11"/>
  <c r="AI34" i="11"/>
  <c r="AH34" i="11"/>
  <c r="Z34" i="11"/>
  <c r="X34" i="11"/>
  <c r="P34" i="11"/>
  <c r="H34" i="11"/>
  <c r="B34" i="11"/>
  <c r="AO33" i="11"/>
  <c r="AN33" i="11"/>
  <c r="AL33" i="11"/>
  <c r="AK33" i="11"/>
  <c r="AJ33" i="11"/>
  <c r="AI33" i="11"/>
  <c r="AH33" i="11"/>
  <c r="Z33" i="11"/>
  <c r="X33" i="11"/>
  <c r="P33" i="11"/>
  <c r="H33" i="11"/>
  <c r="B33" i="11"/>
  <c r="AO32" i="11"/>
  <c r="AN32" i="11"/>
  <c r="AL32" i="11"/>
  <c r="AK32" i="11"/>
  <c r="AJ32" i="11"/>
  <c r="AI32" i="11"/>
  <c r="AH32" i="11"/>
  <c r="Z32" i="11"/>
  <c r="X32" i="11"/>
  <c r="P32" i="11"/>
  <c r="H32" i="11"/>
  <c r="B32" i="11"/>
  <c r="AO31" i="11"/>
  <c r="AN31" i="11"/>
  <c r="AL31" i="11"/>
  <c r="AK31" i="11"/>
  <c r="AJ31" i="11"/>
  <c r="AI31" i="11"/>
  <c r="AH31" i="11"/>
  <c r="Z31" i="11"/>
  <c r="X31" i="11"/>
  <c r="P31" i="11"/>
  <c r="H31" i="11"/>
  <c r="B31" i="11"/>
  <c r="AO30" i="11"/>
  <c r="AN30" i="11"/>
  <c r="AL30" i="11"/>
  <c r="AK30" i="11"/>
  <c r="AJ30" i="11"/>
  <c r="AI30" i="11"/>
  <c r="AH30" i="11"/>
  <c r="Z30" i="11"/>
  <c r="X30" i="11"/>
  <c r="P30" i="11"/>
  <c r="H30" i="11"/>
  <c r="B30" i="11"/>
  <c r="AO29" i="11"/>
  <c r="AN29" i="11"/>
  <c r="AL29" i="11"/>
  <c r="AK29" i="11"/>
  <c r="AJ29" i="11"/>
  <c r="AI29" i="11"/>
  <c r="AH29" i="11"/>
  <c r="Z29" i="11"/>
  <c r="X29" i="11"/>
  <c r="P29" i="11"/>
  <c r="H29" i="11"/>
  <c r="B29" i="11"/>
  <c r="AO28" i="11"/>
  <c r="AN28" i="11"/>
  <c r="AL28" i="11"/>
  <c r="AK28" i="11"/>
  <c r="AJ28" i="11"/>
  <c r="AI28" i="11"/>
  <c r="AH28" i="11"/>
  <c r="Z28" i="11"/>
  <c r="X28" i="11"/>
  <c r="P28" i="11"/>
  <c r="H28" i="11"/>
  <c r="B28" i="11"/>
  <c r="AO27" i="11"/>
  <c r="AN27" i="11"/>
  <c r="AL27" i="11"/>
  <c r="AK27" i="11"/>
  <c r="AJ27" i="11"/>
  <c r="AI27" i="11"/>
  <c r="AH27" i="11"/>
  <c r="Z27" i="11"/>
  <c r="X27" i="11"/>
  <c r="P27" i="11"/>
  <c r="H27" i="11"/>
  <c r="B27" i="11"/>
  <c r="AO26" i="11"/>
  <c r="AN26" i="11"/>
  <c r="AL26" i="11"/>
  <c r="AK26" i="11"/>
  <c r="AJ26" i="11"/>
  <c r="AI26" i="11"/>
  <c r="AH26" i="11"/>
  <c r="Z26" i="11"/>
  <c r="X26" i="11"/>
  <c r="P26" i="11"/>
  <c r="H26" i="11"/>
  <c r="B26" i="11"/>
  <c r="AO25" i="11"/>
  <c r="AN25" i="11"/>
  <c r="AL25" i="11"/>
  <c r="AK25" i="11"/>
  <c r="AJ25" i="11"/>
  <c r="AI25" i="11"/>
  <c r="AH25" i="11"/>
  <c r="Z25" i="11"/>
  <c r="X25" i="11"/>
  <c r="P25" i="11"/>
  <c r="H25" i="11"/>
  <c r="B25" i="11"/>
  <c r="AO24" i="11"/>
  <c r="AN24" i="11"/>
  <c r="AL24" i="11"/>
  <c r="AK24" i="11"/>
  <c r="AJ24" i="11"/>
  <c r="AI24" i="11"/>
  <c r="AH24" i="11"/>
  <c r="Z24" i="11"/>
  <c r="X24" i="11"/>
  <c r="P24" i="11"/>
  <c r="H24" i="11"/>
  <c r="B24" i="11"/>
  <c r="AO23" i="11"/>
  <c r="AN23" i="11"/>
  <c r="AL23" i="11"/>
  <c r="AK23" i="11"/>
  <c r="AJ23" i="11"/>
  <c r="AI23" i="11"/>
  <c r="AH23" i="11"/>
  <c r="Z23" i="11"/>
  <c r="X23" i="11"/>
  <c r="P23" i="11"/>
  <c r="H23" i="11"/>
  <c r="B23" i="11"/>
  <c r="AO22" i="11"/>
  <c r="AN22" i="11"/>
  <c r="AL22" i="11"/>
  <c r="AK22" i="11"/>
  <c r="AJ22" i="11"/>
  <c r="AI22" i="11"/>
  <c r="AH22" i="11"/>
  <c r="Z22" i="11"/>
  <c r="X22" i="11"/>
  <c r="P22" i="11"/>
  <c r="H22" i="11"/>
  <c r="B22" i="11"/>
  <c r="AO21" i="11"/>
  <c r="AN21" i="11"/>
  <c r="AL21" i="11"/>
  <c r="AK21" i="11"/>
  <c r="AJ21" i="11"/>
  <c r="AI21" i="11"/>
  <c r="AH21" i="11"/>
  <c r="Z21" i="11"/>
  <c r="X21" i="11"/>
  <c r="P21" i="11"/>
  <c r="H21" i="11"/>
  <c r="B21" i="11"/>
  <c r="AO20" i="11"/>
  <c r="AN20" i="11"/>
  <c r="AL20" i="11"/>
  <c r="AK20" i="11"/>
  <c r="AJ20" i="11"/>
  <c r="AI20" i="11"/>
  <c r="AH20" i="11"/>
  <c r="Z20" i="11"/>
  <c r="X20" i="11"/>
  <c r="P20" i="11"/>
  <c r="H20" i="11"/>
  <c r="B20" i="11"/>
  <c r="AO19" i="11"/>
  <c r="AN19" i="11"/>
  <c r="AL19" i="11"/>
  <c r="AK19" i="11"/>
  <c r="AJ19" i="11"/>
  <c r="AI19" i="11"/>
  <c r="AH19" i="11"/>
  <c r="Z19" i="11"/>
  <c r="X19" i="11"/>
  <c r="P19" i="11"/>
  <c r="H19" i="11"/>
  <c r="B19" i="11"/>
  <c r="AO18" i="11"/>
  <c r="AN18" i="11"/>
  <c r="AL18" i="11"/>
  <c r="AK18" i="11"/>
  <c r="AJ18" i="11"/>
  <c r="AI18" i="11"/>
  <c r="AH18" i="11"/>
  <c r="Z18" i="11"/>
  <c r="X18" i="11"/>
  <c r="P18" i="11"/>
  <c r="H18" i="11"/>
  <c r="B18" i="11"/>
  <c r="AO17" i="11"/>
  <c r="AN17" i="11"/>
  <c r="AL17" i="11"/>
  <c r="AK17" i="11"/>
  <c r="AJ17" i="11"/>
  <c r="AI17" i="11"/>
  <c r="AH17" i="11"/>
  <c r="Z17" i="11"/>
  <c r="X17" i="11"/>
  <c r="P17" i="11"/>
  <c r="H17" i="11"/>
  <c r="B17" i="11"/>
  <c r="AO16" i="11"/>
  <c r="AN16" i="11"/>
  <c r="AL16" i="11"/>
  <c r="AK16" i="11"/>
  <c r="AJ16" i="11"/>
  <c r="AI16" i="11"/>
  <c r="AH16" i="11"/>
  <c r="X16" i="11"/>
  <c r="P16" i="11"/>
  <c r="H16" i="11"/>
  <c r="B16" i="11"/>
  <c r="AO15" i="11"/>
  <c r="AN15" i="11"/>
  <c r="AL15" i="11"/>
  <c r="AK15" i="11"/>
  <c r="AJ15" i="11"/>
  <c r="AI15" i="11"/>
  <c r="AH15" i="11"/>
  <c r="Z15" i="11"/>
  <c r="X15" i="11"/>
  <c r="P15" i="11"/>
  <c r="H15" i="11"/>
  <c r="B15" i="11"/>
  <c r="AO14" i="11"/>
  <c r="AN14" i="11"/>
  <c r="AL14" i="11"/>
  <c r="AK14" i="11"/>
  <c r="AJ14" i="11"/>
  <c r="AI14" i="11"/>
  <c r="AH14" i="11"/>
  <c r="Z14" i="11"/>
  <c r="X14" i="11"/>
  <c r="P14" i="11"/>
  <c r="H14" i="11"/>
  <c r="B14" i="11"/>
  <c r="AO13" i="11"/>
  <c r="AN13" i="11"/>
  <c r="AL13" i="11"/>
  <c r="AK13" i="11"/>
  <c r="AJ13" i="11"/>
  <c r="AI13" i="11"/>
  <c r="AH13" i="11"/>
  <c r="Z13" i="11"/>
  <c r="X13" i="11"/>
  <c r="P13" i="11"/>
  <c r="H13" i="11"/>
  <c r="B13" i="11"/>
  <c r="AO12" i="11"/>
  <c r="AN12" i="11"/>
  <c r="AL12" i="11"/>
  <c r="AK12" i="11"/>
  <c r="AJ12" i="11"/>
  <c r="AI12" i="11"/>
  <c r="AH12" i="11"/>
  <c r="Z12" i="11"/>
  <c r="X12" i="11"/>
  <c r="P12" i="11"/>
  <c r="H12" i="11"/>
  <c r="B12" i="11"/>
  <c r="AO11" i="11"/>
  <c r="AN11" i="11"/>
  <c r="AL11" i="11"/>
  <c r="AK11" i="11"/>
  <c r="AJ11" i="11"/>
  <c r="AI11" i="11"/>
  <c r="AH11" i="11"/>
  <c r="Z11" i="11"/>
  <c r="X11" i="11"/>
  <c r="P11" i="11"/>
  <c r="H11" i="11"/>
  <c r="B11" i="11"/>
  <c r="AO10" i="11"/>
  <c r="AN10" i="11"/>
  <c r="AL10" i="11"/>
  <c r="AK10" i="11"/>
  <c r="AJ10" i="11"/>
  <c r="AI10" i="11"/>
  <c r="AH10" i="11"/>
  <c r="Z10" i="11"/>
  <c r="X10" i="11"/>
  <c r="P10" i="11"/>
  <c r="H10" i="11"/>
  <c r="B10" i="11"/>
  <c r="AO9" i="11"/>
  <c r="AN9" i="11"/>
  <c r="AL9" i="11"/>
  <c r="AK9" i="11"/>
  <c r="AJ9" i="11"/>
  <c r="AI9" i="11"/>
  <c r="AH9" i="11"/>
  <c r="Z9" i="11"/>
  <c r="X9" i="11"/>
  <c r="P9" i="11"/>
  <c r="H9" i="11"/>
  <c r="B9" i="11"/>
  <c r="AO8" i="11"/>
  <c r="AN8" i="11"/>
  <c r="AL8" i="11"/>
  <c r="AK8" i="11"/>
  <c r="AJ8" i="11"/>
  <c r="AI8" i="11"/>
  <c r="AH8" i="11"/>
  <c r="Z8" i="11"/>
  <c r="X8" i="11"/>
  <c r="P8" i="11"/>
  <c r="H8" i="11"/>
  <c r="B8" i="11"/>
  <c r="AO7" i="11"/>
  <c r="AN7" i="11"/>
  <c r="AL7" i="11"/>
  <c r="AK7" i="11"/>
  <c r="AJ7" i="11"/>
  <c r="AI7" i="11"/>
  <c r="AH7" i="11"/>
  <c r="Z7" i="11"/>
  <c r="X7" i="11"/>
  <c r="P7" i="11"/>
  <c r="H7" i="11"/>
  <c r="B7" i="11"/>
  <c r="AO6" i="11"/>
  <c r="AN6" i="11"/>
  <c r="AL6" i="11"/>
  <c r="AK6" i="11"/>
  <c r="AJ6" i="11"/>
  <c r="AI6" i="11"/>
  <c r="AH6" i="11"/>
  <c r="Z6" i="11"/>
  <c r="X6" i="11"/>
  <c r="P6" i="11"/>
  <c r="H6" i="11"/>
  <c r="B6" i="11"/>
  <c r="F16" i="10"/>
  <c r="B21" i="6"/>
  <c r="B17" i="6"/>
  <c r="P26" i="6"/>
  <c r="C15" i="6"/>
  <c r="D15" i="6"/>
  <c r="E8" i="6"/>
  <c r="E7" i="6"/>
  <c r="F8" i="6"/>
  <c r="F67" i="13" l="1"/>
  <c r="I66" i="12"/>
  <c r="BF66" i="11" s="1"/>
  <c r="E75" i="10"/>
  <c r="I30" i="9"/>
  <c r="AP102" i="11"/>
  <c r="F8" i="10"/>
  <c r="C49" i="10"/>
  <c r="C61" i="10"/>
  <c r="C71" i="10"/>
  <c r="C83" i="10"/>
  <c r="K7" i="20"/>
  <c r="L19" i="20"/>
  <c r="D21" i="10"/>
  <c r="D39" i="10"/>
  <c r="D41" i="10"/>
  <c r="D53" i="10"/>
  <c r="D59" i="10"/>
  <c r="D65" i="10"/>
  <c r="D67" i="10"/>
  <c r="D77" i="10"/>
  <c r="D81" i="10"/>
  <c r="D83" i="10"/>
  <c r="L87" i="20"/>
  <c r="D89" i="10"/>
  <c r="D93" i="10"/>
  <c r="B7" i="10"/>
  <c r="B11" i="10"/>
  <c r="K45" i="20"/>
  <c r="C73" i="10"/>
  <c r="D9" i="10"/>
  <c r="D15" i="10"/>
  <c r="E17" i="10"/>
  <c r="E19" i="10"/>
  <c r="N27" i="20"/>
  <c r="E31" i="10"/>
  <c r="N43" i="20"/>
  <c r="E49" i="10"/>
  <c r="E51" i="10"/>
  <c r="N53" i="20"/>
  <c r="E57" i="10"/>
  <c r="E61" i="10"/>
  <c r="N63" i="20"/>
  <c r="E67" i="10"/>
  <c r="E69" i="10"/>
  <c r="E71" i="10"/>
  <c r="E77" i="10"/>
  <c r="E83" i="10"/>
  <c r="E87" i="10"/>
  <c r="E89" i="10"/>
  <c r="E91" i="10"/>
  <c r="E93" i="10"/>
  <c r="F6" i="10"/>
  <c r="K29" i="20"/>
  <c r="N13" i="20"/>
  <c r="F17" i="10"/>
  <c r="B18" i="10"/>
  <c r="F19" i="10"/>
  <c r="B20" i="10"/>
  <c r="F21" i="10"/>
  <c r="B22" i="10"/>
  <c r="F23" i="10"/>
  <c r="B24" i="10"/>
  <c r="F25" i="10"/>
  <c r="B26" i="10"/>
  <c r="F27" i="10"/>
  <c r="B28" i="10"/>
  <c r="F29" i="10"/>
  <c r="B30" i="10"/>
  <c r="F31" i="10"/>
  <c r="B32" i="10"/>
  <c r="F33" i="10"/>
  <c r="B34" i="10"/>
  <c r="F35" i="10"/>
  <c r="B36" i="10"/>
  <c r="F37" i="10"/>
  <c r="B38" i="10"/>
  <c r="F39" i="10"/>
  <c r="B40" i="10"/>
  <c r="F41" i="10"/>
  <c r="B42" i="10"/>
  <c r="F43" i="10"/>
  <c r="B44" i="10"/>
  <c r="F45" i="10"/>
  <c r="B46" i="10"/>
  <c r="F47" i="10"/>
  <c r="B48" i="10"/>
  <c r="F49" i="10"/>
  <c r="B50" i="10"/>
  <c r="F51" i="10"/>
  <c r="B52" i="10"/>
  <c r="F53" i="10"/>
  <c r="B54" i="10"/>
  <c r="F55" i="10"/>
  <c r="B56" i="10"/>
  <c r="F57" i="10"/>
  <c r="B58" i="10"/>
  <c r="F59" i="10"/>
  <c r="B60" i="10"/>
  <c r="F61" i="10"/>
  <c r="B62" i="10"/>
  <c r="F63" i="10"/>
  <c r="B64" i="10"/>
  <c r="F65" i="10"/>
  <c r="B66" i="10"/>
  <c r="F67" i="10"/>
  <c r="B68" i="10"/>
  <c r="F69" i="10"/>
  <c r="B70" i="10"/>
  <c r="F71" i="10"/>
  <c r="B72" i="10"/>
  <c r="F73" i="10"/>
  <c r="B74" i="10"/>
  <c r="F75" i="10"/>
  <c r="B76" i="10"/>
  <c r="F77" i="10"/>
  <c r="B78" i="10"/>
  <c r="F79" i="10"/>
  <c r="B80" i="10"/>
  <c r="F81" i="10"/>
  <c r="B82" i="10"/>
  <c r="F83" i="10"/>
  <c r="B84" i="10"/>
  <c r="F85" i="10"/>
  <c r="B86" i="10"/>
  <c r="F87" i="10"/>
  <c r="B88" i="10"/>
  <c r="F89" i="10"/>
  <c r="B90" i="10"/>
  <c r="F91" i="10"/>
  <c r="B92" i="10"/>
  <c r="F93" i="10"/>
  <c r="B9" i="10"/>
  <c r="B13" i="10"/>
  <c r="C67" i="10"/>
  <c r="B6" i="10"/>
  <c r="F7" i="10"/>
  <c r="B8" i="10"/>
  <c r="F9" i="10"/>
  <c r="B10" i="10"/>
  <c r="F11" i="10"/>
  <c r="B12" i="10"/>
  <c r="F13" i="10"/>
  <c r="B14" i="10"/>
  <c r="F15" i="10"/>
  <c r="B16" i="10"/>
  <c r="K22" i="20"/>
  <c r="C24" i="10"/>
  <c r="K26" i="20"/>
  <c r="K30" i="20"/>
  <c r="C32" i="10"/>
  <c r="C34" i="10"/>
  <c r="K38" i="20"/>
  <c r="K44" i="20"/>
  <c r="K46" i="20"/>
  <c r="C50" i="10"/>
  <c r="C52" i="10"/>
  <c r="K54" i="20"/>
  <c r="C56" i="10"/>
  <c r="C62" i="10"/>
  <c r="K64" i="20"/>
  <c r="C70" i="10"/>
  <c r="K74" i="20"/>
  <c r="C78" i="10"/>
  <c r="C80" i="10"/>
  <c r="C84" i="10"/>
  <c r="C88" i="10"/>
  <c r="C92" i="10"/>
  <c r="F14" i="10"/>
  <c r="C39" i="10"/>
  <c r="K53" i="20"/>
  <c r="C87" i="10"/>
  <c r="K12" i="20"/>
  <c r="D18" i="10"/>
  <c r="L20" i="20"/>
  <c r="D34" i="10"/>
  <c r="D36" i="10"/>
  <c r="D40" i="10"/>
  <c r="D44" i="10"/>
  <c r="D52" i="10"/>
  <c r="D58" i="10"/>
  <c r="L62" i="20"/>
  <c r="L64" i="20"/>
  <c r="D66" i="10"/>
  <c r="D74" i="10"/>
  <c r="D78" i="10"/>
  <c r="D84" i="10"/>
  <c r="D86" i="10"/>
  <c r="F12" i="10"/>
  <c r="B15" i="10"/>
  <c r="C51" i="10"/>
  <c r="C91" i="10"/>
  <c r="L8" i="20"/>
  <c r="D10" i="10"/>
  <c r="L16" i="20"/>
  <c r="N22" i="20"/>
  <c r="N30" i="20"/>
  <c r="N32" i="20"/>
  <c r="N36" i="20"/>
  <c r="E38" i="10"/>
  <c r="E46" i="10"/>
  <c r="E54" i="10"/>
  <c r="N60" i="20"/>
  <c r="E64" i="10"/>
  <c r="E70" i="10"/>
  <c r="E72" i="10"/>
  <c r="E74" i="10"/>
  <c r="E76" i="10"/>
  <c r="N78" i="20"/>
  <c r="E80" i="10"/>
  <c r="E84" i="10"/>
  <c r="E86" i="10"/>
  <c r="E88" i="10"/>
  <c r="F10" i="10"/>
  <c r="C35" i="10"/>
  <c r="C65" i="10"/>
  <c r="C77" i="10"/>
  <c r="C6" i="10"/>
  <c r="E8" i="10"/>
  <c r="E10" i="10"/>
  <c r="E12" i="10"/>
  <c r="E14" i="10"/>
  <c r="E16" i="10"/>
  <c r="B17" i="10"/>
  <c r="F18" i="10"/>
  <c r="B19" i="10"/>
  <c r="F20" i="10"/>
  <c r="B21" i="10"/>
  <c r="F22" i="10"/>
  <c r="B23" i="10"/>
  <c r="F24" i="10"/>
  <c r="B25" i="10"/>
  <c r="F26" i="10"/>
  <c r="B27" i="10"/>
  <c r="F28" i="10"/>
  <c r="B29" i="10"/>
  <c r="F30" i="10"/>
  <c r="B31" i="10"/>
  <c r="F32" i="10"/>
  <c r="B33" i="10"/>
  <c r="F34" i="10"/>
  <c r="B35" i="10"/>
  <c r="F36" i="10"/>
  <c r="B37" i="10"/>
  <c r="F38" i="10"/>
  <c r="B39" i="10"/>
  <c r="F40" i="10"/>
  <c r="B41" i="10"/>
  <c r="F42" i="10"/>
  <c r="B43" i="10"/>
  <c r="F44" i="10"/>
  <c r="B45" i="10"/>
  <c r="F46" i="10"/>
  <c r="B47" i="10"/>
  <c r="F48" i="10"/>
  <c r="B49" i="10"/>
  <c r="F50" i="10"/>
  <c r="B51" i="10"/>
  <c r="F52" i="10"/>
  <c r="B53" i="10"/>
  <c r="F54" i="10"/>
  <c r="B55" i="10"/>
  <c r="F56" i="10"/>
  <c r="B57" i="10"/>
  <c r="F58" i="10"/>
  <c r="B59" i="10"/>
  <c r="F60" i="10"/>
  <c r="B61" i="10"/>
  <c r="F62" i="10"/>
  <c r="B63" i="10"/>
  <c r="F64" i="10"/>
  <c r="B65" i="10"/>
  <c r="F66" i="10"/>
  <c r="B67" i="10"/>
  <c r="F68" i="10"/>
  <c r="B69" i="10"/>
  <c r="F70" i="10"/>
  <c r="B71" i="10"/>
  <c r="F72" i="10"/>
  <c r="B73" i="10"/>
  <c r="F74" i="10"/>
  <c r="B75" i="10"/>
  <c r="F76" i="10"/>
  <c r="B77" i="10"/>
  <c r="F78" i="10"/>
  <c r="B79" i="10"/>
  <c r="F80" i="10"/>
  <c r="B81" i="10"/>
  <c r="F82" i="10"/>
  <c r="B83" i="10"/>
  <c r="F84" i="10"/>
  <c r="B85" i="10"/>
  <c r="F86" i="10"/>
  <c r="B87" i="10"/>
  <c r="F88" i="10"/>
  <c r="B89" i="10"/>
  <c r="F90" i="10"/>
  <c r="B91" i="10"/>
  <c r="F92" i="10"/>
  <c r="B93" i="10"/>
  <c r="AW101" i="11"/>
  <c r="S57" i="10"/>
  <c r="P58" i="10"/>
  <c r="N59" i="10"/>
  <c r="L60" i="10"/>
  <c r="J61" i="10"/>
  <c r="S61" i="10"/>
  <c r="P62" i="10"/>
  <c r="N63" i="10"/>
  <c r="L64" i="10"/>
  <c r="J65" i="10"/>
  <c r="S65" i="10"/>
  <c r="O66" i="10"/>
  <c r="L67" i="10"/>
  <c r="T67" i="10"/>
  <c r="I68" i="12"/>
  <c r="Q68" i="10"/>
  <c r="N69" i="10"/>
  <c r="S70" i="10"/>
  <c r="P71" i="10"/>
  <c r="E72" i="12"/>
  <c r="M72" i="10"/>
  <c r="J73" i="10"/>
  <c r="R73" i="10"/>
  <c r="O74" i="10"/>
  <c r="L75" i="10"/>
  <c r="T75" i="10"/>
  <c r="I76" i="12"/>
  <c r="Q76" i="10"/>
  <c r="N77" i="10"/>
  <c r="S78" i="10"/>
  <c r="P79" i="10"/>
  <c r="E80" i="12"/>
  <c r="M80" i="10"/>
  <c r="J81" i="10"/>
  <c r="R81" i="10"/>
  <c r="O82" i="10"/>
  <c r="L83" i="10"/>
  <c r="T83" i="10"/>
  <c r="I84" i="12"/>
  <c r="Q84" i="10"/>
  <c r="N85" i="10"/>
  <c r="S86" i="10"/>
  <c r="P87" i="10"/>
  <c r="E88" i="12"/>
  <c r="M88" i="10"/>
  <c r="J89" i="10"/>
  <c r="R89" i="10"/>
  <c r="O90" i="10"/>
  <c r="L91" i="10"/>
  <c r="T91" i="10"/>
  <c r="I92" i="12"/>
  <c r="Q92" i="10"/>
  <c r="N93" i="10"/>
  <c r="E6" i="12"/>
  <c r="N6" i="10"/>
  <c r="L7" i="10"/>
  <c r="I10" i="12"/>
  <c r="Q10" i="10"/>
  <c r="O11" i="10"/>
  <c r="T13" i="10"/>
  <c r="Q14" i="10"/>
  <c r="T17" i="10"/>
  <c r="Q18" i="10"/>
  <c r="O19" i="10"/>
  <c r="T21" i="10"/>
  <c r="E24" i="12"/>
  <c r="T25" i="10"/>
  <c r="I26" i="12"/>
  <c r="Q26" i="10"/>
  <c r="O27" i="10"/>
  <c r="E28" i="12"/>
  <c r="M28" i="10"/>
  <c r="I30" i="12"/>
  <c r="O31" i="10"/>
  <c r="L32" i="10"/>
  <c r="J33" i="10"/>
  <c r="S33" i="10"/>
  <c r="N35" i="10"/>
  <c r="L36" i="10"/>
  <c r="S37" i="10"/>
  <c r="P38" i="10"/>
  <c r="J41" i="10"/>
  <c r="N43" i="10"/>
  <c r="L44" i="10"/>
  <c r="S45" i="10"/>
  <c r="P46" i="10"/>
  <c r="P50" i="10"/>
  <c r="S53" i="10"/>
  <c r="N55" i="10"/>
  <c r="O6" i="10"/>
  <c r="E7" i="12"/>
  <c r="N7" i="10"/>
  <c r="L8" i="10"/>
  <c r="J10" i="10"/>
  <c r="S10" i="10"/>
  <c r="P11" i="10"/>
  <c r="N12" i="10"/>
  <c r="L13" i="10"/>
  <c r="J14" i="10"/>
  <c r="S14" i="10"/>
  <c r="P15" i="10"/>
  <c r="N16" i="10"/>
  <c r="L17" i="10"/>
  <c r="J18" i="10"/>
  <c r="S18" i="10"/>
  <c r="P19" i="10"/>
  <c r="N20" i="10"/>
  <c r="L21" i="10"/>
  <c r="J22" i="10"/>
  <c r="S22" i="10"/>
  <c r="P23" i="10"/>
  <c r="N24" i="10"/>
  <c r="L25" i="10"/>
  <c r="J26" i="10"/>
  <c r="S26" i="10"/>
  <c r="P27" i="10"/>
  <c r="N28" i="10"/>
  <c r="L29" i="10"/>
  <c r="J30" i="10"/>
  <c r="S30" i="10"/>
  <c r="P31" i="10"/>
  <c r="E32" i="12"/>
  <c r="M32" i="10"/>
  <c r="T33" i="10"/>
  <c r="I34" i="12"/>
  <c r="Q34" i="10"/>
  <c r="O35" i="10"/>
  <c r="E36" i="12"/>
  <c r="M36" i="10"/>
  <c r="T37" i="10"/>
  <c r="I38" i="12"/>
  <c r="Q38" i="10"/>
  <c r="O39" i="10"/>
  <c r="E40" i="12"/>
  <c r="M40" i="10"/>
  <c r="T41" i="10"/>
  <c r="I42" i="12"/>
  <c r="Q42" i="10"/>
  <c r="O43" i="10"/>
  <c r="E44" i="12"/>
  <c r="M44" i="10"/>
  <c r="T45" i="10"/>
  <c r="I46" i="12"/>
  <c r="Q46" i="10"/>
  <c r="O47" i="10"/>
  <c r="E48" i="12"/>
  <c r="M48" i="10"/>
  <c r="T49" i="10"/>
  <c r="I50" i="12"/>
  <c r="Q50" i="10"/>
  <c r="O51" i="10"/>
  <c r="E52" i="12"/>
  <c r="M52" i="10"/>
  <c r="T53" i="10"/>
  <c r="I54" i="12"/>
  <c r="Q54" i="10"/>
  <c r="O55" i="10"/>
  <c r="M56" i="10"/>
  <c r="T57" i="10"/>
  <c r="I58" i="12"/>
  <c r="Q58" i="10"/>
  <c r="O59" i="10"/>
  <c r="E60" i="12"/>
  <c r="M60" i="10"/>
  <c r="T61" i="10"/>
  <c r="I62" i="12"/>
  <c r="Q62" i="10"/>
  <c r="O63" i="10"/>
  <c r="E64" i="12"/>
  <c r="M64" i="10"/>
  <c r="T65" i="10"/>
  <c r="P66" i="10"/>
  <c r="E67" i="12"/>
  <c r="M67" i="10"/>
  <c r="J68" i="10"/>
  <c r="R68" i="10"/>
  <c r="O69" i="10"/>
  <c r="L70" i="10"/>
  <c r="T70" i="10"/>
  <c r="I71" i="12"/>
  <c r="Q71" i="10"/>
  <c r="N72" i="10"/>
  <c r="S73" i="10"/>
  <c r="P74" i="10"/>
  <c r="E75" i="12"/>
  <c r="M75" i="10"/>
  <c r="J76" i="10"/>
  <c r="R76" i="10"/>
  <c r="O77" i="10"/>
  <c r="L78" i="10"/>
  <c r="T78" i="10"/>
  <c r="I79" i="12"/>
  <c r="Q79" i="10"/>
  <c r="N80" i="10"/>
  <c r="S81" i="10"/>
  <c r="P82" i="10"/>
  <c r="E83" i="12"/>
  <c r="M83" i="10"/>
  <c r="J84" i="10"/>
  <c r="R84" i="10"/>
  <c r="O85" i="10"/>
  <c r="L86" i="10"/>
  <c r="T86" i="10"/>
  <c r="I87" i="12"/>
  <c r="Q87" i="10"/>
  <c r="N88" i="10"/>
  <c r="S89" i="10"/>
  <c r="P90" i="10"/>
  <c r="E91" i="12"/>
  <c r="M91" i="10"/>
  <c r="J92" i="10"/>
  <c r="R92" i="10"/>
  <c r="O93" i="10"/>
  <c r="J9" i="10"/>
  <c r="T9" i="10"/>
  <c r="E12" i="12"/>
  <c r="M12" i="10"/>
  <c r="I14" i="12"/>
  <c r="O15" i="10"/>
  <c r="M16" i="10"/>
  <c r="I18" i="12"/>
  <c r="E20" i="12"/>
  <c r="M20" i="10"/>
  <c r="I22" i="12"/>
  <c r="Q22" i="10"/>
  <c r="O23" i="10"/>
  <c r="M24" i="10"/>
  <c r="T29" i="10"/>
  <c r="Q30" i="10"/>
  <c r="P34" i="10"/>
  <c r="J37" i="10"/>
  <c r="N39" i="10"/>
  <c r="L40" i="10"/>
  <c r="S41" i="10"/>
  <c r="P42" i="10"/>
  <c r="J45" i="10"/>
  <c r="N47" i="10"/>
  <c r="L48" i="10"/>
  <c r="J49" i="10"/>
  <c r="S49" i="10"/>
  <c r="N51" i="10"/>
  <c r="L52" i="10"/>
  <c r="J53" i="10"/>
  <c r="P54" i="10"/>
  <c r="L56" i="10"/>
  <c r="J57" i="10"/>
  <c r="P6" i="10"/>
  <c r="O7" i="10"/>
  <c r="E8" i="12"/>
  <c r="N8" i="10"/>
  <c r="L9" i="10"/>
  <c r="T10" i="10"/>
  <c r="I11" i="12"/>
  <c r="Q11" i="10"/>
  <c r="O12" i="10"/>
  <c r="E13" i="12"/>
  <c r="M13" i="10"/>
  <c r="T14" i="10"/>
  <c r="O16" i="10"/>
  <c r="E17" i="12"/>
  <c r="M17" i="10"/>
  <c r="T18" i="10"/>
  <c r="I19" i="12"/>
  <c r="Q19" i="10"/>
  <c r="O20" i="10"/>
  <c r="E21" i="12"/>
  <c r="M21" i="10"/>
  <c r="T22" i="10"/>
  <c r="I23" i="12"/>
  <c r="Q23" i="10"/>
  <c r="O24" i="10"/>
  <c r="E25" i="12"/>
  <c r="M25" i="10"/>
  <c r="T26" i="10"/>
  <c r="I27" i="12"/>
  <c r="Q27" i="10"/>
  <c r="O28" i="10"/>
  <c r="E29" i="12"/>
  <c r="M29" i="10"/>
  <c r="T30" i="10"/>
  <c r="I31" i="12"/>
  <c r="Q31" i="10"/>
  <c r="N32" i="10"/>
  <c r="L33" i="10"/>
  <c r="J34" i="10"/>
  <c r="S34" i="10"/>
  <c r="P35" i="10"/>
  <c r="N36" i="10"/>
  <c r="L37" i="10"/>
  <c r="J38" i="10"/>
  <c r="S38" i="10"/>
  <c r="P39" i="10"/>
  <c r="N40" i="10"/>
  <c r="L41" i="10"/>
  <c r="J42" i="10"/>
  <c r="S42" i="10"/>
  <c r="P43" i="10"/>
  <c r="N44" i="10"/>
  <c r="L45" i="10"/>
  <c r="J46" i="10"/>
  <c r="S46" i="10"/>
  <c r="P47" i="10"/>
  <c r="N48" i="10"/>
  <c r="L49" i="10"/>
  <c r="J50" i="10"/>
  <c r="S50" i="10"/>
  <c r="P51" i="10"/>
  <c r="N52" i="10"/>
  <c r="L53" i="10"/>
  <c r="J54" i="10"/>
  <c r="S54" i="10"/>
  <c r="P55" i="10"/>
  <c r="N56" i="10"/>
  <c r="L57" i="10"/>
  <c r="J58" i="10"/>
  <c r="S58" i="10"/>
  <c r="P59" i="10"/>
  <c r="N60" i="10"/>
  <c r="L61" i="10"/>
  <c r="J62" i="10"/>
  <c r="S62" i="10"/>
  <c r="P63" i="10"/>
  <c r="N64" i="10"/>
  <c r="L65" i="10"/>
  <c r="Q66" i="10"/>
  <c r="N67" i="10"/>
  <c r="S68" i="10"/>
  <c r="P69" i="10"/>
  <c r="E70" i="12"/>
  <c r="M70" i="10"/>
  <c r="J71" i="10"/>
  <c r="R71" i="10"/>
  <c r="O72" i="10"/>
  <c r="L73" i="10"/>
  <c r="T73" i="10"/>
  <c r="I74" i="12"/>
  <c r="Q74" i="10"/>
  <c r="N75" i="10"/>
  <c r="S76" i="10"/>
  <c r="P77" i="10"/>
  <c r="E78" i="12"/>
  <c r="M78" i="10"/>
  <c r="J79" i="10"/>
  <c r="R79" i="10"/>
  <c r="O80" i="10"/>
  <c r="L81" i="10"/>
  <c r="T81" i="10"/>
  <c r="I82" i="12"/>
  <c r="Q82" i="10"/>
  <c r="N83" i="10"/>
  <c r="S84" i="10"/>
  <c r="P85" i="10"/>
  <c r="E86" i="12"/>
  <c r="M86" i="10"/>
  <c r="J87" i="10"/>
  <c r="R87" i="10"/>
  <c r="O88" i="10"/>
  <c r="L89" i="10"/>
  <c r="T89" i="10"/>
  <c r="Q90" i="10"/>
  <c r="N91" i="10"/>
  <c r="S92" i="10"/>
  <c r="P93" i="10"/>
  <c r="T34" i="10"/>
  <c r="I35" i="12"/>
  <c r="Q35" i="10"/>
  <c r="O36" i="10"/>
  <c r="E37" i="12"/>
  <c r="M37" i="10"/>
  <c r="T38" i="10"/>
  <c r="I39" i="12"/>
  <c r="Q39" i="10"/>
  <c r="O40" i="10"/>
  <c r="E41" i="12"/>
  <c r="M41" i="10"/>
  <c r="T42" i="10"/>
  <c r="I43" i="12"/>
  <c r="Q43" i="10"/>
  <c r="O44" i="10"/>
  <c r="E45" i="12"/>
  <c r="M45" i="10"/>
  <c r="T46" i="10"/>
  <c r="I47" i="12"/>
  <c r="Q47" i="10"/>
  <c r="O48" i="10"/>
  <c r="E49" i="12"/>
  <c r="M49" i="10"/>
  <c r="T50" i="10"/>
  <c r="I51" i="12"/>
  <c r="Q51" i="10"/>
  <c r="O52" i="10"/>
  <c r="E53" i="12"/>
  <c r="M53" i="10"/>
  <c r="T54" i="10"/>
  <c r="I55" i="12"/>
  <c r="Q55" i="10"/>
  <c r="O56" i="10"/>
  <c r="E57" i="12"/>
  <c r="M57" i="10"/>
  <c r="T58" i="10"/>
  <c r="I59" i="12"/>
  <c r="Q59" i="10"/>
  <c r="O60" i="10"/>
  <c r="E61" i="12"/>
  <c r="M61" i="10"/>
  <c r="T62" i="10"/>
  <c r="I63" i="12"/>
  <c r="Q63" i="10"/>
  <c r="O64" i="10"/>
  <c r="E65" i="12"/>
  <c r="M65" i="10"/>
  <c r="J66" i="10"/>
  <c r="R66" i="10"/>
  <c r="O67" i="10"/>
  <c r="L68" i="10"/>
  <c r="T68" i="10"/>
  <c r="I69" i="12"/>
  <c r="Q69" i="10"/>
  <c r="N70" i="10"/>
  <c r="S71" i="10"/>
  <c r="P72" i="10"/>
  <c r="E73" i="12"/>
  <c r="M73" i="10"/>
  <c r="J74" i="10"/>
  <c r="R74" i="10"/>
  <c r="O75" i="10"/>
  <c r="L76" i="10"/>
  <c r="T76" i="10"/>
  <c r="I77" i="12"/>
  <c r="Q77" i="10"/>
  <c r="N78" i="10"/>
  <c r="S79" i="10"/>
  <c r="P80" i="10"/>
  <c r="E81" i="12"/>
  <c r="M81" i="10"/>
  <c r="J82" i="10"/>
  <c r="R82" i="10"/>
  <c r="O83" i="10"/>
  <c r="L84" i="10"/>
  <c r="T84" i="10"/>
  <c r="I85" i="12"/>
  <c r="Q85" i="10"/>
  <c r="N86" i="10"/>
  <c r="S87" i="10"/>
  <c r="P88" i="10"/>
  <c r="E89" i="12"/>
  <c r="M89" i="10"/>
  <c r="J90" i="10"/>
  <c r="R90" i="10"/>
  <c r="O91" i="10"/>
  <c r="L92" i="10"/>
  <c r="T92" i="10"/>
  <c r="I93" i="12"/>
  <c r="Q93" i="10"/>
  <c r="E26" i="12"/>
  <c r="M26" i="10"/>
  <c r="T27" i="10"/>
  <c r="I28" i="12"/>
  <c r="Q28" i="10"/>
  <c r="O29" i="10"/>
  <c r="E30" i="12"/>
  <c r="M30" i="10"/>
  <c r="T31" i="10"/>
  <c r="P32" i="10"/>
  <c r="N33" i="10"/>
  <c r="L34" i="10"/>
  <c r="J35" i="10"/>
  <c r="S35" i="10"/>
  <c r="P36" i="10"/>
  <c r="N37" i="10"/>
  <c r="L38" i="10"/>
  <c r="J39" i="10"/>
  <c r="S39" i="10"/>
  <c r="P40" i="10"/>
  <c r="N41" i="10"/>
  <c r="L42" i="10"/>
  <c r="J43" i="10"/>
  <c r="S43" i="10"/>
  <c r="P44" i="10"/>
  <c r="N45" i="10"/>
  <c r="L46" i="10"/>
  <c r="J47" i="10"/>
  <c r="S47" i="10"/>
  <c r="P48" i="10"/>
  <c r="N49" i="10"/>
  <c r="L50" i="10"/>
  <c r="J51" i="10"/>
  <c r="S51" i="10"/>
  <c r="P52" i="10"/>
  <c r="N53" i="10"/>
  <c r="L54" i="10"/>
  <c r="J55" i="10"/>
  <c r="S55" i="10"/>
  <c r="P56" i="10"/>
  <c r="N57" i="10"/>
  <c r="L58" i="10"/>
  <c r="J59" i="10"/>
  <c r="S59" i="10"/>
  <c r="P60" i="10"/>
  <c r="N61" i="10"/>
  <c r="L62" i="10"/>
  <c r="J63" i="10"/>
  <c r="S63" i="10"/>
  <c r="P64" i="10"/>
  <c r="N65" i="10"/>
  <c r="S66" i="10"/>
  <c r="P67" i="10"/>
  <c r="E68" i="12"/>
  <c r="M68" i="10"/>
  <c r="J69" i="10"/>
  <c r="R69" i="10"/>
  <c r="O70" i="10"/>
  <c r="L71" i="10"/>
  <c r="T71" i="10"/>
  <c r="I72" i="12"/>
  <c r="Q72" i="10"/>
  <c r="N73" i="10"/>
  <c r="S74" i="10"/>
  <c r="P75" i="10"/>
  <c r="E76" i="12"/>
  <c r="M76" i="10"/>
  <c r="J77" i="10"/>
  <c r="R77" i="10"/>
  <c r="O78" i="10"/>
  <c r="L79" i="10"/>
  <c r="T79" i="10"/>
  <c r="I80" i="12"/>
  <c r="Q80" i="10"/>
  <c r="N81" i="10"/>
  <c r="S82" i="10"/>
  <c r="P83" i="10"/>
  <c r="E84" i="12"/>
  <c r="M84" i="10"/>
  <c r="J85" i="10"/>
  <c r="R85" i="10"/>
  <c r="O86" i="10"/>
  <c r="L87" i="10"/>
  <c r="T87" i="10"/>
  <c r="I88" i="12"/>
  <c r="Q88" i="10"/>
  <c r="N89" i="10"/>
  <c r="S90" i="10"/>
  <c r="P91" i="10"/>
  <c r="E92" i="12"/>
  <c r="M92" i="10"/>
  <c r="J93" i="10"/>
  <c r="R93" i="10"/>
  <c r="O8" i="10"/>
  <c r="J11" i="10"/>
  <c r="S11" i="10"/>
  <c r="P12" i="10"/>
  <c r="N13" i="10"/>
  <c r="J15" i="10"/>
  <c r="S15" i="10"/>
  <c r="L18" i="10"/>
  <c r="J19" i="10"/>
  <c r="S19" i="10"/>
  <c r="P20" i="10"/>
  <c r="N21" i="10"/>
  <c r="L22" i="10"/>
  <c r="J27" i="10"/>
  <c r="S27" i="10"/>
  <c r="L30" i="10"/>
  <c r="J31" i="10"/>
  <c r="S31" i="10"/>
  <c r="O32" i="10"/>
  <c r="E33" i="12"/>
  <c r="M33" i="10"/>
  <c r="I6" i="12"/>
  <c r="O9" i="10"/>
  <c r="M10" i="10"/>
  <c r="E14" i="12"/>
  <c r="I16" i="12"/>
  <c r="O17" i="10"/>
  <c r="T19" i="10"/>
  <c r="Q20" i="10"/>
  <c r="O21" i="10"/>
  <c r="E22" i="12"/>
  <c r="M22" i="10"/>
  <c r="T23" i="10"/>
  <c r="I24" i="12"/>
  <c r="O25" i="10"/>
  <c r="J6" i="10"/>
  <c r="T6" i="10"/>
  <c r="I7" i="12"/>
  <c r="S7" i="10"/>
  <c r="Q8" i="10"/>
  <c r="P9" i="10"/>
  <c r="N10" i="10"/>
  <c r="L11" i="10"/>
  <c r="J12" i="10"/>
  <c r="S12" i="10"/>
  <c r="P13" i="10"/>
  <c r="N14" i="10"/>
  <c r="L15" i="10"/>
  <c r="J16" i="10"/>
  <c r="S16" i="10"/>
  <c r="P17" i="10"/>
  <c r="N18" i="10"/>
  <c r="L19" i="10"/>
  <c r="J20" i="10"/>
  <c r="S20" i="10"/>
  <c r="P21" i="10"/>
  <c r="N22" i="10"/>
  <c r="L23" i="10"/>
  <c r="J24" i="10"/>
  <c r="S24" i="10"/>
  <c r="P25" i="10"/>
  <c r="N26" i="10"/>
  <c r="L27" i="10"/>
  <c r="J28" i="10"/>
  <c r="S28" i="10"/>
  <c r="P29" i="10"/>
  <c r="N30" i="10"/>
  <c r="L31" i="10"/>
  <c r="BF32" i="11"/>
  <c r="AW32" i="11" s="1"/>
  <c r="Q32" i="10"/>
  <c r="O33" i="10"/>
  <c r="E34" i="12"/>
  <c r="M34" i="10"/>
  <c r="T35" i="10"/>
  <c r="I36" i="12"/>
  <c r="Q36" i="10"/>
  <c r="O37" i="10"/>
  <c r="E38" i="12"/>
  <c r="M38" i="10"/>
  <c r="T39" i="10"/>
  <c r="I40" i="12"/>
  <c r="Q40" i="10"/>
  <c r="O41" i="10"/>
  <c r="E42" i="12"/>
  <c r="M42" i="10"/>
  <c r="T43" i="10"/>
  <c r="I44" i="12"/>
  <c r="Q44" i="10"/>
  <c r="O45" i="10"/>
  <c r="E46" i="12"/>
  <c r="M46" i="10"/>
  <c r="T47" i="10"/>
  <c r="I48" i="12"/>
  <c r="Q48" i="10"/>
  <c r="O49" i="10"/>
  <c r="E50" i="12"/>
  <c r="M50" i="10"/>
  <c r="T51" i="10"/>
  <c r="I52" i="12"/>
  <c r="Q52" i="10"/>
  <c r="O53" i="10"/>
  <c r="E54" i="12"/>
  <c r="M54" i="10"/>
  <c r="T55" i="10"/>
  <c r="I56" i="12"/>
  <c r="Q56" i="10"/>
  <c r="O57" i="10"/>
  <c r="E58" i="12"/>
  <c r="M58" i="10"/>
  <c r="T59" i="10"/>
  <c r="I60" i="12"/>
  <c r="Q60" i="10"/>
  <c r="O61" i="10"/>
  <c r="E62" i="12"/>
  <c r="M62" i="10"/>
  <c r="T63" i="10"/>
  <c r="I64" i="12"/>
  <c r="Q64" i="10"/>
  <c r="O65" i="10"/>
  <c r="L66" i="10"/>
  <c r="T66" i="10"/>
  <c r="I67" i="12"/>
  <c r="Q67" i="10"/>
  <c r="N68" i="10"/>
  <c r="S69" i="10"/>
  <c r="P70" i="10"/>
  <c r="E71" i="12"/>
  <c r="M71" i="10"/>
  <c r="J72" i="10"/>
  <c r="R72" i="10"/>
  <c r="O73" i="10"/>
  <c r="L74" i="10"/>
  <c r="T74" i="10"/>
  <c r="I75" i="12"/>
  <c r="Q75" i="10"/>
  <c r="N76" i="10"/>
  <c r="S77" i="10"/>
  <c r="P78" i="10"/>
  <c r="E79" i="12"/>
  <c r="M79" i="10"/>
  <c r="J80" i="10"/>
  <c r="R80" i="10"/>
  <c r="O81" i="10"/>
  <c r="L82" i="10"/>
  <c r="T82" i="10"/>
  <c r="I83" i="12"/>
  <c r="Q83" i="10"/>
  <c r="N84" i="10"/>
  <c r="S85" i="10"/>
  <c r="P86" i="10"/>
  <c r="E87" i="12"/>
  <c r="M87" i="10"/>
  <c r="J88" i="10"/>
  <c r="R88" i="10"/>
  <c r="O89" i="10"/>
  <c r="L90" i="10"/>
  <c r="T90" i="10"/>
  <c r="I91" i="12"/>
  <c r="Q91" i="10"/>
  <c r="N92" i="10"/>
  <c r="S93" i="10"/>
  <c r="N9" i="10"/>
  <c r="L14" i="10"/>
  <c r="J23" i="10"/>
  <c r="S23" i="10"/>
  <c r="P24" i="10"/>
  <c r="N25" i="10"/>
  <c r="P28" i="10"/>
  <c r="N29" i="10"/>
  <c r="I12" i="12"/>
  <c r="Q24" i="10"/>
  <c r="J7" i="10"/>
  <c r="T7" i="10"/>
  <c r="I8" i="12"/>
  <c r="S8" i="10"/>
  <c r="Q9" i="10"/>
  <c r="O10" i="10"/>
  <c r="E11" i="12"/>
  <c r="M11" i="10"/>
  <c r="T12" i="10"/>
  <c r="I13" i="12"/>
  <c r="Q13" i="10"/>
  <c r="O14" i="10"/>
  <c r="E15" i="12"/>
  <c r="M15" i="10"/>
  <c r="T16" i="10"/>
  <c r="I17" i="12"/>
  <c r="Q17" i="10"/>
  <c r="O18" i="10"/>
  <c r="E19" i="12"/>
  <c r="M19" i="10"/>
  <c r="T20" i="10"/>
  <c r="I21" i="12"/>
  <c r="Q21" i="10"/>
  <c r="O22" i="10"/>
  <c r="E23" i="12"/>
  <c r="M23" i="10"/>
  <c r="T24" i="10"/>
  <c r="I25" i="12"/>
  <c r="Q25" i="10"/>
  <c r="O26" i="10"/>
  <c r="E27" i="12"/>
  <c r="M27" i="10"/>
  <c r="T28" i="10"/>
  <c r="I29" i="12"/>
  <c r="Q29" i="10"/>
  <c r="O30" i="10"/>
  <c r="E31" i="12"/>
  <c r="M31" i="10"/>
  <c r="J32" i="10"/>
  <c r="S32" i="10"/>
  <c r="P33" i="10"/>
  <c r="N34" i="10"/>
  <c r="L35" i="10"/>
  <c r="J36" i="10"/>
  <c r="S36" i="10"/>
  <c r="P37" i="10"/>
  <c r="N38" i="10"/>
  <c r="L39" i="10"/>
  <c r="J40" i="10"/>
  <c r="S40" i="10"/>
  <c r="P41" i="10"/>
  <c r="N42" i="10"/>
  <c r="L43" i="10"/>
  <c r="J44" i="10"/>
  <c r="S44" i="10"/>
  <c r="P45" i="10"/>
  <c r="N46" i="10"/>
  <c r="L47" i="10"/>
  <c r="J48" i="10"/>
  <c r="S48" i="10"/>
  <c r="P49" i="10"/>
  <c r="N50" i="10"/>
  <c r="L51" i="10"/>
  <c r="J52" i="10"/>
  <c r="S52" i="10"/>
  <c r="P53" i="10"/>
  <c r="N54" i="10"/>
  <c r="L55" i="10"/>
  <c r="J56" i="10"/>
  <c r="S56" i="10"/>
  <c r="P57" i="10"/>
  <c r="N58" i="10"/>
  <c r="L59" i="10"/>
  <c r="J60" i="10"/>
  <c r="S60" i="10"/>
  <c r="P61" i="10"/>
  <c r="N62" i="10"/>
  <c r="L63" i="10"/>
  <c r="J64" i="10"/>
  <c r="S64" i="10"/>
  <c r="P65" i="10"/>
  <c r="E66" i="12"/>
  <c r="M66" i="10"/>
  <c r="J67" i="10"/>
  <c r="R67" i="10"/>
  <c r="O68" i="10"/>
  <c r="L69" i="10"/>
  <c r="T69" i="10"/>
  <c r="I70" i="12"/>
  <c r="Q70" i="10"/>
  <c r="N71" i="10"/>
  <c r="S72" i="10"/>
  <c r="P73" i="10"/>
  <c r="E74" i="12"/>
  <c r="M74" i="10"/>
  <c r="J75" i="10"/>
  <c r="R75" i="10"/>
  <c r="O76" i="10"/>
  <c r="L77" i="10"/>
  <c r="T77" i="10"/>
  <c r="I78" i="12"/>
  <c r="Q78" i="10"/>
  <c r="N79" i="10"/>
  <c r="S80" i="10"/>
  <c r="P81" i="10"/>
  <c r="E82" i="12"/>
  <c r="M82" i="10"/>
  <c r="J83" i="10"/>
  <c r="R83" i="10"/>
  <c r="O84" i="10"/>
  <c r="L85" i="10"/>
  <c r="T85" i="10"/>
  <c r="I86" i="12"/>
  <c r="Q86" i="10"/>
  <c r="N87" i="10"/>
  <c r="S88" i="10"/>
  <c r="P89" i="10"/>
  <c r="M90" i="10"/>
  <c r="J91" i="10"/>
  <c r="R91" i="10"/>
  <c r="O92" i="10"/>
  <c r="L93" i="10"/>
  <c r="T93" i="10"/>
  <c r="Q6" i="10"/>
  <c r="P7" i="10"/>
  <c r="E9" i="12"/>
  <c r="L10" i="10"/>
  <c r="P16" i="10"/>
  <c r="N17" i="10"/>
  <c r="L26" i="10"/>
  <c r="S6" i="10"/>
  <c r="Q7" i="10"/>
  <c r="P8" i="10"/>
  <c r="E10" i="12"/>
  <c r="T11" i="10"/>
  <c r="Q12" i="10"/>
  <c r="O13" i="10"/>
  <c r="M14" i="10"/>
  <c r="T15" i="10"/>
  <c r="Q16" i="10"/>
  <c r="E18" i="12"/>
  <c r="M18" i="10"/>
  <c r="I20" i="12"/>
  <c r="L6" i="10"/>
  <c r="J8" i="10"/>
  <c r="T8" i="10"/>
  <c r="I9" i="12"/>
  <c r="S9" i="10"/>
  <c r="P10" i="10"/>
  <c r="N11" i="10"/>
  <c r="L12" i="10"/>
  <c r="J13" i="10"/>
  <c r="S13" i="10"/>
  <c r="P14" i="10"/>
  <c r="N15" i="10"/>
  <c r="L16" i="10"/>
  <c r="J17" i="10"/>
  <c r="S17" i="10"/>
  <c r="P18" i="10"/>
  <c r="N19" i="10"/>
  <c r="L20" i="10"/>
  <c r="J21" i="10"/>
  <c r="S21" i="10"/>
  <c r="P22" i="10"/>
  <c r="N23" i="10"/>
  <c r="L24" i="10"/>
  <c r="J25" i="10"/>
  <c r="S25" i="10"/>
  <c r="P26" i="10"/>
  <c r="N27" i="10"/>
  <c r="L28" i="10"/>
  <c r="J29" i="10"/>
  <c r="S29" i="10"/>
  <c r="P30" i="10"/>
  <c r="N31" i="10"/>
  <c r="T32" i="10"/>
  <c r="I33" i="12"/>
  <c r="Q33" i="10"/>
  <c r="O34" i="10"/>
  <c r="E35" i="12"/>
  <c r="M35" i="10"/>
  <c r="T36" i="10"/>
  <c r="I37" i="12"/>
  <c r="Q37" i="10"/>
  <c r="O38" i="10"/>
  <c r="E39" i="12"/>
  <c r="M39" i="10"/>
  <c r="T40" i="10"/>
  <c r="I41" i="12"/>
  <c r="Q41" i="10"/>
  <c r="O42" i="10"/>
  <c r="E43" i="12"/>
  <c r="M43" i="10"/>
  <c r="T44" i="10"/>
  <c r="I45" i="12"/>
  <c r="Q45" i="10"/>
  <c r="O46" i="10"/>
  <c r="E47" i="12"/>
  <c r="M47" i="10"/>
  <c r="T48" i="10"/>
  <c r="I49" i="12"/>
  <c r="Q49" i="10"/>
  <c r="O50" i="10"/>
  <c r="E51" i="12"/>
  <c r="M51" i="10"/>
  <c r="T52" i="10"/>
  <c r="I53" i="12"/>
  <c r="Q53" i="10"/>
  <c r="O54" i="10"/>
  <c r="E55" i="12"/>
  <c r="M55" i="10"/>
  <c r="T56" i="10"/>
  <c r="I57" i="12"/>
  <c r="Q57" i="10"/>
  <c r="O58" i="10"/>
  <c r="E59" i="12"/>
  <c r="M59" i="10"/>
  <c r="T60" i="10"/>
  <c r="I61" i="12"/>
  <c r="Q61" i="10"/>
  <c r="O62" i="10"/>
  <c r="E63" i="12"/>
  <c r="M63" i="10"/>
  <c r="T64" i="10"/>
  <c r="I65" i="12"/>
  <c r="Q65" i="10"/>
  <c r="N66" i="10"/>
  <c r="S67" i="10"/>
  <c r="P68" i="10"/>
  <c r="E69" i="12"/>
  <c r="M69" i="10"/>
  <c r="J70" i="10"/>
  <c r="R70" i="10"/>
  <c r="O71" i="10"/>
  <c r="L72" i="10"/>
  <c r="T72" i="10"/>
  <c r="I73" i="12"/>
  <c r="Q73" i="10"/>
  <c r="N74" i="10"/>
  <c r="S75" i="10"/>
  <c r="P76" i="10"/>
  <c r="E77" i="12"/>
  <c r="M77" i="10"/>
  <c r="J78" i="10"/>
  <c r="R78" i="10"/>
  <c r="O79" i="10"/>
  <c r="L80" i="10"/>
  <c r="T80" i="10"/>
  <c r="I81" i="12"/>
  <c r="Q81" i="10"/>
  <c r="N82" i="10"/>
  <c r="S83" i="10"/>
  <c r="P84" i="10"/>
  <c r="E85" i="12"/>
  <c r="M85" i="10"/>
  <c r="J86" i="10"/>
  <c r="R86" i="10"/>
  <c r="O87" i="10"/>
  <c r="L88" i="10"/>
  <c r="T88" i="10"/>
  <c r="I89" i="12"/>
  <c r="Q89" i="10"/>
  <c r="N90" i="10"/>
  <c r="S91" i="10"/>
  <c r="P92" i="10"/>
  <c r="E93" i="12"/>
  <c r="M93" i="10"/>
  <c r="C6" i="13"/>
  <c r="AB6" i="10"/>
  <c r="D7" i="13"/>
  <c r="AC7" i="10"/>
  <c r="AD8" i="10"/>
  <c r="F9" i="13"/>
  <c r="V10" i="10"/>
  <c r="G10" i="13"/>
  <c r="W11" i="10"/>
  <c r="H11" i="13"/>
  <c r="X12" i="10"/>
  <c r="I12" i="13"/>
  <c r="Y13" i="10"/>
  <c r="AA13" i="10"/>
  <c r="C14" i="13"/>
  <c r="AB14" i="10"/>
  <c r="D15" i="13"/>
  <c r="AC15" i="10"/>
  <c r="AD16" i="10"/>
  <c r="F17" i="13"/>
  <c r="V18" i="10"/>
  <c r="G18" i="13"/>
  <c r="W19" i="10"/>
  <c r="H19" i="13"/>
  <c r="X20" i="10"/>
  <c r="I20" i="13"/>
  <c r="Y21" i="10"/>
  <c r="AA21" i="10"/>
  <c r="C22" i="13"/>
  <c r="AB22" i="10"/>
  <c r="D23" i="13"/>
  <c r="AC23" i="10"/>
  <c r="AD24" i="10"/>
  <c r="F25" i="13"/>
  <c r="V26" i="10"/>
  <c r="G26" i="13"/>
  <c r="W27" i="10"/>
  <c r="H27" i="13"/>
  <c r="X28" i="10"/>
  <c r="I28" i="13"/>
  <c r="Y29" i="10"/>
  <c r="AA29" i="10"/>
  <c r="C30" i="13"/>
  <c r="AB30" i="10"/>
  <c r="D31" i="13"/>
  <c r="AC31" i="10"/>
  <c r="AD32" i="10"/>
  <c r="F33" i="13"/>
  <c r="V34" i="10"/>
  <c r="G34" i="13"/>
  <c r="W35" i="10"/>
  <c r="H35" i="13"/>
  <c r="X36" i="10"/>
  <c r="I36" i="13"/>
  <c r="Y37" i="10"/>
  <c r="AA37" i="10"/>
  <c r="C38" i="13"/>
  <c r="CC38" i="12" s="1"/>
  <c r="AB38" i="10"/>
  <c r="D39" i="13"/>
  <c r="AC39" i="10"/>
  <c r="AD40" i="10"/>
  <c r="F41" i="13"/>
  <c r="V42" i="10"/>
  <c r="G42" i="13"/>
  <c r="W43" i="10"/>
  <c r="H43" i="13"/>
  <c r="X44" i="10"/>
  <c r="I44" i="13"/>
  <c r="Y45" i="10"/>
  <c r="AA45" i="10"/>
  <c r="C46" i="13"/>
  <c r="AB46" i="10"/>
  <c r="AC47" i="10"/>
  <c r="AD48" i="10"/>
  <c r="F49" i="13"/>
  <c r="V50" i="10"/>
  <c r="G50" i="13"/>
  <c r="W51" i="10"/>
  <c r="H51" i="13"/>
  <c r="X52" i="10"/>
  <c r="I52" i="13"/>
  <c r="Y53" i="10"/>
  <c r="AA53" i="10"/>
  <c r="C54" i="13"/>
  <c r="AB54" i="10"/>
  <c r="AC55" i="10"/>
  <c r="AD56" i="10"/>
  <c r="F57" i="13"/>
  <c r="V58" i="10"/>
  <c r="G58" i="13"/>
  <c r="W59" i="10"/>
  <c r="H59" i="13"/>
  <c r="X60" i="10"/>
  <c r="I60" i="13"/>
  <c r="Y61" i="10"/>
  <c r="AA61" i="10"/>
  <c r="C62" i="13"/>
  <c r="AB62" i="10"/>
  <c r="AC63" i="10"/>
  <c r="AD64" i="10"/>
  <c r="F65" i="13"/>
  <c r="V66" i="10"/>
  <c r="G66" i="13"/>
  <c r="V67" i="10"/>
  <c r="G67" i="13"/>
  <c r="W68" i="10"/>
  <c r="H68" i="13"/>
  <c r="X69" i="10"/>
  <c r="I69" i="13"/>
  <c r="Y70" i="10"/>
  <c r="AA70" i="10"/>
  <c r="C71" i="13"/>
  <c r="AB71" i="10"/>
  <c r="D72" i="13"/>
  <c r="AC72" i="10"/>
  <c r="AD73" i="10"/>
  <c r="F74" i="13"/>
  <c r="V75" i="10"/>
  <c r="G75" i="13"/>
  <c r="W76" i="10"/>
  <c r="H76" i="13"/>
  <c r="X77" i="10"/>
  <c r="I77" i="13"/>
  <c r="Y78" i="10"/>
  <c r="AA78" i="10"/>
  <c r="C79" i="13"/>
  <c r="AB79" i="10"/>
  <c r="D80" i="13"/>
  <c r="AC80" i="10"/>
  <c r="AD81" i="10"/>
  <c r="F82" i="13"/>
  <c r="V83" i="10"/>
  <c r="G83" i="13"/>
  <c r="W84" i="10"/>
  <c r="H84" i="13"/>
  <c r="X85" i="10"/>
  <c r="I85" i="13"/>
  <c r="Y86" i="10"/>
  <c r="AA86" i="10"/>
  <c r="C87" i="13"/>
  <c r="AB87" i="10"/>
  <c r="D88" i="13"/>
  <c r="AC88" i="10"/>
  <c r="AD89" i="10"/>
  <c r="V91" i="10"/>
  <c r="G91" i="13"/>
  <c r="W92" i="10"/>
  <c r="H92" i="13"/>
  <c r="X93" i="10"/>
  <c r="I93" i="13"/>
  <c r="D6" i="13"/>
  <c r="AC6" i="10"/>
  <c r="AD7" i="10"/>
  <c r="F8" i="13"/>
  <c r="V9" i="10"/>
  <c r="G9" i="13"/>
  <c r="W10" i="10"/>
  <c r="H10" i="13"/>
  <c r="X11" i="10"/>
  <c r="I11" i="13"/>
  <c r="Y12" i="10"/>
  <c r="AA12" i="10"/>
  <c r="C13" i="13"/>
  <c r="CC13" i="12" s="1"/>
  <c r="AB13" i="10"/>
  <c r="D14" i="13"/>
  <c r="AC14" i="10"/>
  <c r="AD15" i="10"/>
  <c r="F16" i="13"/>
  <c r="V17" i="10"/>
  <c r="G17" i="13"/>
  <c r="W18" i="10"/>
  <c r="H18" i="13"/>
  <c r="X19" i="10"/>
  <c r="I19" i="13"/>
  <c r="Y20" i="10"/>
  <c r="AA20" i="10"/>
  <c r="AB21" i="10"/>
  <c r="D22" i="13"/>
  <c r="AC22" i="10"/>
  <c r="AD23" i="10"/>
  <c r="F24" i="13"/>
  <c r="V25" i="10"/>
  <c r="G25" i="13"/>
  <c r="W26" i="10"/>
  <c r="H26" i="13"/>
  <c r="X27" i="10"/>
  <c r="I27" i="13"/>
  <c r="Y28" i="10"/>
  <c r="AA28" i="10"/>
  <c r="AB29" i="10"/>
  <c r="D30" i="13"/>
  <c r="AC30" i="10"/>
  <c r="AD31" i="10"/>
  <c r="F32" i="13"/>
  <c r="V33" i="10"/>
  <c r="G33" i="13"/>
  <c r="W34" i="10"/>
  <c r="H34" i="13"/>
  <c r="X35" i="10"/>
  <c r="I35" i="13"/>
  <c r="Y36" i="10"/>
  <c r="AA36" i="10"/>
  <c r="AB37" i="10"/>
  <c r="D38" i="13"/>
  <c r="AC38" i="10"/>
  <c r="E39" i="13"/>
  <c r="CE39" i="12" s="1"/>
  <c r="AD39" i="10"/>
  <c r="F40" i="13"/>
  <c r="V41" i="10"/>
  <c r="G41" i="13"/>
  <c r="W42" i="10"/>
  <c r="H42" i="13"/>
  <c r="X43" i="10"/>
  <c r="I43" i="13"/>
  <c r="Y44" i="10"/>
  <c r="AA44" i="10"/>
  <c r="AB45" i="10"/>
  <c r="D46" i="13"/>
  <c r="AC46" i="10"/>
  <c r="AD47" i="10"/>
  <c r="F48" i="13"/>
  <c r="V49" i="10"/>
  <c r="G49" i="13"/>
  <c r="W50" i="10"/>
  <c r="H50" i="13"/>
  <c r="X51" i="10"/>
  <c r="I51" i="13"/>
  <c r="Y52" i="10"/>
  <c r="AA52" i="10"/>
  <c r="AB53" i="10"/>
  <c r="D54" i="13"/>
  <c r="AC54" i="10"/>
  <c r="AD55" i="10"/>
  <c r="F56" i="13"/>
  <c r="V57" i="10"/>
  <c r="G57" i="13"/>
  <c r="W58" i="10"/>
  <c r="H58" i="13"/>
  <c r="X59" i="10"/>
  <c r="I59" i="13"/>
  <c r="Y60" i="10"/>
  <c r="AA60" i="10"/>
  <c r="AB61" i="10"/>
  <c r="D62" i="13"/>
  <c r="AC62" i="10"/>
  <c r="AD63" i="10"/>
  <c r="F64" i="13"/>
  <c r="V65" i="10"/>
  <c r="G65" i="13"/>
  <c r="W66" i="10"/>
  <c r="H66" i="13"/>
  <c r="W67" i="10"/>
  <c r="H67" i="13"/>
  <c r="X68" i="10"/>
  <c r="I68" i="13"/>
  <c r="Y69" i="10"/>
  <c r="AA69" i="10"/>
  <c r="C70" i="13"/>
  <c r="AB70" i="10"/>
  <c r="AC71" i="10"/>
  <c r="AD72" i="10"/>
  <c r="F73" i="13"/>
  <c r="V74" i="10"/>
  <c r="G74" i="13"/>
  <c r="W75" i="10"/>
  <c r="H75" i="13"/>
  <c r="X76" i="10"/>
  <c r="I76" i="13"/>
  <c r="Y77" i="10"/>
  <c r="AA77" i="10"/>
  <c r="C78" i="13"/>
  <c r="AB78" i="10"/>
  <c r="D79" i="13"/>
  <c r="AC79" i="10"/>
  <c r="AD80" i="10"/>
  <c r="F81" i="13"/>
  <c r="V82" i="10"/>
  <c r="G82" i="13"/>
  <c r="W83" i="10"/>
  <c r="H83" i="13"/>
  <c r="X84" i="10"/>
  <c r="I84" i="13"/>
  <c r="Y85" i="10"/>
  <c r="AA85" i="10"/>
  <c r="AB86" i="10"/>
  <c r="D87" i="13"/>
  <c r="AC87" i="10"/>
  <c r="AD88" i="10"/>
  <c r="F89" i="13"/>
  <c r="V90" i="10"/>
  <c r="W91" i="10"/>
  <c r="H91" i="13"/>
  <c r="X92" i="10"/>
  <c r="I92" i="13"/>
  <c r="Y93" i="10"/>
  <c r="AA93" i="10"/>
  <c r="E6" i="13"/>
  <c r="AD6" i="10"/>
  <c r="F7" i="13"/>
  <c r="V8" i="10"/>
  <c r="G8" i="13"/>
  <c r="W9" i="10"/>
  <c r="H9" i="13"/>
  <c r="X10" i="10"/>
  <c r="I10" i="13"/>
  <c r="Y11" i="10"/>
  <c r="AA11" i="10"/>
  <c r="C12" i="13"/>
  <c r="AB12" i="10"/>
  <c r="D13" i="13"/>
  <c r="AC13" i="10"/>
  <c r="AD14" i="10"/>
  <c r="F15" i="13"/>
  <c r="V16" i="10"/>
  <c r="G16" i="13"/>
  <c r="W17" i="10"/>
  <c r="H17" i="13"/>
  <c r="X18" i="10"/>
  <c r="I18" i="13"/>
  <c r="Y19" i="10"/>
  <c r="AA19" i="10"/>
  <c r="AB20" i="10"/>
  <c r="D21" i="13"/>
  <c r="AC21" i="10"/>
  <c r="AD22" i="10"/>
  <c r="F23" i="13"/>
  <c r="V24" i="10"/>
  <c r="G24" i="13"/>
  <c r="W25" i="10"/>
  <c r="H25" i="13"/>
  <c r="X26" i="10"/>
  <c r="I26" i="13"/>
  <c r="Y27" i="10"/>
  <c r="AA27" i="10"/>
  <c r="C28" i="13"/>
  <c r="AB28" i="10"/>
  <c r="D29" i="13"/>
  <c r="AC29" i="10"/>
  <c r="AD30" i="10"/>
  <c r="V32" i="10"/>
  <c r="G32" i="13"/>
  <c r="W33" i="10"/>
  <c r="H33" i="13"/>
  <c r="X34" i="10"/>
  <c r="I34" i="13"/>
  <c r="Y35" i="10"/>
  <c r="AA35" i="10"/>
  <c r="C36" i="13"/>
  <c r="AB36" i="10"/>
  <c r="D37" i="13"/>
  <c r="AC37" i="10"/>
  <c r="AD38" i="10"/>
  <c r="F39" i="13"/>
  <c r="V40" i="10"/>
  <c r="G40" i="13"/>
  <c r="W41" i="10"/>
  <c r="H41" i="13"/>
  <c r="X42" i="10"/>
  <c r="I42" i="13"/>
  <c r="Y43" i="10"/>
  <c r="AA43" i="10"/>
  <c r="C44" i="13"/>
  <c r="AB44" i="10"/>
  <c r="D45" i="13"/>
  <c r="AC45" i="10"/>
  <c r="AD46" i="10"/>
  <c r="F47" i="13"/>
  <c r="V48" i="10"/>
  <c r="G48" i="13"/>
  <c r="W49" i="10"/>
  <c r="H49" i="13"/>
  <c r="X50" i="10"/>
  <c r="I50" i="13"/>
  <c r="Y51" i="10"/>
  <c r="AA51" i="10"/>
  <c r="C52" i="13"/>
  <c r="AB52" i="10"/>
  <c r="D53" i="13"/>
  <c r="AC53" i="10"/>
  <c r="AD54" i="10"/>
  <c r="F55" i="13"/>
  <c r="V56" i="10"/>
  <c r="G56" i="13"/>
  <c r="W57" i="10"/>
  <c r="H57" i="13"/>
  <c r="X58" i="10"/>
  <c r="I58" i="13"/>
  <c r="Y59" i="10"/>
  <c r="AA59" i="10"/>
  <c r="C60" i="13"/>
  <c r="AB60" i="10"/>
  <c r="D61" i="13"/>
  <c r="AC61" i="10"/>
  <c r="AD62" i="10"/>
  <c r="F63" i="13"/>
  <c r="V64" i="10"/>
  <c r="G64" i="13"/>
  <c r="W65" i="10"/>
  <c r="H65" i="13"/>
  <c r="X66" i="10"/>
  <c r="I66" i="13"/>
  <c r="X67" i="10"/>
  <c r="I67" i="13"/>
  <c r="Y68" i="10"/>
  <c r="AA68" i="10"/>
  <c r="AB69" i="10"/>
  <c r="D70" i="13"/>
  <c r="AC70" i="10"/>
  <c r="AD71" i="10"/>
  <c r="F72" i="13"/>
  <c r="V73" i="10"/>
  <c r="G73" i="13"/>
  <c r="W74" i="10"/>
  <c r="H74" i="13"/>
  <c r="X75" i="10"/>
  <c r="I75" i="13"/>
  <c r="Y76" i="10"/>
  <c r="AA76" i="10"/>
  <c r="AB77" i="10"/>
  <c r="D78" i="13"/>
  <c r="AC78" i="10"/>
  <c r="AD79" i="10"/>
  <c r="F80" i="13"/>
  <c r="V81" i="10"/>
  <c r="G81" i="13"/>
  <c r="W82" i="10"/>
  <c r="H82" i="13"/>
  <c r="X83" i="10"/>
  <c r="I83" i="13"/>
  <c r="Y84" i="10"/>
  <c r="AA84" i="10"/>
  <c r="C85" i="13"/>
  <c r="AB85" i="10"/>
  <c r="D86" i="13"/>
  <c r="AC86" i="10"/>
  <c r="AD87" i="10"/>
  <c r="F88" i="13"/>
  <c r="V89" i="10"/>
  <c r="G89" i="13"/>
  <c r="W90" i="10"/>
  <c r="X91" i="10"/>
  <c r="I91" i="13"/>
  <c r="Y92" i="10"/>
  <c r="AA92" i="10"/>
  <c r="C93" i="13"/>
  <c r="AB93" i="10"/>
  <c r="V7" i="10"/>
  <c r="G7" i="13"/>
  <c r="W8" i="10"/>
  <c r="H8" i="13"/>
  <c r="X9" i="10"/>
  <c r="I9" i="13"/>
  <c r="Y10" i="10"/>
  <c r="AA10" i="10"/>
  <c r="AB11" i="10"/>
  <c r="D12" i="13"/>
  <c r="AC12" i="10"/>
  <c r="AD13" i="10"/>
  <c r="V15" i="10"/>
  <c r="G15" i="13"/>
  <c r="W16" i="10"/>
  <c r="H16" i="13"/>
  <c r="X17" i="10"/>
  <c r="I17" i="13"/>
  <c r="Y18" i="10"/>
  <c r="AA18" i="10"/>
  <c r="AB19" i="10"/>
  <c r="D20" i="13"/>
  <c r="AC20" i="10"/>
  <c r="AD21" i="10"/>
  <c r="F22" i="13"/>
  <c r="V23" i="10"/>
  <c r="G23" i="13"/>
  <c r="W24" i="10"/>
  <c r="H24" i="13"/>
  <c r="X25" i="10"/>
  <c r="I25" i="13"/>
  <c r="Y26" i="10"/>
  <c r="AA26" i="10"/>
  <c r="C27" i="13"/>
  <c r="AB27" i="10"/>
  <c r="D28" i="13"/>
  <c r="AC28" i="10"/>
  <c r="AD29" i="10"/>
  <c r="F30" i="13"/>
  <c r="V31" i="10"/>
  <c r="G31" i="13"/>
  <c r="W32" i="10"/>
  <c r="H32" i="13"/>
  <c r="X33" i="10"/>
  <c r="I33" i="13"/>
  <c r="Y34" i="10"/>
  <c r="AA34" i="10"/>
  <c r="C35" i="13"/>
  <c r="AB35" i="10"/>
  <c r="AC36" i="10"/>
  <c r="AD37" i="10"/>
  <c r="F38" i="13"/>
  <c r="V39" i="10"/>
  <c r="G39" i="13"/>
  <c r="W40" i="10"/>
  <c r="H40" i="13"/>
  <c r="X41" i="10"/>
  <c r="I41" i="13"/>
  <c r="Y42" i="10"/>
  <c r="AA42" i="10"/>
  <c r="C43" i="13"/>
  <c r="AB43" i="10"/>
  <c r="D44" i="13"/>
  <c r="AC44" i="10"/>
  <c r="AD45" i="10"/>
  <c r="F46" i="13"/>
  <c r="V47" i="10"/>
  <c r="G47" i="13"/>
  <c r="W48" i="10"/>
  <c r="H48" i="13"/>
  <c r="X49" i="10"/>
  <c r="I49" i="13"/>
  <c r="Y50" i="10"/>
  <c r="AA50" i="10"/>
  <c r="C51" i="13"/>
  <c r="AB51" i="10"/>
  <c r="D52" i="13"/>
  <c r="AC52" i="10"/>
  <c r="AD53" i="10"/>
  <c r="F54" i="13"/>
  <c r="V55" i="10"/>
  <c r="G55" i="13"/>
  <c r="W56" i="10"/>
  <c r="H56" i="13"/>
  <c r="X57" i="10"/>
  <c r="I57" i="13"/>
  <c r="Y58" i="10"/>
  <c r="AA58" i="10"/>
  <c r="C59" i="13"/>
  <c r="AB59" i="10"/>
  <c r="D60" i="13"/>
  <c r="AC60" i="10"/>
  <c r="AD61" i="10"/>
  <c r="F62" i="13"/>
  <c r="V63" i="10"/>
  <c r="G63" i="13"/>
  <c r="W64" i="10"/>
  <c r="H64" i="13"/>
  <c r="X65" i="10"/>
  <c r="I65" i="13"/>
  <c r="Y66" i="10"/>
  <c r="AA66" i="10"/>
  <c r="Y67" i="10"/>
  <c r="AA67" i="10"/>
  <c r="C68" i="13"/>
  <c r="AB68" i="10"/>
  <c r="D69" i="13"/>
  <c r="AC69" i="10"/>
  <c r="AD70" i="10"/>
  <c r="F71" i="13"/>
  <c r="V72" i="10"/>
  <c r="G72" i="13"/>
  <c r="W73" i="10"/>
  <c r="H73" i="13"/>
  <c r="X74" i="10"/>
  <c r="I74" i="13"/>
  <c r="Y75" i="10"/>
  <c r="AA75" i="10"/>
  <c r="C76" i="13"/>
  <c r="AB76" i="10"/>
  <c r="D77" i="13"/>
  <c r="AC77" i="10"/>
  <c r="AD78" i="10"/>
  <c r="F79" i="13"/>
  <c r="V80" i="10"/>
  <c r="G80" i="13"/>
  <c r="W81" i="10"/>
  <c r="H81" i="13"/>
  <c r="X82" i="10"/>
  <c r="I82" i="13"/>
  <c r="Y83" i="10"/>
  <c r="AA83" i="10"/>
  <c r="C84" i="13"/>
  <c r="AB84" i="10"/>
  <c r="D85" i="13"/>
  <c r="AC85" i="10"/>
  <c r="AD86" i="10"/>
  <c r="F87" i="13"/>
  <c r="V88" i="10"/>
  <c r="G88" i="13"/>
  <c r="W89" i="10"/>
  <c r="H89" i="13"/>
  <c r="X90" i="10"/>
  <c r="Y91" i="10"/>
  <c r="AA91" i="10"/>
  <c r="C92" i="13"/>
  <c r="AB92" i="10"/>
  <c r="AC93" i="10"/>
  <c r="V6" i="10"/>
  <c r="G6" i="13"/>
  <c r="W7" i="10"/>
  <c r="H7" i="13"/>
  <c r="X8" i="10"/>
  <c r="I8" i="13"/>
  <c r="Y9" i="10"/>
  <c r="AA9" i="10"/>
  <c r="C10" i="13"/>
  <c r="AB10" i="10"/>
  <c r="D11" i="13"/>
  <c r="AC11" i="10"/>
  <c r="AD12" i="10"/>
  <c r="F13" i="13"/>
  <c r="V14" i="10"/>
  <c r="G14" i="13"/>
  <c r="W15" i="10"/>
  <c r="H15" i="13"/>
  <c r="X16" i="10"/>
  <c r="I16" i="13"/>
  <c r="Y17" i="10"/>
  <c r="AA17" i="10"/>
  <c r="AB18" i="10"/>
  <c r="D19" i="13"/>
  <c r="AC19" i="10"/>
  <c r="AD20" i="10"/>
  <c r="F21" i="13"/>
  <c r="V22" i="10"/>
  <c r="G22" i="13"/>
  <c r="W23" i="10"/>
  <c r="H23" i="13"/>
  <c r="X24" i="10"/>
  <c r="I24" i="13"/>
  <c r="Y25" i="10"/>
  <c r="AA25" i="10"/>
  <c r="C26" i="13"/>
  <c r="AB26" i="10"/>
  <c r="D27" i="13"/>
  <c r="AC27" i="10"/>
  <c r="AD28" i="10"/>
  <c r="F29" i="13"/>
  <c r="V30" i="10"/>
  <c r="G30" i="13"/>
  <c r="W31" i="10"/>
  <c r="H31" i="13"/>
  <c r="X32" i="10"/>
  <c r="I32" i="13"/>
  <c r="Y33" i="10"/>
  <c r="AA33" i="10"/>
  <c r="C34" i="13"/>
  <c r="AB34" i="10"/>
  <c r="D35" i="13"/>
  <c r="AC35" i="10"/>
  <c r="AD36" i="10"/>
  <c r="F37" i="13"/>
  <c r="V38" i="10"/>
  <c r="G38" i="13"/>
  <c r="W39" i="10"/>
  <c r="H39" i="13"/>
  <c r="X40" i="10"/>
  <c r="I40" i="13"/>
  <c r="Y41" i="10"/>
  <c r="AA41" i="10"/>
  <c r="C42" i="13"/>
  <c r="AB42" i="10"/>
  <c r="D43" i="13"/>
  <c r="AC43" i="10"/>
  <c r="AD44" i="10"/>
  <c r="F45" i="13"/>
  <c r="V46" i="10"/>
  <c r="G46" i="13"/>
  <c r="W47" i="10"/>
  <c r="H47" i="13"/>
  <c r="X48" i="10"/>
  <c r="I48" i="13"/>
  <c r="Y49" i="10"/>
  <c r="AA49" i="10"/>
  <c r="AB50" i="10"/>
  <c r="D51" i="13"/>
  <c r="AC51" i="10"/>
  <c r="AD52" i="10"/>
  <c r="F53" i="13"/>
  <c r="V54" i="10"/>
  <c r="G54" i="13"/>
  <c r="W55" i="10"/>
  <c r="H55" i="13"/>
  <c r="X56" i="10"/>
  <c r="I56" i="13"/>
  <c r="Y57" i="10"/>
  <c r="AA57" i="10"/>
  <c r="AB58" i="10"/>
  <c r="D59" i="13"/>
  <c r="AC59" i="10"/>
  <c r="AD60" i="10"/>
  <c r="F61" i="13"/>
  <c r="V62" i="10"/>
  <c r="G62" i="13"/>
  <c r="W63" i="10"/>
  <c r="H63" i="13"/>
  <c r="X64" i="10"/>
  <c r="I64" i="13"/>
  <c r="Y65" i="10"/>
  <c r="AA65" i="10"/>
  <c r="AB66" i="10"/>
  <c r="C67" i="13"/>
  <c r="AB67" i="10"/>
  <c r="D68" i="13"/>
  <c r="AC68" i="10"/>
  <c r="AD69" i="10"/>
  <c r="F70" i="13"/>
  <c r="V71" i="10"/>
  <c r="G71" i="13"/>
  <c r="W72" i="10"/>
  <c r="H72" i="13"/>
  <c r="X73" i="10"/>
  <c r="I73" i="13"/>
  <c r="Y74" i="10"/>
  <c r="AA74" i="10"/>
  <c r="C75" i="13"/>
  <c r="AB75" i="10"/>
  <c r="D76" i="13"/>
  <c r="AC76" i="10"/>
  <c r="AD77" i="10"/>
  <c r="F78" i="13"/>
  <c r="V79" i="10"/>
  <c r="G79" i="13"/>
  <c r="W80" i="10"/>
  <c r="H80" i="13"/>
  <c r="X81" i="10"/>
  <c r="I81" i="13"/>
  <c r="Y82" i="10"/>
  <c r="AA82" i="10"/>
  <c r="C83" i="13"/>
  <c r="AB83" i="10"/>
  <c r="D84" i="13"/>
  <c r="AC84" i="10"/>
  <c r="AD85" i="10"/>
  <c r="F86" i="13"/>
  <c r="V87" i="10"/>
  <c r="G87" i="13"/>
  <c r="W88" i="10"/>
  <c r="H88" i="13"/>
  <c r="X89" i="10"/>
  <c r="I89" i="13"/>
  <c r="Y90" i="10"/>
  <c r="AA90" i="10"/>
  <c r="C91" i="13"/>
  <c r="AB91" i="10"/>
  <c r="D92" i="13"/>
  <c r="AC92" i="10"/>
  <c r="AD93" i="10"/>
  <c r="W6" i="10"/>
  <c r="H6" i="13"/>
  <c r="X7" i="10"/>
  <c r="I7" i="13"/>
  <c r="Y8" i="10"/>
  <c r="AA8" i="10"/>
  <c r="AB9" i="10"/>
  <c r="D10" i="13"/>
  <c r="AC10" i="10"/>
  <c r="AD11" i="10"/>
  <c r="F12" i="13"/>
  <c r="V13" i="10"/>
  <c r="G13" i="13"/>
  <c r="W14" i="10"/>
  <c r="H14" i="13"/>
  <c r="X15" i="10"/>
  <c r="I15" i="13"/>
  <c r="Y16" i="10"/>
  <c r="AA16" i="10"/>
  <c r="AB17" i="10"/>
  <c r="D18" i="13"/>
  <c r="AC18" i="10"/>
  <c r="AD19" i="10"/>
  <c r="F20" i="13"/>
  <c r="V21" i="10"/>
  <c r="G21" i="13"/>
  <c r="W22" i="10"/>
  <c r="H22" i="13"/>
  <c r="X23" i="10"/>
  <c r="I23" i="13"/>
  <c r="Y24" i="10"/>
  <c r="AA24" i="10"/>
  <c r="C25" i="13"/>
  <c r="AB25" i="10"/>
  <c r="D26" i="13"/>
  <c r="AC26" i="10"/>
  <c r="AD27" i="10"/>
  <c r="F28" i="13"/>
  <c r="V29" i="10"/>
  <c r="G29" i="13"/>
  <c r="W30" i="10"/>
  <c r="H30" i="13"/>
  <c r="X31" i="10"/>
  <c r="I31" i="13"/>
  <c r="Y32" i="10"/>
  <c r="AA32" i="10"/>
  <c r="C33" i="13"/>
  <c r="AB33" i="10"/>
  <c r="D34" i="13"/>
  <c r="AC34" i="10"/>
  <c r="AD35" i="10"/>
  <c r="F36" i="13"/>
  <c r="V37" i="10"/>
  <c r="G37" i="13"/>
  <c r="W38" i="10"/>
  <c r="H38" i="13"/>
  <c r="X39" i="10"/>
  <c r="I39" i="13"/>
  <c r="Y40" i="10"/>
  <c r="AA40" i="10"/>
  <c r="C41" i="13"/>
  <c r="AB41" i="10"/>
  <c r="D42" i="13"/>
  <c r="AC42" i="10"/>
  <c r="AD43" i="10"/>
  <c r="F44" i="13"/>
  <c r="V45" i="10"/>
  <c r="G45" i="13"/>
  <c r="W46" i="10"/>
  <c r="H46" i="13"/>
  <c r="X47" i="10"/>
  <c r="I47" i="13"/>
  <c r="Y48" i="10"/>
  <c r="AA48" i="10"/>
  <c r="C49" i="13"/>
  <c r="AB49" i="10"/>
  <c r="D50" i="13"/>
  <c r="AC50" i="10"/>
  <c r="AD51" i="10"/>
  <c r="F52" i="13"/>
  <c r="V53" i="10"/>
  <c r="G53" i="13"/>
  <c r="W54" i="10"/>
  <c r="H54" i="13"/>
  <c r="X55" i="10"/>
  <c r="I55" i="13"/>
  <c r="Y56" i="10"/>
  <c r="AA56" i="10"/>
  <c r="C57" i="13"/>
  <c r="AB57" i="10"/>
  <c r="D58" i="13"/>
  <c r="AC58" i="10"/>
  <c r="AD59" i="10"/>
  <c r="F60" i="13"/>
  <c r="V61" i="10"/>
  <c r="G61" i="13"/>
  <c r="W62" i="10"/>
  <c r="H62" i="13"/>
  <c r="X63" i="10"/>
  <c r="I63" i="13"/>
  <c r="Y64" i="10"/>
  <c r="AA64" i="10"/>
  <c r="C65" i="13"/>
  <c r="AB65" i="10"/>
  <c r="D66" i="13"/>
  <c r="AC66" i="10"/>
  <c r="D67" i="13"/>
  <c r="AC67" i="10"/>
  <c r="AD68" i="10"/>
  <c r="F69" i="13"/>
  <c r="V70" i="10"/>
  <c r="G70" i="13"/>
  <c r="W71" i="10"/>
  <c r="H71" i="13"/>
  <c r="X72" i="10"/>
  <c r="I72" i="13"/>
  <c r="Y73" i="10"/>
  <c r="AA73" i="10"/>
  <c r="AB74" i="10"/>
  <c r="D75" i="13"/>
  <c r="AC75" i="10"/>
  <c r="AD76" i="10"/>
  <c r="F77" i="13"/>
  <c r="V78" i="10"/>
  <c r="G78" i="13"/>
  <c r="W79" i="10"/>
  <c r="H79" i="13"/>
  <c r="X80" i="10"/>
  <c r="I80" i="13"/>
  <c r="Y81" i="10"/>
  <c r="AA81" i="10"/>
  <c r="C82" i="13"/>
  <c r="AB82" i="10"/>
  <c r="D83" i="13"/>
  <c r="AC83" i="10"/>
  <c r="AD84" i="10"/>
  <c r="F85" i="13"/>
  <c r="V86" i="10"/>
  <c r="G86" i="13"/>
  <c r="W87" i="10"/>
  <c r="H87" i="13"/>
  <c r="X88" i="10"/>
  <c r="I88" i="13"/>
  <c r="Y89" i="10"/>
  <c r="AA89" i="10"/>
  <c r="AB90" i="10"/>
  <c r="D91" i="13"/>
  <c r="AC91" i="10"/>
  <c r="AD92" i="10"/>
  <c r="F93" i="13"/>
  <c r="AP100" i="11"/>
  <c r="X6" i="10"/>
  <c r="I6" i="13"/>
  <c r="Y7" i="10"/>
  <c r="AA7" i="10"/>
  <c r="C8" i="13"/>
  <c r="AB8" i="10"/>
  <c r="D9" i="13"/>
  <c r="AC9" i="10"/>
  <c r="E10" i="13"/>
  <c r="CE10" i="12" s="1"/>
  <c r="AD10" i="10"/>
  <c r="F11" i="13"/>
  <c r="V12" i="10"/>
  <c r="G12" i="13"/>
  <c r="W13" i="10"/>
  <c r="H13" i="13"/>
  <c r="X14" i="10"/>
  <c r="I14" i="13"/>
  <c r="Y15" i="10"/>
  <c r="AA15" i="10"/>
  <c r="C16" i="13"/>
  <c r="AB16" i="10"/>
  <c r="D17" i="13"/>
  <c r="AC17" i="10"/>
  <c r="AD18" i="10"/>
  <c r="F19" i="13"/>
  <c r="V20" i="10"/>
  <c r="G20" i="13"/>
  <c r="W21" i="10"/>
  <c r="H21" i="13"/>
  <c r="X22" i="10"/>
  <c r="I22" i="13"/>
  <c r="Y23" i="10"/>
  <c r="AA23" i="10"/>
  <c r="AB24" i="10"/>
  <c r="AC25" i="10"/>
  <c r="AD26" i="10"/>
  <c r="V28" i="10"/>
  <c r="W29" i="10"/>
  <c r="H29" i="13"/>
  <c r="X30" i="10"/>
  <c r="I30" i="13"/>
  <c r="Y31" i="10"/>
  <c r="AA31" i="10"/>
  <c r="AB32" i="10"/>
  <c r="D33" i="13"/>
  <c r="AC33" i="10"/>
  <c r="AD34" i="10"/>
  <c r="F35" i="13"/>
  <c r="V36" i="10"/>
  <c r="G36" i="13"/>
  <c r="W37" i="10"/>
  <c r="H37" i="13"/>
  <c r="X38" i="10"/>
  <c r="I38" i="13"/>
  <c r="Y39" i="10"/>
  <c r="AA39" i="10"/>
  <c r="AB40" i="10"/>
  <c r="D41" i="13"/>
  <c r="AC41" i="10"/>
  <c r="AD42" i="10"/>
  <c r="V44" i="10"/>
  <c r="G44" i="13"/>
  <c r="W45" i="10"/>
  <c r="H45" i="13"/>
  <c r="X46" i="10"/>
  <c r="I46" i="13"/>
  <c r="Y47" i="10"/>
  <c r="AA47" i="10"/>
  <c r="AB48" i="10"/>
  <c r="AC49" i="10"/>
  <c r="AD50" i="10"/>
  <c r="F51" i="13"/>
  <c r="V52" i="10"/>
  <c r="G52" i="13"/>
  <c r="W53" i="10"/>
  <c r="H53" i="13"/>
  <c r="X54" i="10"/>
  <c r="I54" i="13"/>
  <c r="Y55" i="10"/>
  <c r="AA55" i="10"/>
  <c r="AB56" i="10"/>
  <c r="AC57" i="10"/>
  <c r="AD58" i="10"/>
  <c r="F59" i="13"/>
  <c r="V60" i="10"/>
  <c r="G60" i="13"/>
  <c r="W61" i="10"/>
  <c r="H61" i="13"/>
  <c r="X62" i="10"/>
  <c r="I62" i="13"/>
  <c r="Y63" i="10"/>
  <c r="AA63" i="10"/>
  <c r="AB64" i="10"/>
  <c r="AC65" i="10"/>
  <c r="AD66" i="10"/>
  <c r="AD67" i="10"/>
  <c r="F68" i="13"/>
  <c r="V69" i="10"/>
  <c r="G69" i="13"/>
  <c r="W70" i="10"/>
  <c r="H70" i="13"/>
  <c r="X71" i="10"/>
  <c r="I71" i="13"/>
  <c r="Y72" i="10"/>
  <c r="AA72" i="10"/>
  <c r="C73" i="13"/>
  <c r="AB73" i="10"/>
  <c r="D74" i="13"/>
  <c r="AC74" i="10"/>
  <c r="AD75" i="10"/>
  <c r="F76" i="13"/>
  <c r="V77" i="10"/>
  <c r="G77" i="13"/>
  <c r="W78" i="10"/>
  <c r="H78" i="13"/>
  <c r="X79" i="10"/>
  <c r="I79" i="13"/>
  <c r="Y80" i="10"/>
  <c r="AA80" i="10"/>
  <c r="AB81" i="10"/>
  <c r="D82" i="13"/>
  <c r="AC82" i="10"/>
  <c r="AD83" i="10"/>
  <c r="F84" i="13"/>
  <c r="V85" i="10"/>
  <c r="G85" i="13"/>
  <c r="W86" i="10"/>
  <c r="H86" i="13"/>
  <c r="X87" i="10"/>
  <c r="I87" i="13"/>
  <c r="Y88" i="10"/>
  <c r="AA88" i="10"/>
  <c r="C89" i="13"/>
  <c r="AB89" i="10"/>
  <c r="AC90" i="10"/>
  <c r="AD91" i="10"/>
  <c r="F92" i="13"/>
  <c r="V93" i="10"/>
  <c r="G93" i="13"/>
  <c r="Y6" i="10"/>
  <c r="AA6" i="10"/>
  <c r="C7" i="13"/>
  <c r="CC7" i="12" s="1"/>
  <c r="AB7" i="10"/>
  <c r="AC8" i="10"/>
  <c r="AD9" i="10"/>
  <c r="F10" i="13"/>
  <c r="V11" i="10"/>
  <c r="G11" i="13"/>
  <c r="W12" i="10"/>
  <c r="H12" i="13"/>
  <c r="X13" i="10"/>
  <c r="I13" i="13"/>
  <c r="Y14" i="10"/>
  <c r="AA14" i="10"/>
  <c r="C15" i="13"/>
  <c r="CC15" i="12" s="1"/>
  <c r="AB15" i="10"/>
  <c r="AC16" i="10"/>
  <c r="AD17" i="10"/>
  <c r="F18" i="13"/>
  <c r="V19" i="10"/>
  <c r="G19" i="13"/>
  <c r="W20" i="10"/>
  <c r="H20" i="13"/>
  <c r="X21" i="10"/>
  <c r="I21" i="13"/>
  <c r="Y22" i="10"/>
  <c r="AA22" i="10"/>
  <c r="C23" i="13"/>
  <c r="CC23" i="12" s="1"/>
  <c r="AB23" i="10"/>
  <c r="D24" i="13"/>
  <c r="AC24" i="10"/>
  <c r="AD25" i="10"/>
  <c r="F26" i="13"/>
  <c r="V27" i="10"/>
  <c r="G27" i="13"/>
  <c r="W28" i="10"/>
  <c r="H28" i="13"/>
  <c r="X29" i="10"/>
  <c r="I29" i="13"/>
  <c r="Y30" i="10"/>
  <c r="AA30" i="10"/>
  <c r="C31" i="13"/>
  <c r="AB31" i="10"/>
  <c r="D32" i="13"/>
  <c r="AC32" i="10"/>
  <c r="E33" i="13"/>
  <c r="CE33" i="12" s="1"/>
  <c r="AD33" i="10"/>
  <c r="F34" i="13"/>
  <c r="CF34" i="12" s="1"/>
  <c r="V35" i="10"/>
  <c r="G35" i="13"/>
  <c r="W36" i="10"/>
  <c r="H36" i="13"/>
  <c r="X37" i="10"/>
  <c r="I37" i="13"/>
  <c r="Y38" i="10"/>
  <c r="AA38" i="10"/>
  <c r="C39" i="13"/>
  <c r="AB39" i="10"/>
  <c r="D40" i="13"/>
  <c r="AC40" i="10"/>
  <c r="AD41" i="10"/>
  <c r="F42" i="13"/>
  <c r="V43" i="10"/>
  <c r="G43" i="13"/>
  <c r="W44" i="10"/>
  <c r="H44" i="13"/>
  <c r="X45" i="10"/>
  <c r="I45" i="13"/>
  <c r="Y46" i="10"/>
  <c r="AA46" i="10"/>
  <c r="C47" i="13"/>
  <c r="AB47" i="10"/>
  <c r="D48" i="13"/>
  <c r="AC48" i="10"/>
  <c r="AD49" i="10"/>
  <c r="F50" i="13"/>
  <c r="V51" i="10"/>
  <c r="G51" i="13"/>
  <c r="W52" i="10"/>
  <c r="H52" i="13"/>
  <c r="X53" i="10"/>
  <c r="I53" i="13"/>
  <c r="Y54" i="10"/>
  <c r="AA54" i="10"/>
  <c r="C55" i="13"/>
  <c r="AB55" i="10"/>
  <c r="D56" i="13"/>
  <c r="AC56" i="10"/>
  <c r="AD57" i="10"/>
  <c r="F58" i="13"/>
  <c r="V59" i="10"/>
  <c r="G59" i="13"/>
  <c r="W60" i="10"/>
  <c r="H60" i="13"/>
  <c r="X61" i="10"/>
  <c r="I61" i="13"/>
  <c r="Y62" i="10"/>
  <c r="AA62" i="10"/>
  <c r="C63" i="13"/>
  <c r="AB63" i="10"/>
  <c r="D64" i="13"/>
  <c r="AC64" i="10"/>
  <c r="AD65" i="10"/>
  <c r="F66" i="13"/>
  <c r="CF67" i="12"/>
  <c r="V68" i="10"/>
  <c r="G68" i="13"/>
  <c r="W69" i="10"/>
  <c r="H69" i="13"/>
  <c r="X70" i="10"/>
  <c r="I70" i="13"/>
  <c r="Y71" i="10"/>
  <c r="AA71" i="10"/>
  <c r="AB72" i="10"/>
  <c r="AC73" i="10"/>
  <c r="AD74" i="10"/>
  <c r="F75" i="13"/>
  <c r="V76" i="10"/>
  <c r="G76" i="13"/>
  <c r="W77" i="10"/>
  <c r="H77" i="13"/>
  <c r="X78" i="10"/>
  <c r="I78" i="13"/>
  <c r="Y79" i="10"/>
  <c r="AA79" i="10"/>
  <c r="AB80" i="10"/>
  <c r="D81" i="13"/>
  <c r="AC81" i="10"/>
  <c r="E82" i="13"/>
  <c r="AD82" i="10"/>
  <c r="F83" i="13"/>
  <c r="V84" i="10"/>
  <c r="G84" i="13"/>
  <c r="W85" i="10"/>
  <c r="H85" i="13"/>
  <c r="X86" i="10"/>
  <c r="I86" i="13"/>
  <c r="Y87" i="10"/>
  <c r="AA87" i="10"/>
  <c r="AB88" i="10"/>
  <c r="D89" i="13"/>
  <c r="AC89" i="10"/>
  <c r="AD90" i="10"/>
  <c r="F91" i="13"/>
  <c r="V92" i="10"/>
  <c r="G92" i="13"/>
  <c r="W93" i="10"/>
  <c r="H93" i="13"/>
  <c r="T17" i="18"/>
  <c r="U17" i="18"/>
  <c r="I101" i="20"/>
  <c r="F95" i="10"/>
  <c r="F97" i="10"/>
  <c r="F99" i="10"/>
  <c r="F94" i="10"/>
  <c r="F96" i="10"/>
  <c r="F98" i="10"/>
  <c r="E95" i="10"/>
  <c r="E94" i="10"/>
  <c r="E96" i="10"/>
  <c r="E98" i="10"/>
  <c r="L95" i="20"/>
  <c r="D97" i="10"/>
  <c r="D94" i="10"/>
  <c r="D96" i="10"/>
  <c r="K99" i="20"/>
  <c r="C95" i="10"/>
  <c r="C97" i="10"/>
  <c r="C94" i="10"/>
  <c r="C96" i="10"/>
  <c r="B94" i="10"/>
  <c r="B96" i="10"/>
  <c r="B98" i="10"/>
  <c r="H101" i="20"/>
  <c r="B95" i="10"/>
  <c r="B97" i="10"/>
  <c r="B99" i="10"/>
  <c r="T95" i="10"/>
  <c r="T98" i="10"/>
  <c r="T96" i="10"/>
  <c r="T99" i="10"/>
  <c r="T94" i="10"/>
  <c r="T97" i="10"/>
  <c r="S96" i="10"/>
  <c r="S99" i="10"/>
  <c r="S94" i="10"/>
  <c r="S97" i="10"/>
  <c r="S98" i="10"/>
  <c r="S95" i="10"/>
  <c r="R96" i="10"/>
  <c r="R94" i="10"/>
  <c r="R97" i="10"/>
  <c r="R99" i="10"/>
  <c r="R95" i="10"/>
  <c r="R98" i="10"/>
  <c r="Q96" i="10"/>
  <c r="Q99" i="10"/>
  <c r="Q94" i="10"/>
  <c r="Q97" i="10"/>
  <c r="Q95" i="10"/>
  <c r="Q98" i="10"/>
  <c r="P96" i="10"/>
  <c r="P94" i="10"/>
  <c r="P97" i="10"/>
  <c r="P99" i="10"/>
  <c r="P95" i="10"/>
  <c r="P98" i="10"/>
  <c r="O99" i="10"/>
  <c r="O94" i="10"/>
  <c r="O97" i="10"/>
  <c r="O95" i="10"/>
  <c r="O98" i="10"/>
  <c r="O96" i="10"/>
  <c r="N96" i="10"/>
  <c r="E99" i="12"/>
  <c r="N99" i="10"/>
  <c r="N94" i="10"/>
  <c r="E95" i="12"/>
  <c r="N95" i="10"/>
  <c r="E97" i="12"/>
  <c r="N97" i="10"/>
  <c r="N98" i="10"/>
  <c r="E96" i="12"/>
  <c r="M99" i="10"/>
  <c r="M94" i="10"/>
  <c r="M97" i="10"/>
  <c r="M95" i="10"/>
  <c r="M98" i="10"/>
  <c r="M96" i="10"/>
  <c r="I95" i="12"/>
  <c r="L95" i="10"/>
  <c r="I96" i="12"/>
  <c r="L98" i="10"/>
  <c r="I99" i="12"/>
  <c r="L97" i="10"/>
  <c r="L96" i="10"/>
  <c r="I97" i="12"/>
  <c r="L94" i="10"/>
  <c r="L99" i="10"/>
  <c r="J97" i="10"/>
  <c r="J95" i="10"/>
  <c r="J98" i="10"/>
  <c r="J96" i="10"/>
  <c r="J94" i="10"/>
  <c r="J99" i="10"/>
  <c r="AS101" i="11"/>
  <c r="F96" i="13"/>
  <c r="AD99" i="10"/>
  <c r="AD98" i="10"/>
  <c r="AD94" i="10"/>
  <c r="AD97" i="10"/>
  <c r="AD95" i="10"/>
  <c r="AD96" i="10"/>
  <c r="AC99" i="10"/>
  <c r="AC98" i="10"/>
  <c r="AC97" i="10"/>
  <c r="AC95" i="10"/>
  <c r="AC96" i="10"/>
  <c r="AC94" i="10"/>
  <c r="AB99" i="10"/>
  <c r="AB98" i="10"/>
  <c r="AB97" i="10"/>
  <c r="AB95" i="10"/>
  <c r="AB96" i="10"/>
  <c r="AB94" i="10"/>
  <c r="F95" i="13"/>
  <c r="G97" i="13"/>
  <c r="I99" i="13"/>
  <c r="G95" i="13"/>
  <c r="G96" i="13"/>
  <c r="H97" i="13"/>
  <c r="AA99" i="10"/>
  <c r="H95" i="13"/>
  <c r="H96" i="13"/>
  <c r="I97" i="13"/>
  <c r="AA98" i="10"/>
  <c r="C99" i="13"/>
  <c r="I95" i="13"/>
  <c r="I96" i="13"/>
  <c r="AA97" i="10"/>
  <c r="AA95" i="10"/>
  <c r="AA96" i="10"/>
  <c r="D98" i="13"/>
  <c r="AA94" i="10"/>
  <c r="C95" i="13"/>
  <c r="D97" i="13"/>
  <c r="F99" i="13"/>
  <c r="D95" i="13"/>
  <c r="D96" i="13"/>
  <c r="E97" i="13"/>
  <c r="G99" i="13"/>
  <c r="F97" i="13"/>
  <c r="H99" i="13"/>
  <c r="Y99" i="10"/>
  <c r="Y98" i="10"/>
  <c r="Y97" i="10"/>
  <c r="Y95" i="10"/>
  <c r="Y96" i="10"/>
  <c r="Y94" i="10"/>
  <c r="X97" i="10"/>
  <c r="X95" i="10"/>
  <c r="X96" i="10"/>
  <c r="X94" i="10"/>
  <c r="X99" i="10"/>
  <c r="X98" i="10"/>
  <c r="W98" i="10"/>
  <c r="W97" i="10"/>
  <c r="W95" i="10"/>
  <c r="W94" i="10"/>
  <c r="W96" i="10"/>
  <c r="W99" i="10"/>
  <c r="V97" i="10"/>
  <c r="V95" i="10"/>
  <c r="V96" i="10"/>
  <c r="AU101" i="11"/>
  <c r="V94" i="10"/>
  <c r="AV101" i="11"/>
  <c r="AR101" i="11"/>
  <c r="AQ101" i="11"/>
  <c r="V99" i="10"/>
  <c r="V98" i="10"/>
  <c r="AX101" i="11"/>
  <c r="AT101" i="11"/>
  <c r="C99" i="20"/>
  <c r="D99" i="10"/>
  <c r="L99" i="20"/>
  <c r="E99" i="10"/>
  <c r="N99" i="20"/>
  <c r="I94" i="13"/>
  <c r="I94" i="12"/>
  <c r="E98" i="12"/>
  <c r="F98" i="13"/>
  <c r="D94" i="13"/>
  <c r="H98" i="13"/>
  <c r="F94" i="13"/>
  <c r="I98" i="13"/>
  <c r="E94" i="12"/>
  <c r="I98" i="12"/>
  <c r="G94" i="13"/>
  <c r="H94" i="13"/>
  <c r="C98" i="13"/>
  <c r="I101" i="10"/>
  <c r="AY101" i="11"/>
  <c r="X23" i="15"/>
  <c r="H90" i="13"/>
  <c r="I90" i="12"/>
  <c r="F90" i="13"/>
  <c r="I90" i="13"/>
  <c r="E90" i="12"/>
  <c r="C90" i="13"/>
  <c r="D90" i="13"/>
  <c r="C33" i="19"/>
  <c r="P24" i="15"/>
  <c r="T23" i="15"/>
  <c r="T24" i="15"/>
  <c r="X24" i="15"/>
  <c r="G23" i="15"/>
  <c r="G24" i="15"/>
  <c r="B24" i="15"/>
  <c r="L24" i="15"/>
  <c r="P23" i="15"/>
  <c r="G13" i="15"/>
  <c r="L23" i="15"/>
  <c r="B23" i="15"/>
  <c r="L11" i="15"/>
  <c r="T11" i="15"/>
  <c r="G10" i="15"/>
  <c r="P12" i="15"/>
  <c r="X12" i="15"/>
  <c r="P16" i="15"/>
  <c r="X16" i="15"/>
  <c r="G6" i="15"/>
  <c r="G7" i="15"/>
  <c r="P7" i="15"/>
  <c r="X7" i="15"/>
  <c r="G8" i="15"/>
  <c r="P8" i="15"/>
  <c r="X8" i="15"/>
  <c r="G9" i="15"/>
  <c r="P10" i="15"/>
  <c r="G11" i="15"/>
  <c r="P11" i="15"/>
  <c r="G12" i="15"/>
  <c r="P13" i="15"/>
  <c r="T9" i="15"/>
  <c r="L12" i="15"/>
  <c r="L14" i="15"/>
  <c r="L16" i="15"/>
  <c r="L20" i="15"/>
  <c r="L8" i="15"/>
  <c r="B14" i="15"/>
  <c r="B16" i="15"/>
  <c r="T19" i="15"/>
  <c r="B12" i="15"/>
  <c r="B20" i="15"/>
  <c r="B22" i="15"/>
  <c r="B8" i="15"/>
  <c r="B10" i="15"/>
  <c r="T17" i="15"/>
  <c r="L19" i="15"/>
  <c r="L10" i="15"/>
  <c r="T13" i="15"/>
  <c r="T15" i="15"/>
  <c r="L17" i="15"/>
  <c r="L18" i="15"/>
  <c r="T7" i="15"/>
  <c r="L9" i="15"/>
  <c r="L13" i="15"/>
  <c r="L15" i="15"/>
  <c r="B18" i="15"/>
  <c r="C27" i="19"/>
  <c r="C22" i="19"/>
  <c r="G14" i="15"/>
  <c r="G15" i="15"/>
  <c r="P15" i="15"/>
  <c r="X15" i="15"/>
  <c r="G16" i="15"/>
  <c r="G17" i="15"/>
  <c r="G18" i="15"/>
  <c r="P18" i="15"/>
  <c r="G19" i="15"/>
  <c r="P19" i="15"/>
  <c r="G20" i="15"/>
  <c r="P20" i="15"/>
  <c r="X20" i="15"/>
  <c r="G22" i="15"/>
  <c r="C10" i="19"/>
  <c r="O6" i="18"/>
  <c r="R37" i="18"/>
  <c r="R35" i="18"/>
  <c r="P33" i="18"/>
  <c r="Q29" i="18"/>
  <c r="R26" i="18"/>
  <c r="T23" i="18"/>
  <c r="S22" i="18"/>
  <c r="S21" i="18"/>
  <c r="S20" i="18"/>
  <c r="V18" i="18"/>
  <c r="V17" i="18"/>
  <c r="T16" i="18"/>
  <c r="R14" i="18"/>
  <c r="R12" i="18"/>
  <c r="Q11" i="18"/>
  <c r="O18" i="18"/>
  <c r="P37" i="18"/>
  <c r="W34" i="18"/>
  <c r="O33" i="18"/>
  <c r="V30" i="18"/>
  <c r="P29" i="18"/>
  <c r="P26" i="18"/>
  <c r="S23" i="18"/>
  <c r="R22" i="18"/>
  <c r="R21" i="18"/>
  <c r="R20" i="18"/>
  <c r="U18" i="18"/>
  <c r="S17" i="18"/>
  <c r="S16" i="18"/>
  <c r="Q14" i="18"/>
  <c r="Q12" i="18"/>
  <c r="P11" i="18"/>
  <c r="S14" i="18"/>
  <c r="O37" i="18"/>
  <c r="V34" i="18"/>
  <c r="T32" i="18"/>
  <c r="S30" i="18"/>
  <c r="O29" i="18"/>
  <c r="O26" i="18"/>
  <c r="R23" i="18"/>
  <c r="P22" i="18"/>
  <c r="Q21" i="18"/>
  <c r="Q20" i="18"/>
  <c r="T18" i="18"/>
  <c r="R17" i="18"/>
  <c r="R16" i="18"/>
  <c r="P14" i="18"/>
  <c r="P12" i="18"/>
  <c r="O11" i="18"/>
  <c r="R29" i="18"/>
  <c r="O27" i="18"/>
  <c r="T20" i="18"/>
  <c r="R11" i="18"/>
  <c r="T36" i="18"/>
  <c r="T34" i="18"/>
  <c r="R32" i="18"/>
  <c r="P30" i="18"/>
  <c r="R28" i="18"/>
  <c r="P25" i="18"/>
  <c r="P23" i="18"/>
  <c r="O22" i="18"/>
  <c r="P21" i="18"/>
  <c r="P20" i="18"/>
  <c r="S18" i="18"/>
  <c r="Q17" i="18"/>
  <c r="Q16" i="18"/>
  <c r="O14" i="18"/>
  <c r="O12" i="18"/>
  <c r="U10" i="18"/>
  <c r="S12" i="18"/>
  <c r="S38" i="18"/>
  <c r="R36" i="18"/>
  <c r="S34" i="18"/>
  <c r="P32" i="18"/>
  <c r="W29" i="18"/>
  <c r="Q28" i="18"/>
  <c r="O25" i="18"/>
  <c r="O23" i="18"/>
  <c r="W21" i="18"/>
  <c r="O21" i="18"/>
  <c r="R18" i="18"/>
  <c r="P17" i="18"/>
  <c r="P16" i="18"/>
  <c r="R13" i="18"/>
  <c r="V11" i="18"/>
  <c r="T10" i="18"/>
  <c r="R33" i="18"/>
  <c r="T22" i="18"/>
  <c r="O10" i="18"/>
  <c r="R38" i="18"/>
  <c r="P36" i="18"/>
  <c r="O34" i="18"/>
  <c r="O32" i="18"/>
  <c r="V29" i="18"/>
  <c r="R27" i="18"/>
  <c r="R24" i="18"/>
  <c r="V22" i="18"/>
  <c r="V21" i="18"/>
  <c r="V20" i="18"/>
  <c r="Q18" i="18"/>
  <c r="O17" i="18"/>
  <c r="O16" i="18"/>
  <c r="V12" i="18"/>
  <c r="T11" i="18"/>
  <c r="S10" i="18"/>
  <c r="V35" i="18"/>
  <c r="T21" i="18"/>
  <c r="V37" i="18"/>
  <c r="O36" i="18"/>
  <c r="S33" i="18"/>
  <c r="S29" i="18"/>
  <c r="P27" i="18"/>
  <c r="Q24" i="18"/>
  <c r="U22" i="18"/>
  <c r="U21" i="18"/>
  <c r="U20" i="18"/>
  <c r="P18" i="18"/>
  <c r="V16" i="18"/>
  <c r="T14" i="18"/>
  <c r="T12" i="18"/>
  <c r="S11" i="18"/>
  <c r="Q10" i="18"/>
  <c r="S37" i="18"/>
  <c r="W23" i="18"/>
  <c r="U16" i="18"/>
  <c r="P38" i="18"/>
  <c r="S35" i="18"/>
  <c r="S32" i="18"/>
  <c r="V36" i="18"/>
  <c r="V33" i="18"/>
  <c r="W37" i="18"/>
  <c r="O35" i="18"/>
  <c r="W32" i="18"/>
  <c r="S36" i="18"/>
  <c r="R34" i="18"/>
  <c r="T37" i="18"/>
  <c r="T35" i="18"/>
  <c r="V32" i="18"/>
  <c r="W36" i="18"/>
  <c r="P34" i="18"/>
  <c r="E7" i="13"/>
  <c r="E15" i="13"/>
  <c r="E24" i="13"/>
  <c r="E32" i="13"/>
  <c r="E40" i="13"/>
  <c r="E48" i="13"/>
  <c r="E57" i="13"/>
  <c r="E68" i="13"/>
  <c r="E77" i="13"/>
  <c r="E85" i="13"/>
  <c r="E93" i="13"/>
  <c r="E14" i="13"/>
  <c r="E23" i="13"/>
  <c r="E31" i="13"/>
  <c r="E47" i="13"/>
  <c r="E56" i="13"/>
  <c r="E66" i="13"/>
  <c r="E67" i="13"/>
  <c r="E75" i="13"/>
  <c r="E76" i="13"/>
  <c r="E84" i="13"/>
  <c r="E92" i="13"/>
  <c r="E13" i="13"/>
  <c r="E22" i="13"/>
  <c r="E30" i="13"/>
  <c r="E38" i="13"/>
  <c r="E46" i="13"/>
  <c r="E55" i="13"/>
  <c r="E65" i="13"/>
  <c r="E74" i="13"/>
  <c r="E83" i="13"/>
  <c r="E91" i="13"/>
  <c r="E12" i="13"/>
  <c r="E21" i="13"/>
  <c r="E29" i="13"/>
  <c r="E37" i="13"/>
  <c r="E45" i="13"/>
  <c r="E53" i="13"/>
  <c r="E54" i="13"/>
  <c r="E64" i="13"/>
  <c r="E73" i="13"/>
  <c r="E90" i="13"/>
  <c r="E99" i="13"/>
  <c r="E11" i="13"/>
  <c r="E20" i="13"/>
  <c r="E28" i="13"/>
  <c r="E36" i="13"/>
  <c r="E44" i="13"/>
  <c r="E52" i="13"/>
  <c r="E63" i="13"/>
  <c r="E72" i="13"/>
  <c r="E81" i="13"/>
  <c r="E89" i="13"/>
  <c r="E98" i="13"/>
  <c r="E19" i="13"/>
  <c r="E27" i="13"/>
  <c r="E35" i="13"/>
  <c r="E43" i="13"/>
  <c r="E51" i="13"/>
  <c r="E61" i="13"/>
  <c r="E62" i="13"/>
  <c r="E71" i="13"/>
  <c r="E80" i="13"/>
  <c r="E88" i="13"/>
  <c r="E9" i="13"/>
  <c r="E17" i="13"/>
  <c r="E18" i="13"/>
  <c r="E26" i="13"/>
  <c r="E34" i="13"/>
  <c r="E42" i="13"/>
  <c r="E50" i="13"/>
  <c r="E59" i="13"/>
  <c r="E60" i="13"/>
  <c r="E70" i="13"/>
  <c r="E79" i="13"/>
  <c r="E87" i="13"/>
  <c r="E95" i="13"/>
  <c r="E96" i="13"/>
  <c r="E8" i="13"/>
  <c r="E16" i="13"/>
  <c r="E25" i="13"/>
  <c r="E41" i="13"/>
  <c r="E49" i="13"/>
  <c r="E58" i="13"/>
  <c r="E69" i="13"/>
  <c r="E78" i="13"/>
  <c r="E86" i="13"/>
  <c r="E94" i="13"/>
  <c r="C17" i="20"/>
  <c r="E17" i="20" s="1"/>
  <c r="K18" i="20"/>
  <c r="C19" i="20"/>
  <c r="E19" i="20" s="1"/>
  <c r="K20" i="20"/>
  <c r="C21" i="20"/>
  <c r="E21" i="20" s="1"/>
  <c r="C23" i="20"/>
  <c r="E23" i="20" s="1"/>
  <c r="K24" i="20"/>
  <c r="C25" i="20"/>
  <c r="E25" i="20" s="1"/>
  <c r="C27" i="20"/>
  <c r="E27" i="20" s="1"/>
  <c r="K28" i="20"/>
  <c r="C29" i="20"/>
  <c r="E29" i="20" s="1"/>
  <c r="C31" i="20"/>
  <c r="E31" i="20" s="1"/>
  <c r="K32" i="20"/>
  <c r="C33" i="20"/>
  <c r="E33" i="20" s="1"/>
  <c r="K34" i="20"/>
  <c r="C35" i="20"/>
  <c r="E35" i="20" s="1"/>
  <c r="K36" i="20"/>
  <c r="C37" i="20"/>
  <c r="E37" i="20" s="1"/>
  <c r="C39" i="20"/>
  <c r="E39" i="20" s="1"/>
  <c r="K40" i="20"/>
  <c r="C41" i="20"/>
  <c r="E41" i="20" s="1"/>
  <c r="K42" i="20"/>
  <c r="C43" i="20"/>
  <c r="E43" i="20" s="1"/>
  <c r="C45" i="20"/>
  <c r="E45" i="20" s="1"/>
  <c r="C47" i="20"/>
  <c r="E47" i="20" s="1"/>
  <c r="K48" i="20"/>
  <c r="C49" i="20"/>
  <c r="E49" i="20" s="1"/>
  <c r="K50" i="20"/>
  <c r="C51" i="20"/>
  <c r="K52" i="20"/>
  <c r="C53" i="20"/>
  <c r="C55" i="20"/>
  <c r="K56" i="20"/>
  <c r="C57" i="20"/>
  <c r="K58" i="20"/>
  <c r="C59" i="20"/>
  <c r="K60" i="20"/>
  <c r="C61" i="20"/>
  <c r="K62" i="20"/>
  <c r="C63" i="20"/>
  <c r="C65" i="20"/>
  <c r="K66" i="20"/>
  <c r="C67" i="20"/>
  <c r="K68" i="20"/>
  <c r="C69" i="20"/>
  <c r="K70" i="20"/>
  <c r="C71" i="20"/>
  <c r="K72" i="20"/>
  <c r="C73" i="20"/>
  <c r="C75" i="20"/>
  <c r="K76" i="20"/>
  <c r="C77" i="20"/>
  <c r="K78" i="20"/>
  <c r="C79" i="20"/>
  <c r="K80" i="20"/>
  <c r="C81" i="20"/>
  <c r="K82" i="20"/>
  <c r="C83" i="20"/>
  <c r="K84" i="20"/>
  <c r="C85" i="20"/>
  <c r="K86" i="20"/>
  <c r="C87" i="20"/>
  <c r="K88" i="20"/>
  <c r="C89" i="20"/>
  <c r="K90" i="20"/>
  <c r="C91" i="20"/>
  <c r="K92" i="20"/>
  <c r="C93" i="20"/>
  <c r="K94" i="20"/>
  <c r="C95" i="20"/>
  <c r="K96" i="20"/>
  <c r="C97" i="20"/>
  <c r="K98" i="20"/>
  <c r="K6" i="20"/>
  <c r="C7" i="20"/>
  <c r="E7" i="20" s="1"/>
  <c r="K8" i="20"/>
  <c r="C9" i="20"/>
  <c r="E9" i="20" s="1"/>
  <c r="K10" i="20"/>
  <c r="C11" i="20"/>
  <c r="E11" i="20" s="1"/>
  <c r="C13" i="20"/>
  <c r="E13" i="20" s="1"/>
  <c r="K14" i="20"/>
  <c r="C15" i="20"/>
  <c r="E15" i="20" s="1"/>
  <c r="K16" i="20"/>
  <c r="L18" i="20"/>
  <c r="L22" i="20"/>
  <c r="L24" i="20"/>
  <c r="L26" i="20"/>
  <c r="L28" i="20"/>
  <c r="L30" i="20"/>
  <c r="L32" i="20"/>
  <c r="L34" i="20"/>
  <c r="L36" i="20"/>
  <c r="L38" i="20"/>
  <c r="L40" i="20"/>
  <c r="L42" i="20"/>
  <c r="L44" i="20"/>
  <c r="L46" i="20"/>
  <c r="L48" i="20"/>
  <c r="L50" i="20"/>
  <c r="L52" i="20"/>
  <c r="L54" i="20"/>
  <c r="L56" i="20"/>
  <c r="L58" i="20"/>
  <c r="L60" i="20"/>
  <c r="L66" i="20"/>
  <c r="L68" i="20"/>
  <c r="L70" i="20"/>
  <c r="L72" i="20"/>
  <c r="L74" i="20"/>
  <c r="L76" i="20"/>
  <c r="L78" i="20"/>
  <c r="L80" i="20"/>
  <c r="L82" i="20"/>
  <c r="L84" i="20"/>
  <c r="L86" i="20"/>
  <c r="L88" i="20"/>
  <c r="L90" i="20"/>
  <c r="L92" i="20"/>
  <c r="L94" i="20"/>
  <c r="L96" i="20"/>
  <c r="L98" i="20"/>
  <c r="L6" i="20"/>
  <c r="L10" i="20"/>
  <c r="L12" i="20"/>
  <c r="L14" i="20"/>
  <c r="N18" i="20"/>
  <c r="N20" i="20"/>
  <c r="N24" i="20"/>
  <c r="N26" i="20"/>
  <c r="N28" i="20"/>
  <c r="N34" i="20"/>
  <c r="N38" i="20"/>
  <c r="N40" i="20"/>
  <c r="N42" i="20"/>
  <c r="N44" i="20"/>
  <c r="N46" i="20"/>
  <c r="N48" i="20"/>
  <c r="N50" i="20"/>
  <c r="N52" i="20"/>
  <c r="N54" i="20"/>
  <c r="N56" i="20"/>
  <c r="N58" i="20"/>
  <c r="N62" i="20"/>
  <c r="N64" i="20"/>
  <c r="N66" i="20"/>
  <c r="N68" i="20"/>
  <c r="N70" i="20"/>
  <c r="N72" i="20"/>
  <c r="N74" i="20"/>
  <c r="N76" i="20"/>
  <c r="N80" i="20"/>
  <c r="N82" i="20"/>
  <c r="N84" i="20"/>
  <c r="N86" i="20"/>
  <c r="N88" i="20"/>
  <c r="N90" i="20"/>
  <c r="N92" i="20"/>
  <c r="N94" i="20"/>
  <c r="N96" i="20"/>
  <c r="N98" i="20"/>
  <c r="N6" i="20"/>
  <c r="N8" i="20"/>
  <c r="N10" i="20"/>
  <c r="N12" i="20"/>
  <c r="N14" i="20"/>
  <c r="N16" i="20"/>
  <c r="C16" i="20"/>
  <c r="E16" i="20" s="1"/>
  <c r="K17" i="20"/>
  <c r="C18" i="20"/>
  <c r="K19" i="20"/>
  <c r="C20" i="20"/>
  <c r="E20" i="20" s="1"/>
  <c r="K21" i="20"/>
  <c r="C22" i="20"/>
  <c r="K23" i="20"/>
  <c r="C24" i="20"/>
  <c r="E24" i="20" s="1"/>
  <c r="K25" i="20"/>
  <c r="C26" i="20"/>
  <c r="K27" i="20"/>
  <c r="C28" i="20"/>
  <c r="E28" i="20" s="1"/>
  <c r="C30" i="20"/>
  <c r="K31" i="20"/>
  <c r="C32" i="20"/>
  <c r="E32" i="20" s="1"/>
  <c r="K33" i="20"/>
  <c r="C34" i="20"/>
  <c r="K35" i="20"/>
  <c r="C36" i="20"/>
  <c r="E36" i="20" s="1"/>
  <c r="K37" i="20"/>
  <c r="C38" i="20"/>
  <c r="K39" i="20"/>
  <c r="C40" i="20"/>
  <c r="E40" i="20" s="1"/>
  <c r="K41" i="20"/>
  <c r="C42" i="20"/>
  <c r="K43" i="20"/>
  <c r="C44" i="20"/>
  <c r="E44" i="20" s="1"/>
  <c r="C46" i="20"/>
  <c r="K47" i="20"/>
  <c r="C48" i="20"/>
  <c r="E48" i="20" s="1"/>
  <c r="K49" i="20"/>
  <c r="C50" i="20"/>
  <c r="K51" i="20"/>
  <c r="C52" i="20"/>
  <c r="C54" i="20"/>
  <c r="K55" i="20"/>
  <c r="C56" i="20"/>
  <c r="K57" i="20"/>
  <c r="C58" i="20"/>
  <c r="K59" i="20"/>
  <c r="C60" i="20"/>
  <c r="K61" i="20"/>
  <c r="C62" i="20"/>
  <c r="K63" i="20"/>
  <c r="C64" i="20"/>
  <c r="K65" i="20"/>
  <c r="C66" i="20"/>
  <c r="K67" i="20"/>
  <c r="C68" i="20"/>
  <c r="K69" i="20"/>
  <c r="C70" i="20"/>
  <c r="K71" i="20"/>
  <c r="C72" i="20"/>
  <c r="K73" i="20"/>
  <c r="C74" i="20"/>
  <c r="K75" i="20"/>
  <c r="C76" i="20"/>
  <c r="K77" i="20"/>
  <c r="C78" i="20"/>
  <c r="K79" i="20"/>
  <c r="C80" i="20"/>
  <c r="K81" i="20"/>
  <c r="C82" i="20"/>
  <c r="K83" i="20"/>
  <c r="C84" i="20"/>
  <c r="K85" i="20"/>
  <c r="C86" i="20"/>
  <c r="K87" i="20"/>
  <c r="C88" i="20"/>
  <c r="K89" i="20"/>
  <c r="C90" i="20"/>
  <c r="K91" i="20"/>
  <c r="C92" i="20"/>
  <c r="K93" i="20"/>
  <c r="C94" i="20"/>
  <c r="K95" i="20"/>
  <c r="C96" i="20"/>
  <c r="K97" i="20"/>
  <c r="C98" i="20"/>
  <c r="C6" i="20"/>
  <c r="C8" i="20"/>
  <c r="E8" i="20" s="1"/>
  <c r="K9" i="20"/>
  <c r="C10" i="20"/>
  <c r="K11" i="20"/>
  <c r="C12" i="20"/>
  <c r="E12" i="20" s="1"/>
  <c r="K13" i="20"/>
  <c r="C14" i="20"/>
  <c r="K15" i="20"/>
  <c r="L17" i="20"/>
  <c r="L21" i="20"/>
  <c r="L23" i="20"/>
  <c r="L25" i="20"/>
  <c r="L27" i="20"/>
  <c r="L29" i="20"/>
  <c r="L31" i="20"/>
  <c r="L33" i="20"/>
  <c r="L35" i="20"/>
  <c r="L37" i="20"/>
  <c r="L39" i="20"/>
  <c r="L41" i="20"/>
  <c r="L43" i="20"/>
  <c r="L45" i="20"/>
  <c r="L47" i="20"/>
  <c r="L49" i="20"/>
  <c r="L51" i="20"/>
  <c r="L53" i="20"/>
  <c r="L55" i="20"/>
  <c r="L57" i="20"/>
  <c r="L59" i="20"/>
  <c r="L61" i="20"/>
  <c r="L63" i="20"/>
  <c r="L65" i="20"/>
  <c r="L67" i="20"/>
  <c r="L69" i="20"/>
  <c r="L71" i="20"/>
  <c r="L73" i="20"/>
  <c r="L75" i="20"/>
  <c r="L77" i="20"/>
  <c r="L79" i="20"/>
  <c r="L81" i="20"/>
  <c r="L83" i="20"/>
  <c r="L85" i="20"/>
  <c r="L89" i="20"/>
  <c r="L91" i="20"/>
  <c r="L93" i="20"/>
  <c r="L97" i="20"/>
  <c r="L7" i="20"/>
  <c r="L9" i="20"/>
  <c r="L11" i="20"/>
  <c r="L13" i="20"/>
  <c r="L15" i="20"/>
  <c r="N17" i="20"/>
  <c r="N19" i="20"/>
  <c r="N21" i="20"/>
  <c r="N23" i="20"/>
  <c r="N25" i="20"/>
  <c r="N29" i="20"/>
  <c r="N31" i="20"/>
  <c r="N33" i="20"/>
  <c r="N35" i="20"/>
  <c r="N37" i="20"/>
  <c r="N39" i="20"/>
  <c r="N41" i="20"/>
  <c r="N45" i="20"/>
  <c r="N47" i="20"/>
  <c r="N49" i="20"/>
  <c r="N51" i="20"/>
  <c r="N55" i="20"/>
  <c r="N57" i="20"/>
  <c r="N59" i="20"/>
  <c r="N61" i="20"/>
  <c r="N65" i="20"/>
  <c r="N67" i="20"/>
  <c r="N69" i="20"/>
  <c r="N71" i="20"/>
  <c r="N73" i="20"/>
  <c r="N75" i="20"/>
  <c r="N77" i="20"/>
  <c r="N79" i="20"/>
  <c r="N81" i="20"/>
  <c r="N83" i="20"/>
  <c r="N85" i="20"/>
  <c r="N87" i="20"/>
  <c r="N89" i="20"/>
  <c r="N91" i="20"/>
  <c r="N93" i="20"/>
  <c r="N95" i="20"/>
  <c r="N97" i="20"/>
  <c r="N7" i="20"/>
  <c r="N9" i="20"/>
  <c r="N11" i="20"/>
  <c r="N15" i="20"/>
  <c r="C29" i="17"/>
  <c r="C8" i="17"/>
  <c r="F8" i="17"/>
  <c r="C22" i="17"/>
  <c r="C10" i="17"/>
  <c r="C12" i="17"/>
  <c r="C18" i="17"/>
  <c r="AE43" i="10"/>
  <c r="AE18" i="10"/>
  <c r="AE19" i="10"/>
  <c r="AE20" i="10"/>
  <c r="AE96" i="10"/>
  <c r="AE54" i="10"/>
  <c r="AE76" i="10"/>
  <c r="AE69" i="10"/>
  <c r="AE67" i="10"/>
  <c r="AE26" i="10"/>
  <c r="AE38" i="10"/>
  <c r="AE58" i="10"/>
  <c r="AE89" i="10"/>
  <c r="AE57" i="10"/>
  <c r="AE59" i="10"/>
  <c r="AE10" i="10"/>
  <c r="AE87" i="10"/>
  <c r="AE17" i="10"/>
  <c r="AE8" i="10"/>
  <c r="AE9" i="10"/>
  <c r="AE53" i="10"/>
  <c r="AE79" i="10"/>
  <c r="AE80" i="10"/>
  <c r="AE60" i="10"/>
  <c r="AE70" i="10"/>
  <c r="AE37" i="10"/>
  <c r="AE42" i="10"/>
  <c r="AE72" i="10"/>
  <c r="AE68" i="10"/>
  <c r="AE29" i="10"/>
  <c r="AE27" i="10"/>
  <c r="AE28" i="10"/>
  <c r="AE13" i="10"/>
  <c r="AE14" i="10"/>
  <c r="AE16" i="10"/>
  <c r="AE73" i="10"/>
  <c r="AE61" i="10"/>
  <c r="AE74" i="10"/>
  <c r="AE82" i="10"/>
  <c r="AE24" i="10"/>
  <c r="AE46" i="10"/>
  <c r="AE83" i="10"/>
  <c r="AE94" i="10"/>
  <c r="AE97" i="10"/>
  <c r="AE48" i="10"/>
  <c r="AE50" i="10"/>
  <c r="AE91" i="10"/>
  <c r="AE95" i="10"/>
  <c r="AE23" i="10"/>
  <c r="AE75" i="10"/>
  <c r="AE6" i="10"/>
  <c r="AE22" i="10"/>
  <c r="AE25" i="10"/>
  <c r="AE36" i="10"/>
  <c r="AE47" i="10"/>
  <c r="AE49" i="10"/>
  <c r="AE78" i="10"/>
  <c r="AE85" i="10"/>
  <c r="AE7" i="10"/>
  <c r="AE21" i="10"/>
  <c r="AE93" i="10"/>
  <c r="AE31" i="10"/>
  <c r="AE34" i="10"/>
  <c r="AE90" i="10"/>
  <c r="AE84" i="10"/>
  <c r="AE65" i="10"/>
  <c r="AE66" i="10"/>
  <c r="AE35" i="10"/>
  <c r="AE44" i="10"/>
  <c r="AE81" i="10"/>
  <c r="AE62" i="10"/>
  <c r="AE32" i="10"/>
  <c r="AE33" i="10"/>
  <c r="AE51" i="10"/>
  <c r="AE55" i="10"/>
  <c r="AE63" i="10"/>
  <c r="AE77" i="10"/>
  <c r="AE40" i="10"/>
  <c r="AE71" i="10"/>
  <c r="AE92" i="10"/>
  <c r="AE39" i="10"/>
  <c r="AE45" i="10"/>
  <c r="AE52" i="10"/>
  <c r="AE56" i="10"/>
  <c r="AE86" i="10"/>
  <c r="AE98" i="10"/>
  <c r="AE99" i="10"/>
  <c r="AE12" i="10"/>
  <c r="AE30" i="10"/>
  <c r="AE41" i="10"/>
  <c r="AE88" i="10"/>
  <c r="AN35" i="13"/>
  <c r="D22" i="10"/>
  <c r="D26" i="10"/>
  <c r="T28" i="12"/>
  <c r="T43" i="12"/>
  <c r="T26" i="12"/>
  <c r="T8" i="12"/>
  <c r="T67" i="12"/>
  <c r="T36" i="12"/>
  <c r="T51" i="12"/>
  <c r="T53" i="12"/>
  <c r="E44" i="10"/>
  <c r="C99" i="10"/>
  <c r="AE11" i="10"/>
  <c r="AE15" i="10"/>
  <c r="C29" i="10"/>
  <c r="E56" i="12"/>
  <c r="T56" i="12"/>
  <c r="E43" i="10"/>
  <c r="E63" i="10"/>
  <c r="D64" i="10"/>
  <c r="D20" i="10"/>
  <c r="D62" i="10"/>
  <c r="E16" i="12"/>
  <c r="T16" i="12"/>
  <c r="E59" i="10"/>
  <c r="C7" i="10"/>
  <c r="C54" i="10"/>
  <c r="E60" i="10"/>
  <c r="T92" i="12"/>
  <c r="T54" i="12"/>
  <c r="D28" i="10"/>
  <c r="E56" i="10"/>
  <c r="D14" i="10"/>
  <c r="E28" i="10"/>
  <c r="AE64" i="10"/>
  <c r="C81" i="10"/>
  <c r="T6" i="12"/>
  <c r="T52" i="12"/>
  <c r="T20" i="12"/>
  <c r="T71" i="12"/>
  <c r="C69" i="10"/>
  <c r="C47" i="10"/>
  <c r="T12" i="12"/>
  <c r="C20" i="13"/>
  <c r="AN20" i="13"/>
  <c r="E20" i="10"/>
  <c r="E29" i="10"/>
  <c r="D98" i="10"/>
  <c r="T58" i="12"/>
  <c r="T18" i="12"/>
  <c r="T48" i="12"/>
  <c r="T76" i="12"/>
  <c r="AN21" i="13"/>
  <c r="C21" i="13"/>
  <c r="AN99" i="13"/>
  <c r="D99" i="13"/>
  <c r="T22" i="12"/>
  <c r="T38" i="12"/>
  <c r="T84" i="12"/>
  <c r="AN18" i="13"/>
  <c r="C18" i="13"/>
  <c r="C97" i="13"/>
  <c r="AN97" i="13"/>
  <c r="F17" i="19"/>
  <c r="F29" i="19"/>
  <c r="F14" i="19"/>
  <c r="F28" i="19"/>
  <c r="T32" i="12"/>
  <c r="T45" i="12"/>
  <c r="T68" i="12"/>
  <c r="AN39" i="13"/>
  <c r="F32" i="17"/>
  <c r="F16" i="17"/>
  <c r="F41" i="17"/>
  <c r="F14" i="17"/>
  <c r="F12" i="17"/>
  <c r="F24" i="17"/>
  <c r="F22" i="17"/>
  <c r="F11" i="17"/>
  <c r="F21" i="17"/>
  <c r="T60" i="12"/>
  <c r="AN10" i="13"/>
  <c r="T40" i="12"/>
  <c r="T75" i="12"/>
  <c r="D36" i="13"/>
  <c r="AN36" i="13"/>
  <c r="P6" i="15"/>
  <c r="P9" i="15"/>
  <c r="P14" i="15"/>
  <c r="P17" i="15"/>
  <c r="P22" i="15"/>
  <c r="T46" i="12"/>
  <c r="AN12" i="13"/>
  <c r="T87" i="12"/>
  <c r="X6" i="15"/>
  <c r="X9" i="15"/>
  <c r="X10" i="15"/>
  <c r="X11" i="15"/>
  <c r="X13" i="15"/>
  <c r="X14" i="15"/>
  <c r="X17" i="15"/>
  <c r="X18" i="15"/>
  <c r="X19" i="15"/>
  <c r="T19" i="12"/>
  <c r="T44" i="12"/>
  <c r="AN13" i="13"/>
  <c r="AN60" i="13"/>
  <c r="AN76" i="13"/>
  <c r="AN7" i="13"/>
  <c r="AN54" i="13"/>
  <c r="AN70" i="13"/>
  <c r="T8" i="15"/>
  <c r="B9" i="15"/>
  <c r="T10" i="15"/>
  <c r="B11" i="15"/>
  <c r="T12" i="15"/>
  <c r="B13" i="15"/>
  <c r="T14" i="15"/>
  <c r="B15" i="15"/>
  <c r="T16" i="15"/>
  <c r="B17" i="15"/>
  <c r="T18" i="15"/>
  <c r="B19" i="15"/>
  <c r="T20" i="15"/>
  <c r="T21" i="15"/>
  <c r="B21" i="15"/>
  <c r="L21" i="15"/>
  <c r="T22" i="15"/>
  <c r="L22" i="15"/>
  <c r="C14" i="19"/>
  <c r="C29" i="19"/>
  <c r="X21" i="15"/>
  <c r="G21" i="15"/>
  <c r="P21" i="15"/>
  <c r="X22" i="15"/>
  <c r="C27" i="17"/>
  <c r="C15" i="19"/>
  <c r="C34" i="19"/>
  <c r="T99" i="12"/>
  <c r="AN68" i="13"/>
  <c r="AN89" i="13"/>
  <c r="C17" i="19"/>
  <c r="C36" i="19"/>
  <c r="AN30" i="13"/>
  <c r="AN46" i="13"/>
  <c r="AN62" i="13"/>
  <c r="AN87" i="13"/>
  <c r="AN91" i="13"/>
  <c r="B6" i="15"/>
  <c r="L6" i="15"/>
  <c r="B7" i="15"/>
  <c r="L7" i="15"/>
  <c r="D42" i="10"/>
  <c r="E68" i="10"/>
  <c r="C72" i="10"/>
  <c r="D25" i="10"/>
  <c r="E47" i="10"/>
  <c r="D27" i="10"/>
  <c r="E50" i="10"/>
  <c r="C60" i="10"/>
  <c r="D13" i="10"/>
  <c r="C21" i="10"/>
  <c r="E35" i="10"/>
  <c r="D82" i="10"/>
  <c r="D30" i="10"/>
  <c r="C48" i="10"/>
  <c r="C55" i="10"/>
  <c r="D35" i="10"/>
  <c r="C11" i="10"/>
  <c r="D32" i="10"/>
  <c r="E52" i="10"/>
  <c r="C27" i="10"/>
  <c r="C13" i="10"/>
  <c r="C8" i="10"/>
  <c r="C17" i="10"/>
  <c r="E25" i="10"/>
  <c r="D48" i="10"/>
  <c r="E11" i="10"/>
  <c r="E42" i="10"/>
  <c r="E90" i="10"/>
  <c r="C19" i="10"/>
  <c r="D55" i="10"/>
  <c r="D60" i="10"/>
  <c r="D72" i="10"/>
  <c r="C98" i="10"/>
  <c r="C33" i="10"/>
  <c r="E37" i="10"/>
  <c r="C23" i="10"/>
  <c r="E40" i="10"/>
  <c r="C76" i="10"/>
  <c r="C93" i="10"/>
  <c r="C75" i="10"/>
  <c r="D11" i="10"/>
  <c r="E18" i="10"/>
  <c r="C42" i="10"/>
  <c r="D7" i="10"/>
  <c r="E15" i="10"/>
  <c r="D50" i="10"/>
  <c r="C82" i="10"/>
  <c r="C85" i="10"/>
  <c r="D45" i="10"/>
  <c r="E62" i="10"/>
  <c r="E6" i="10"/>
  <c r="C25" i="10"/>
  <c r="D57" i="10"/>
  <c r="E65" i="10"/>
  <c r="C37" i="10"/>
  <c r="D68" i="10"/>
  <c r="C79" i="10"/>
  <c r="E81" i="10"/>
  <c r="C90" i="10"/>
  <c r="C40" i="10"/>
  <c r="D92" i="10"/>
  <c r="C20" i="10"/>
  <c r="D33" i="10"/>
  <c r="D38" i="10"/>
  <c r="D75" i="10"/>
  <c r="D79" i="10"/>
  <c r="D23" i="10"/>
  <c r="D43" i="10"/>
  <c r="E55" i="10"/>
  <c r="D63" i="10"/>
  <c r="C66" i="10"/>
  <c r="D69" i="10"/>
  <c r="E48" i="10"/>
  <c r="C58" i="10"/>
  <c r="E21" i="10"/>
  <c r="C36" i="10"/>
  <c r="C14" i="10"/>
  <c r="D46" i="10"/>
  <c r="C9" i="10"/>
  <c r="D17" i="10"/>
  <c r="C28" i="10"/>
  <c r="D51" i="10"/>
  <c r="E34" i="10"/>
  <c r="E58" i="10"/>
  <c r="E24" i="10"/>
  <c r="D29" i="10"/>
  <c r="D70" i="10"/>
  <c r="D73" i="10"/>
  <c r="D56" i="10"/>
  <c r="D61" i="10"/>
  <c r="E66" i="10"/>
  <c r="C86" i="10"/>
  <c r="C18" i="10"/>
  <c r="D31" i="10"/>
  <c r="E41" i="10"/>
  <c r="D54" i="10"/>
  <c r="D90" i="10"/>
  <c r="D6" i="10"/>
  <c r="E79" i="10"/>
  <c r="E85" i="10"/>
  <c r="E92" i="10"/>
  <c r="C15" i="10"/>
  <c r="E26" i="10"/>
  <c r="E97" i="10"/>
  <c r="E39" i="10"/>
  <c r="D76" i="10"/>
  <c r="AG13" i="11"/>
  <c r="E9" i="10"/>
  <c r="D37" i="10"/>
  <c r="C63" i="10"/>
  <c r="D71" i="10"/>
  <c r="AG27" i="11"/>
  <c r="C16" i="10"/>
  <c r="D49" i="10"/>
  <c r="C59" i="10"/>
  <c r="D80" i="10"/>
  <c r="AG16" i="11"/>
  <c r="E7" i="10"/>
  <c r="C31" i="10"/>
  <c r="E33" i="10"/>
  <c r="D47" i="10"/>
  <c r="E73" i="10"/>
  <c r="E82" i="10"/>
  <c r="C89" i="10"/>
  <c r="C43" i="10"/>
  <c r="E45" i="10"/>
  <c r="D85" i="10"/>
  <c r="D88" i="10"/>
  <c r="D12" i="10"/>
  <c r="C57" i="10"/>
  <c r="D91" i="10"/>
  <c r="C10" i="10"/>
  <c r="D24" i="10"/>
  <c r="C41" i="10"/>
  <c r="C68" i="10"/>
  <c r="AG25" i="11"/>
  <c r="AG31" i="11"/>
  <c r="AG15" i="11"/>
  <c r="AG50" i="11"/>
  <c r="AG97" i="11"/>
  <c r="AG19" i="11"/>
  <c r="AG24" i="11"/>
  <c r="AG29" i="11"/>
  <c r="AG37" i="11"/>
  <c r="AG43" i="11"/>
  <c r="AG48" i="11"/>
  <c r="AG49" i="11"/>
  <c r="AG14" i="11"/>
  <c r="AG33" i="11"/>
  <c r="AG34" i="11"/>
  <c r="AG40" i="11"/>
  <c r="AG42" i="11"/>
  <c r="AG41" i="11"/>
  <c r="AG94" i="11"/>
  <c r="AG95" i="11"/>
  <c r="AG7" i="11"/>
  <c r="AG28" i="11"/>
  <c r="AG47" i="11"/>
  <c r="AG39" i="11"/>
  <c r="D19" i="10"/>
  <c r="AG44" i="11"/>
  <c r="C46" i="10"/>
  <c r="C12" i="10"/>
  <c r="D87" i="10"/>
  <c r="AG38" i="11"/>
  <c r="AG10" i="11"/>
  <c r="AG21" i="11"/>
  <c r="AG52" i="11"/>
  <c r="C64" i="10"/>
  <c r="D95" i="10"/>
  <c r="C30" i="10"/>
  <c r="C74" i="10"/>
  <c r="E27" i="10"/>
  <c r="C45" i="10"/>
  <c r="AG23" i="11"/>
  <c r="AG26" i="11"/>
  <c r="C38" i="10"/>
  <c r="C44" i="10"/>
  <c r="C53" i="10"/>
  <c r="T74" i="12"/>
  <c r="D8" i="10"/>
  <c r="AG9" i="11"/>
  <c r="E13" i="10"/>
  <c r="AG17" i="11"/>
  <c r="AG18" i="11"/>
  <c r="C22" i="10"/>
  <c r="E30" i="10"/>
  <c r="E78" i="10"/>
  <c r="AG6" i="11"/>
  <c r="D16" i="10"/>
  <c r="E32" i="10"/>
  <c r="E36" i="10"/>
  <c r="AG46" i="11"/>
  <c r="E53" i="10"/>
  <c r="E22" i="10"/>
  <c r="C26" i="10"/>
  <c r="AG45" i="11"/>
  <c r="E23" i="10"/>
  <c r="AG8" i="11"/>
  <c r="AG11" i="11"/>
  <c r="AG20" i="11"/>
  <c r="AG32" i="11"/>
  <c r="AG36" i="11"/>
  <c r="AG54" i="11"/>
  <c r="AG63" i="11"/>
  <c r="AG85" i="11"/>
  <c r="T17" i="12"/>
  <c r="AG55" i="11"/>
  <c r="AG59" i="11"/>
  <c r="T13" i="12"/>
  <c r="T42" i="12"/>
  <c r="AG12" i="11"/>
  <c r="AG22" i="11"/>
  <c r="AG30" i="11"/>
  <c r="AG62" i="11"/>
  <c r="T96" i="12"/>
  <c r="AG83" i="11"/>
  <c r="AG90" i="11"/>
  <c r="T14" i="12"/>
  <c r="T62" i="12"/>
  <c r="AG35" i="11"/>
  <c r="AG51" i="11"/>
  <c r="AG71" i="11"/>
  <c r="AG76" i="11"/>
  <c r="AG58" i="11"/>
  <c r="AG66" i="11"/>
  <c r="AG75" i="11"/>
  <c r="AG84" i="11"/>
  <c r="AG89" i="11"/>
  <c r="AG96" i="11"/>
  <c r="AG99" i="11"/>
  <c r="T30" i="12"/>
  <c r="T35" i="12"/>
  <c r="T57" i="12"/>
  <c r="T97" i="12"/>
  <c r="AN15" i="13"/>
  <c r="AG67" i="11"/>
  <c r="AG72" i="11"/>
  <c r="AG77" i="11"/>
  <c r="AG79" i="11"/>
  <c r="AG82" i="11"/>
  <c r="AG88" i="11"/>
  <c r="AG93" i="11"/>
  <c r="T10" i="12"/>
  <c r="I15" i="12"/>
  <c r="T15" i="12"/>
  <c r="T95" i="12"/>
  <c r="AG53" i="11"/>
  <c r="AG56" i="11"/>
  <c r="AG64" i="11"/>
  <c r="AG68" i="11"/>
  <c r="AG78" i="11"/>
  <c r="AG81" i="11"/>
  <c r="AG98" i="11"/>
  <c r="T9" i="12"/>
  <c r="T21" i="12"/>
  <c r="T34" i="12"/>
  <c r="D49" i="13"/>
  <c r="AN49" i="13"/>
  <c r="D65" i="13"/>
  <c r="AN65" i="13"/>
  <c r="AG60" i="11"/>
  <c r="AG69" i="11"/>
  <c r="AG73" i="11"/>
  <c r="AG80" i="11"/>
  <c r="AG87" i="11"/>
  <c r="T79" i="12"/>
  <c r="AG57" i="11"/>
  <c r="AG61" i="11"/>
  <c r="AG65" i="11"/>
  <c r="AG74" i="11"/>
  <c r="AG91" i="11"/>
  <c r="AG92" i="11"/>
  <c r="T7" i="12"/>
  <c r="AN41" i="13"/>
  <c r="C50" i="13"/>
  <c r="AN50" i="13"/>
  <c r="C66" i="13"/>
  <c r="AN66" i="13"/>
  <c r="AG70" i="11"/>
  <c r="AG86" i="11"/>
  <c r="T50" i="12"/>
  <c r="T59" i="12"/>
  <c r="T64" i="12"/>
  <c r="T65" i="12"/>
  <c r="T77" i="12"/>
  <c r="T80" i="12"/>
  <c r="T82" i="12"/>
  <c r="T90" i="12"/>
  <c r="AN47" i="13"/>
  <c r="D47" i="13"/>
  <c r="AN63" i="13"/>
  <c r="D63" i="13"/>
  <c r="T11" i="12"/>
  <c r="T24" i="12"/>
  <c r="T27" i="12"/>
  <c r="T33" i="12"/>
  <c r="AN25" i="13"/>
  <c r="D25" i="13"/>
  <c r="G28" i="13"/>
  <c r="AN28" i="13"/>
  <c r="AN33" i="13"/>
  <c r="AN48" i="13"/>
  <c r="C48" i="13"/>
  <c r="AN64" i="13"/>
  <c r="C64" i="13"/>
  <c r="T25" i="12"/>
  <c r="T37" i="12"/>
  <c r="T39" i="12"/>
  <c r="T41" i="12"/>
  <c r="T61" i="12"/>
  <c r="T66" i="12"/>
  <c r="T70" i="12"/>
  <c r="T86" i="12"/>
  <c r="T98" i="12"/>
  <c r="F43" i="13"/>
  <c r="AN43" i="13"/>
  <c r="D57" i="13"/>
  <c r="AN57" i="13"/>
  <c r="D73" i="13"/>
  <c r="AN73" i="13"/>
  <c r="T31" i="12"/>
  <c r="T47" i="12"/>
  <c r="T72" i="12"/>
  <c r="T85" i="12"/>
  <c r="T94" i="12"/>
  <c r="AN8" i="13"/>
  <c r="D8" i="13"/>
  <c r="AN16" i="13"/>
  <c r="D16" i="13"/>
  <c r="AN22" i="13"/>
  <c r="F27" i="13"/>
  <c r="AN27" i="13"/>
  <c r="AN32" i="13"/>
  <c r="C32" i="13"/>
  <c r="AN55" i="13"/>
  <c r="D55" i="13"/>
  <c r="AN71" i="13"/>
  <c r="D71" i="13"/>
  <c r="T55" i="12"/>
  <c r="T78" i="12"/>
  <c r="T83" i="12"/>
  <c r="T93" i="12"/>
  <c r="AN24" i="13"/>
  <c r="C24" i="13"/>
  <c r="AN26" i="13"/>
  <c r="F31" i="13"/>
  <c r="AN31" i="13"/>
  <c r="C58" i="13"/>
  <c r="AN58" i="13"/>
  <c r="C74" i="13"/>
  <c r="AN74" i="13"/>
  <c r="T23" i="12"/>
  <c r="T29" i="12"/>
  <c r="T49" i="12"/>
  <c r="T63" i="12"/>
  <c r="T69" i="12"/>
  <c r="T88" i="12"/>
  <c r="T91" i="12"/>
  <c r="AN6" i="13"/>
  <c r="F6" i="13"/>
  <c r="AN9" i="13"/>
  <c r="C9" i="13"/>
  <c r="C11" i="13"/>
  <c r="AN11" i="13"/>
  <c r="AN14" i="13"/>
  <c r="F14" i="13"/>
  <c r="AN17" i="13"/>
  <c r="C17" i="13"/>
  <c r="C19" i="13"/>
  <c r="AN19" i="13"/>
  <c r="AN56" i="13"/>
  <c r="C56" i="13"/>
  <c r="AN72" i="13"/>
  <c r="C72" i="13"/>
  <c r="AN86" i="13"/>
  <c r="C86" i="13"/>
  <c r="AN23" i="13"/>
  <c r="AN29" i="13"/>
  <c r="C29" i="13"/>
  <c r="T73" i="12"/>
  <c r="T81" i="12"/>
  <c r="T89" i="12"/>
  <c r="AN38" i="13"/>
  <c r="AN44" i="13"/>
  <c r="C80" i="13"/>
  <c r="AN80" i="13"/>
  <c r="AN34" i="13"/>
  <c r="AN40" i="13"/>
  <c r="C40" i="13"/>
  <c r="AN52" i="13"/>
  <c r="AN82" i="13"/>
  <c r="AN37" i="13"/>
  <c r="AN51" i="13"/>
  <c r="AN59" i="13"/>
  <c r="AN67" i="13"/>
  <c r="AN75" i="13"/>
  <c r="AN42" i="13"/>
  <c r="AN45" i="13"/>
  <c r="AN53" i="13"/>
  <c r="AN61" i="13"/>
  <c r="AN69" i="13"/>
  <c r="AN77" i="13"/>
  <c r="AN79" i="13"/>
  <c r="C81" i="13"/>
  <c r="AN81" i="13"/>
  <c r="C37" i="13"/>
  <c r="C45" i="13"/>
  <c r="C53" i="13"/>
  <c r="C61" i="13"/>
  <c r="C69" i="13"/>
  <c r="C77" i="13"/>
  <c r="G90" i="13"/>
  <c r="AN90" i="13"/>
  <c r="AN93" i="13"/>
  <c r="D93" i="13"/>
  <c r="G98" i="13"/>
  <c r="AN98" i="13"/>
  <c r="AN94" i="13"/>
  <c r="C94" i="13"/>
  <c r="AN78" i="13"/>
  <c r="AN83" i="13"/>
  <c r="AN85" i="13"/>
  <c r="C88" i="13"/>
  <c r="AN88" i="13"/>
  <c r="AN92" i="13"/>
  <c r="C96" i="13"/>
  <c r="AN96" i="13"/>
  <c r="AN84" i="13"/>
  <c r="AN95" i="13"/>
  <c r="T6" i="15"/>
  <c r="C16" i="17"/>
  <c r="F18" i="17"/>
  <c r="C25" i="17"/>
  <c r="F27" i="17"/>
  <c r="F33" i="19"/>
  <c r="C20" i="17"/>
  <c r="C28" i="17"/>
  <c r="F36" i="19"/>
  <c r="C40" i="17"/>
  <c r="C32" i="17"/>
  <c r="C47" i="17"/>
  <c r="C37" i="17"/>
  <c r="C13" i="17"/>
  <c r="C23" i="17"/>
  <c r="F25" i="17"/>
  <c r="F28" i="17"/>
  <c r="C30" i="17"/>
  <c r="C33" i="17"/>
  <c r="C35" i="17"/>
  <c r="D6" i="17"/>
  <c r="D8" i="17" s="1"/>
  <c r="F10" i="17"/>
  <c r="C17" i="17"/>
  <c r="F20" i="17"/>
  <c r="C26" i="17"/>
  <c r="F29" i="17"/>
  <c r="C34" i="17"/>
  <c r="C36" i="17"/>
  <c r="C38" i="17"/>
  <c r="F35" i="19"/>
  <c r="F23" i="19"/>
  <c r="F13" i="19"/>
  <c r="F16" i="19"/>
  <c r="F42" i="17"/>
  <c r="F34" i="17"/>
  <c r="F39" i="17"/>
  <c r="F30" i="17"/>
  <c r="C11" i="17"/>
  <c r="F13" i="17"/>
  <c r="C21" i="17"/>
  <c r="F23" i="17"/>
  <c r="F33" i="17"/>
  <c r="F35" i="17"/>
  <c r="F37" i="17"/>
  <c r="C39" i="17"/>
  <c r="C41" i="17"/>
  <c r="C45" i="17"/>
  <c r="G8" i="19"/>
  <c r="G15" i="19" s="1"/>
  <c r="F21" i="19"/>
  <c r="G6" i="17"/>
  <c r="C14" i="17"/>
  <c r="F17" i="17"/>
  <c r="C24" i="17"/>
  <c r="F26" i="17"/>
  <c r="F36" i="17"/>
  <c r="F38" i="17"/>
  <c r="F40" i="17"/>
  <c r="C42" i="17"/>
  <c r="C46" i="17"/>
  <c r="F24" i="19"/>
  <c r="F10" i="19"/>
  <c r="C20" i="19"/>
  <c r="F22" i="19"/>
  <c r="C30" i="19"/>
  <c r="F34" i="19"/>
  <c r="C13" i="19"/>
  <c r="F15" i="19"/>
  <c r="C23" i="19"/>
  <c r="F27" i="19"/>
  <c r="C35" i="19"/>
  <c r="C16" i="19"/>
  <c r="F20" i="19"/>
  <c r="C28" i="19"/>
  <c r="F30" i="19"/>
  <c r="D8" i="19"/>
  <c r="D27" i="19" s="1"/>
  <c r="C21" i="19"/>
  <c r="O11" i="6"/>
  <c r="C21" i="6"/>
  <c r="G27" i="6"/>
  <c r="C14" i="6"/>
  <c r="L17" i="6"/>
  <c r="D18" i="6"/>
  <c r="E10" i="6"/>
  <c r="K15" i="6"/>
  <c r="Q12" i="6"/>
  <c r="B27" i="6"/>
  <c r="K27" i="6"/>
  <c r="E9" i="8"/>
  <c r="L11" i="6"/>
  <c r="E5" i="5"/>
  <c r="N30" i="6"/>
  <c r="B28" i="6"/>
  <c r="E17" i="8"/>
  <c r="B10" i="6"/>
  <c r="C20" i="6"/>
  <c r="G25" i="6"/>
  <c r="B30" i="6"/>
  <c r="E15" i="5"/>
  <c r="D8" i="6"/>
  <c r="P10" i="6"/>
  <c r="D22" i="6"/>
  <c r="I25" i="6"/>
  <c r="F27" i="6"/>
  <c r="C23" i="6"/>
  <c r="E14" i="6"/>
  <c r="B9" i="8"/>
  <c r="K21" i="6"/>
  <c r="O24" i="6"/>
  <c r="P8" i="6"/>
  <c r="E10" i="8"/>
  <c r="Q16" i="6"/>
  <c r="N8" i="6"/>
  <c r="F7" i="8"/>
  <c r="O31" i="6"/>
  <c r="C25" i="6"/>
  <c r="Q13" i="6"/>
  <c r="F26" i="6"/>
  <c r="R26" i="6"/>
  <c r="F28" i="6"/>
  <c r="K4" i="6"/>
  <c r="B8" i="8"/>
  <c r="K30" i="6"/>
  <c r="R29" i="6"/>
  <c r="S27" i="6"/>
  <c r="G11" i="6"/>
  <c r="R13" i="6"/>
  <c r="M6" i="6"/>
  <c r="R25" i="6"/>
  <c r="L15" i="6"/>
  <c r="K11" i="6"/>
  <c r="D7" i="6"/>
  <c r="B17" i="8"/>
  <c r="R8" i="6"/>
  <c r="R30" i="6"/>
  <c r="F30" i="6"/>
  <c r="B21" i="8"/>
  <c r="I15" i="6"/>
  <c r="R7" i="6"/>
  <c r="I30" i="6"/>
  <c r="P6" i="6"/>
  <c r="C16" i="6"/>
  <c r="B12" i="8"/>
  <c r="P12" i="6"/>
  <c r="L29" i="6"/>
  <c r="O26" i="6"/>
  <c r="D14" i="6"/>
  <c r="E17" i="5"/>
  <c r="L12" i="6"/>
  <c r="P29" i="6"/>
  <c r="R24" i="6"/>
  <c r="R27" i="6"/>
  <c r="P15" i="6"/>
  <c r="S15" i="6"/>
  <c r="B20" i="6"/>
  <c r="I23" i="6"/>
  <c r="M13" i="6"/>
  <c r="E29" i="6"/>
  <c r="I28" i="6"/>
  <c r="E16" i="6"/>
  <c r="N12" i="6"/>
  <c r="K28" i="6"/>
  <c r="S25" i="6"/>
  <c r="N27" i="6"/>
  <c r="O7" i="6"/>
  <c r="I8" i="6"/>
  <c r="P17" i="6"/>
  <c r="P14" i="6"/>
  <c r="C7" i="6"/>
  <c r="L19" i="6"/>
  <c r="B19" i="8"/>
  <c r="G6" i="6"/>
  <c r="B15" i="6"/>
  <c r="E18" i="6"/>
  <c r="C11" i="6"/>
  <c r="H11" i="6"/>
  <c r="I29" i="6"/>
  <c r="F10" i="6"/>
  <c r="I16" i="6"/>
  <c r="S17" i="6"/>
  <c r="O28" i="6"/>
  <c r="E25" i="6"/>
  <c r="C24" i="6"/>
  <c r="B25" i="6"/>
  <c r="E8" i="8"/>
  <c r="R15" i="6"/>
  <c r="G29" i="6"/>
  <c r="D6" i="6"/>
  <c r="K19" i="6"/>
  <c r="C17" i="6"/>
  <c r="I24" i="6"/>
  <c r="N31" i="6"/>
  <c r="K26" i="6"/>
  <c r="L7" i="6"/>
  <c r="L21" i="6"/>
  <c r="M8" i="6"/>
  <c r="N29" i="6"/>
  <c r="J30" i="6"/>
  <c r="B19" i="6"/>
  <c r="D11" i="6"/>
  <c r="E14" i="8"/>
  <c r="E7" i="5"/>
  <c r="E25" i="5"/>
  <c r="B16" i="6"/>
  <c r="L16" i="6"/>
  <c r="R14" i="6"/>
  <c r="H14" i="6"/>
  <c r="C31" i="6"/>
  <c r="F16" i="6"/>
  <c r="F23" i="6"/>
  <c r="C10" i="6"/>
  <c r="H15" i="6"/>
  <c r="O15" i="6"/>
  <c r="O16" i="6"/>
  <c r="B10" i="8"/>
  <c r="G16" i="6"/>
  <c r="F29" i="6"/>
  <c r="E27" i="6"/>
  <c r="F15" i="6"/>
  <c r="B26" i="6"/>
  <c r="E18" i="8"/>
  <c r="E30" i="6"/>
  <c r="E28" i="6"/>
  <c r="P7" i="6"/>
  <c r="F6" i="6"/>
  <c r="G10" i="6"/>
  <c r="E21" i="6"/>
  <c r="C26" i="6"/>
  <c r="O8" i="6"/>
  <c r="C8" i="6"/>
  <c r="N16" i="6"/>
  <c r="E15" i="6"/>
  <c r="N23" i="6"/>
  <c r="L14" i="6"/>
  <c r="K7" i="6"/>
  <c r="B14" i="8"/>
  <c r="P11" i="6"/>
  <c r="S29" i="6"/>
  <c r="O6" i="6"/>
  <c r="H6" i="6"/>
  <c r="M14" i="6"/>
  <c r="L24" i="6"/>
  <c r="K13" i="6"/>
  <c r="N28" i="6"/>
  <c r="F24" i="6"/>
  <c r="E23" i="6"/>
  <c r="I27" i="6"/>
  <c r="J23" i="6"/>
  <c r="F17" i="6"/>
  <c r="I14" i="6"/>
  <c r="E9" i="6"/>
  <c r="B7" i="6"/>
  <c r="K17" i="6"/>
  <c r="E20" i="5"/>
  <c r="B11" i="8"/>
  <c r="G30" i="6"/>
  <c r="M7" i="6"/>
  <c r="K8" i="6"/>
  <c r="E30" i="5"/>
  <c r="P30" i="6"/>
  <c r="E17" i="6"/>
  <c r="L23" i="6"/>
  <c r="P13" i="6"/>
  <c r="K29" i="6"/>
  <c r="Q15" i="6"/>
  <c r="K25" i="6"/>
  <c r="O14" i="6"/>
  <c r="L13" i="6"/>
  <c r="B15" i="8"/>
  <c r="H16" i="6"/>
  <c r="E6" i="5"/>
  <c r="R23" i="6"/>
  <c r="E27" i="5"/>
  <c r="N14" i="6"/>
  <c r="D10" i="6"/>
  <c r="R11" i="6"/>
  <c r="E22" i="6"/>
  <c r="J29" i="6"/>
  <c r="G15" i="6"/>
  <c r="E26" i="6"/>
  <c r="F25" i="6"/>
  <c r="F14" i="6"/>
  <c r="I11" i="6"/>
  <c r="R28" i="6"/>
  <c r="C15" i="8"/>
  <c r="I7" i="6"/>
  <c r="J17" i="6"/>
  <c r="J27" i="6"/>
  <c r="M22" i="6"/>
  <c r="K12" i="6"/>
  <c r="E31" i="6"/>
  <c r="L20" i="6"/>
  <c r="M10" i="6"/>
  <c r="E15" i="8"/>
  <c r="J15" i="6"/>
  <c r="I26" i="6"/>
  <c r="G8" i="6"/>
  <c r="O25" i="6"/>
  <c r="M11" i="6"/>
  <c r="B11" i="6"/>
  <c r="L26" i="6"/>
  <c r="N17" i="6"/>
  <c r="G7" i="6"/>
  <c r="N26" i="6"/>
  <c r="E19" i="8"/>
  <c r="O13" i="6"/>
  <c r="N9" i="6"/>
  <c r="O17" i="6"/>
  <c r="C29" i="6"/>
  <c r="M12" i="6"/>
  <c r="C19" i="6"/>
  <c r="G14" i="6"/>
  <c r="M18" i="6"/>
  <c r="N18" i="6"/>
  <c r="J25" i="6"/>
  <c r="F11" i="6"/>
  <c r="G17" i="6"/>
  <c r="O27" i="6"/>
  <c r="P25" i="6"/>
  <c r="O29" i="6"/>
  <c r="G28" i="6"/>
  <c r="B8" i="6"/>
  <c r="E11" i="6"/>
  <c r="B6" i="6"/>
  <c r="F7" i="6"/>
  <c r="B6" i="8"/>
  <c r="E11" i="8"/>
  <c r="P27" i="6"/>
  <c r="N22" i="6"/>
  <c r="F31" i="6"/>
  <c r="E19" i="5"/>
  <c r="E16" i="5"/>
  <c r="B29" i="6"/>
  <c r="K23" i="6"/>
  <c r="B18" i="8"/>
  <c r="R12" i="6"/>
  <c r="N15" i="6"/>
  <c r="K20" i="6"/>
  <c r="N7" i="6"/>
  <c r="K10" i="6"/>
  <c r="N13" i="6"/>
  <c r="N21" i="6"/>
  <c r="O30" i="6"/>
  <c r="P28" i="6"/>
  <c r="B22" i="8"/>
  <c r="E22" i="8"/>
  <c r="E20" i="8"/>
  <c r="M15" i="6"/>
  <c r="E13" i="5"/>
  <c r="B5" i="8"/>
  <c r="N10" i="6"/>
  <c r="Q6" i="6"/>
  <c r="R16" i="6"/>
  <c r="Q11" i="6"/>
  <c r="E7" i="8"/>
  <c r="L31" i="6"/>
  <c r="B13" i="8"/>
  <c r="O23" i="6"/>
  <c r="E13" i="8"/>
  <c r="O12" i="6"/>
  <c r="N25" i="6"/>
  <c r="B16" i="8"/>
  <c r="E28" i="5"/>
  <c r="E18" i="5"/>
  <c r="K16" i="6"/>
  <c r="S30" i="6"/>
  <c r="E16" i="8"/>
  <c r="B7" i="8"/>
  <c r="E21" i="5"/>
  <c r="E5" i="8"/>
  <c r="L10" i="6"/>
  <c r="N11" i="6"/>
  <c r="L25" i="6"/>
  <c r="P16" i="6"/>
  <c r="Q14" i="6"/>
  <c r="E6" i="8"/>
  <c r="E21" i="8"/>
  <c r="S23" i="6"/>
  <c r="O10" i="6"/>
  <c r="K6" i="6"/>
  <c r="L8" i="6"/>
  <c r="B20" i="8"/>
  <c r="E26" i="5"/>
  <c r="E12" i="8"/>
  <c r="M17" i="20" l="1"/>
  <c r="M33" i="20"/>
  <c r="M20" i="20"/>
  <c r="CD91" i="12"/>
  <c r="AW66" i="11"/>
  <c r="M51" i="20"/>
  <c r="E51" i="20"/>
  <c r="E72" i="20"/>
  <c r="E64" i="20"/>
  <c r="E56" i="20"/>
  <c r="E59" i="20"/>
  <c r="E67" i="20"/>
  <c r="E69" i="20"/>
  <c r="E57" i="20"/>
  <c r="E52" i="20"/>
  <c r="E73" i="20"/>
  <c r="E65" i="20"/>
  <c r="E68" i="20"/>
  <c r="E60" i="20"/>
  <c r="E63" i="20"/>
  <c r="E55" i="20"/>
  <c r="E71" i="20"/>
  <c r="E53" i="20"/>
  <c r="E61" i="20"/>
  <c r="R24" i="9"/>
  <c r="J6" i="9"/>
  <c r="M29" i="20"/>
  <c r="AB10" i="9"/>
  <c r="V7" i="9"/>
  <c r="E23" i="9"/>
  <c r="S21" i="9"/>
  <c r="P12" i="9"/>
  <c r="M23" i="9"/>
  <c r="R21" i="9"/>
  <c r="O20" i="9"/>
  <c r="O9" i="9"/>
  <c r="W14" i="9"/>
  <c r="V16" i="9"/>
  <c r="T19" i="9"/>
  <c r="AA16" i="9"/>
  <c r="P7" i="9"/>
  <c r="N27" i="9"/>
  <c r="L21" i="9"/>
  <c r="N26" i="9"/>
  <c r="L23" i="9"/>
  <c r="N22" i="9"/>
  <c r="P27" i="9"/>
  <c r="T11" i="9"/>
  <c r="B8" i="9"/>
  <c r="AB16" i="9"/>
  <c r="AB8" i="9"/>
  <c r="S17" i="9"/>
  <c r="J14" i="9"/>
  <c r="Q16" i="9"/>
  <c r="N18" i="9"/>
  <c r="Y8" i="9"/>
  <c r="B7" i="9"/>
  <c r="B38" i="9" s="1"/>
  <c r="AA12" i="9"/>
  <c r="W8" i="9"/>
  <c r="L9" i="9"/>
  <c r="L27" i="9"/>
  <c r="P25" i="9"/>
  <c r="P21" i="9"/>
  <c r="AC23" i="9"/>
  <c r="AA22" i="9"/>
  <c r="R23" i="9"/>
  <c r="AC15" i="9"/>
  <c r="M44" i="20"/>
  <c r="F10" i="9"/>
  <c r="S6" i="9"/>
  <c r="L14" i="9"/>
  <c r="M7" i="9"/>
  <c r="T7" i="9"/>
  <c r="M16" i="20"/>
  <c r="Y20" i="9"/>
  <c r="W7" i="9"/>
  <c r="Y21" i="9"/>
  <c r="AC11" i="9"/>
  <c r="AB22" i="9"/>
  <c r="V6" i="9"/>
  <c r="X19" i="9"/>
  <c r="J17" i="9"/>
  <c r="P15" i="9"/>
  <c r="M20" i="9"/>
  <c r="N12" i="9"/>
  <c r="J20" i="9"/>
  <c r="T18" i="9"/>
  <c r="L13" i="9"/>
  <c r="B20" i="9"/>
  <c r="V23" i="9"/>
  <c r="X8" i="9"/>
  <c r="AC6" i="9"/>
  <c r="AB20" i="9"/>
  <c r="AA9" i="9"/>
  <c r="E26" i="9"/>
  <c r="S25" i="9"/>
  <c r="Q27" i="9"/>
  <c r="N25" i="9"/>
  <c r="N24" i="9"/>
  <c r="M25" i="9"/>
  <c r="L25" i="9"/>
  <c r="V25" i="9"/>
  <c r="H102" i="10"/>
  <c r="AD26" i="9"/>
  <c r="AA24" i="9"/>
  <c r="Y27" i="9"/>
  <c r="W26" i="9"/>
  <c r="X21" i="9"/>
  <c r="AD23" i="9"/>
  <c r="AC12" i="9"/>
  <c r="AB11" i="9"/>
  <c r="O6" i="9"/>
  <c r="Q13" i="9"/>
  <c r="Y6" i="9"/>
  <c r="AA25" i="9"/>
  <c r="AD7" i="9"/>
  <c r="W21" i="9"/>
  <c r="AA19" i="9"/>
  <c r="V17" i="9"/>
  <c r="AC14" i="9"/>
  <c r="T8" i="9"/>
  <c r="P11" i="9"/>
  <c r="R25" i="9"/>
  <c r="M19" i="9"/>
  <c r="T9" i="9"/>
  <c r="L16" i="9"/>
  <c r="M21" i="9"/>
  <c r="T15" i="9"/>
  <c r="N8" i="9"/>
  <c r="V26" i="9"/>
  <c r="W18" i="9"/>
  <c r="AC7" i="9"/>
  <c r="W6" i="9"/>
  <c r="Y19" i="9"/>
  <c r="M27" i="9"/>
  <c r="Q24" i="9"/>
  <c r="M8" i="9"/>
  <c r="AC8" i="9"/>
  <c r="Y24" i="9"/>
  <c r="W24" i="9"/>
  <c r="AB14" i="9"/>
  <c r="AA23" i="9"/>
  <c r="AB17" i="9"/>
  <c r="W10" i="9"/>
  <c r="AA8" i="9"/>
  <c r="AA15" i="9"/>
  <c r="AA21" i="9"/>
  <c r="AA17" i="9"/>
  <c r="L10" i="9"/>
  <c r="S8" i="9"/>
  <c r="N7" i="9"/>
  <c r="M9" i="9"/>
  <c r="L20" i="9"/>
  <c r="O11" i="9"/>
  <c r="O19" i="9"/>
  <c r="M17" i="9"/>
  <c r="M13" i="9"/>
  <c r="S11" i="9"/>
  <c r="J8" i="9"/>
  <c r="J9" i="9"/>
  <c r="S13" i="9"/>
  <c r="T27" i="9"/>
  <c r="R26" i="9"/>
  <c r="P23" i="9"/>
  <c r="R22" i="9"/>
  <c r="N14" i="9"/>
  <c r="L18" i="9"/>
  <c r="Q12" i="9"/>
  <c r="M15" i="9"/>
  <c r="Q11" i="9"/>
  <c r="F23" i="9"/>
  <c r="B25" i="9"/>
  <c r="M19" i="20"/>
  <c r="Y15" i="9"/>
  <c r="W27" i="9"/>
  <c r="Q18" i="9"/>
  <c r="T13" i="9"/>
  <c r="Q22" i="9"/>
  <c r="O14" i="9"/>
  <c r="P8" i="9"/>
  <c r="AC17" i="9"/>
  <c r="AD18" i="9"/>
  <c r="W13" i="9"/>
  <c r="S18" i="9"/>
  <c r="T17" i="9"/>
  <c r="AA26" i="9"/>
  <c r="Q26" i="9"/>
  <c r="X12" i="9"/>
  <c r="V14" i="9"/>
  <c r="V8" i="9"/>
  <c r="AC22" i="9"/>
  <c r="S27" i="9"/>
  <c r="O24" i="9"/>
  <c r="J21" i="9"/>
  <c r="Q14" i="9"/>
  <c r="O23" i="9"/>
  <c r="N11" i="9"/>
  <c r="M53" i="20"/>
  <c r="M7" i="20"/>
  <c r="B21" i="9"/>
  <c r="S10" i="9"/>
  <c r="V21" i="9"/>
  <c r="AC18" i="9"/>
  <c r="T26" i="9"/>
  <c r="AB12" i="9"/>
  <c r="L19" i="9"/>
  <c r="L6" i="9"/>
  <c r="L8" i="9"/>
  <c r="Y23" i="9"/>
  <c r="N20" i="9"/>
  <c r="J11" i="9"/>
  <c r="S7" i="9"/>
  <c r="Y7" i="9"/>
  <c r="S15" i="9"/>
  <c r="S22" i="9"/>
  <c r="J12" i="9"/>
  <c r="L12" i="9"/>
  <c r="AB6" i="9"/>
  <c r="F11" i="9"/>
  <c r="AA14" i="9"/>
  <c r="AD22" i="9"/>
  <c r="O8" i="9"/>
  <c r="J24" i="9"/>
  <c r="AB25" i="9"/>
  <c r="V9" i="9"/>
  <c r="W19" i="9"/>
  <c r="P10" i="9"/>
  <c r="L17" i="9"/>
  <c r="AB15" i="9"/>
  <c r="AB13" i="9"/>
  <c r="AB7" i="9"/>
  <c r="Q17" i="9"/>
  <c r="AA11" i="9"/>
  <c r="O15" i="9"/>
  <c r="T12" i="9"/>
  <c r="Y25" i="9"/>
  <c r="AA13" i="9"/>
  <c r="R27" i="9"/>
  <c r="AB27" i="9"/>
  <c r="T22" i="9"/>
  <c r="N16" i="9"/>
  <c r="J15" i="9"/>
  <c r="W16" i="9"/>
  <c r="X13" i="9"/>
  <c r="N21" i="9"/>
  <c r="L26" i="9"/>
  <c r="AD6" i="9"/>
  <c r="O7" i="9"/>
  <c r="W12" i="9"/>
  <c r="T16" i="9"/>
  <c r="S20" i="9"/>
  <c r="L7" i="9"/>
  <c r="W9" i="9"/>
  <c r="AA18" i="9"/>
  <c r="X10" i="9"/>
  <c r="O22" i="9"/>
  <c r="B10" i="9"/>
  <c r="J19" i="9"/>
  <c r="AD11" i="9"/>
  <c r="Q25" i="9"/>
  <c r="M22" i="9"/>
  <c r="AC10" i="9"/>
  <c r="M12" i="9"/>
  <c r="O13" i="9"/>
  <c r="M16" i="9"/>
  <c r="X9" i="9"/>
  <c r="W11" i="9"/>
  <c r="P19" i="9"/>
  <c r="AD9" i="9"/>
  <c r="O12" i="9"/>
  <c r="N13" i="9"/>
  <c r="F13" i="9"/>
  <c r="X11" i="9"/>
  <c r="Q20" i="9"/>
  <c r="O25" i="9"/>
  <c r="J26" i="9"/>
  <c r="N15" i="9"/>
  <c r="AB26" i="9"/>
  <c r="T24" i="9"/>
  <c r="S19" i="9"/>
  <c r="J23" i="9"/>
  <c r="L22" i="9"/>
  <c r="W17" i="9"/>
  <c r="M10" i="9"/>
  <c r="S14" i="9"/>
  <c r="AD15" i="9"/>
  <c r="W22" i="9"/>
  <c r="M18" i="9"/>
  <c r="Q9" i="9"/>
  <c r="AB18" i="9"/>
  <c r="AD19" i="9"/>
  <c r="Y12" i="9"/>
  <c r="V20" i="9"/>
  <c r="V24" i="9"/>
  <c r="V27" i="9"/>
  <c r="N23" i="9"/>
  <c r="Q19" i="9"/>
  <c r="T10" i="9"/>
  <c r="T25" i="9"/>
  <c r="P18" i="9"/>
  <c r="Q8" i="9"/>
  <c r="O18" i="9"/>
  <c r="V15" i="9"/>
  <c r="T6" i="9"/>
  <c r="AC13" i="9"/>
  <c r="W20" i="9"/>
  <c r="O21" i="9"/>
  <c r="AD8" i="9"/>
  <c r="AA7" i="9"/>
  <c r="N9" i="9"/>
  <c r="M11" i="9"/>
  <c r="V12" i="9"/>
  <c r="O16" i="9"/>
  <c r="S12" i="9"/>
  <c r="Y9" i="9"/>
  <c r="M14" i="9"/>
  <c r="Y22" i="9"/>
  <c r="AB21" i="9"/>
  <c r="AD24" i="9"/>
  <c r="J27" i="9"/>
  <c r="L24" i="9"/>
  <c r="AB24" i="9"/>
  <c r="S16" i="9"/>
  <c r="W15" i="9"/>
  <c r="J7" i="9"/>
  <c r="AD21" i="9"/>
  <c r="P9" i="9"/>
  <c r="X7" i="9"/>
  <c r="N17" i="9"/>
  <c r="P13" i="9"/>
  <c r="M26" i="9"/>
  <c r="Q21" i="9"/>
  <c r="N10" i="9"/>
  <c r="O17" i="9"/>
  <c r="L15" i="9"/>
  <c r="L11" i="9"/>
  <c r="W25" i="9"/>
  <c r="S24" i="9"/>
  <c r="O10" i="9"/>
  <c r="AA20" i="9"/>
  <c r="S26" i="9"/>
  <c r="V11" i="9"/>
  <c r="N6" i="9"/>
  <c r="Q7" i="9"/>
  <c r="AB9" i="9"/>
  <c r="AD12" i="9"/>
  <c r="O27" i="9"/>
  <c r="AD13" i="9"/>
  <c r="B6" i="9"/>
  <c r="AD17" i="9"/>
  <c r="X14" i="9"/>
  <c r="X15" i="9"/>
  <c r="AC9" i="9"/>
  <c r="Y13" i="9"/>
  <c r="Q23" i="9"/>
  <c r="J10" i="9"/>
  <c r="P6" i="9"/>
  <c r="Q10" i="9"/>
  <c r="V22" i="9"/>
  <c r="Y11" i="9"/>
  <c r="P14" i="9"/>
  <c r="AB19" i="9"/>
  <c r="Q15" i="9"/>
  <c r="V19" i="9"/>
  <c r="F16" i="9"/>
  <c r="J22" i="9"/>
  <c r="F21" i="9"/>
  <c r="AD27" i="9"/>
  <c r="T23" i="9"/>
  <c r="AD25" i="9"/>
  <c r="AD20" i="9"/>
  <c r="AB23" i="9"/>
  <c r="J16" i="9"/>
  <c r="Q6" i="9"/>
  <c r="T20" i="9"/>
  <c r="AA6" i="9"/>
  <c r="X24" i="9"/>
  <c r="X18" i="9"/>
  <c r="N19" i="9"/>
  <c r="AD16" i="9"/>
  <c r="AD14" i="9"/>
  <c r="Y10" i="9"/>
  <c r="T14" i="9"/>
  <c r="S23" i="9"/>
  <c r="Y14" i="9"/>
  <c r="X6" i="9"/>
  <c r="M24" i="9"/>
  <c r="AA10" i="9"/>
  <c r="AD10" i="9"/>
  <c r="S9" i="9"/>
  <c r="V10" i="9"/>
  <c r="AA27" i="9"/>
  <c r="J13" i="9"/>
  <c r="O26" i="9"/>
  <c r="V13" i="9"/>
  <c r="V18" i="9"/>
  <c r="T21" i="9"/>
  <c r="M64" i="20"/>
  <c r="B27" i="9"/>
  <c r="F24" i="9"/>
  <c r="F25" i="9"/>
  <c r="F27" i="9"/>
  <c r="B9" i="9"/>
  <c r="F8" i="9"/>
  <c r="B14" i="9"/>
  <c r="D14" i="9"/>
  <c r="B26" i="9"/>
  <c r="F9" i="9"/>
  <c r="F6" i="9"/>
  <c r="C17" i="9"/>
  <c r="B18" i="9"/>
  <c r="B24" i="9"/>
  <c r="B19" i="9"/>
  <c r="B17" i="9"/>
  <c r="F18" i="9"/>
  <c r="F7" i="9"/>
  <c r="F17" i="9"/>
  <c r="E22" i="9"/>
  <c r="B12" i="9"/>
  <c r="B15" i="9"/>
  <c r="C22" i="9"/>
  <c r="E8" i="9"/>
  <c r="F26" i="9"/>
  <c r="B22" i="9"/>
  <c r="B11" i="9"/>
  <c r="F20" i="9"/>
  <c r="F14" i="9"/>
  <c r="B16" i="9"/>
  <c r="M45" i="20"/>
  <c r="F22" i="9"/>
  <c r="M12" i="20"/>
  <c r="G37" i="10"/>
  <c r="F19" i="9"/>
  <c r="F15" i="9"/>
  <c r="B23" i="9"/>
  <c r="F12" i="9"/>
  <c r="B13" i="9"/>
  <c r="M8" i="20"/>
  <c r="J25" i="9"/>
  <c r="J18" i="9"/>
  <c r="P20" i="9"/>
  <c r="P24" i="9"/>
  <c r="P22" i="9"/>
  <c r="P26" i="9"/>
  <c r="P17" i="9"/>
  <c r="P16" i="9"/>
  <c r="K93" i="10"/>
  <c r="K76" i="10"/>
  <c r="K28" i="10"/>
  <c r="K23" i="10"/>
  <c r="K70" i="10"/>
  <c r="K50" i="10"/>
  <c r="K79" i="10"/>
  <c r="K15" i="10"/>
  <c r="K68" i="10"/>
  <c r="K81" i="10"/>
  <c r="K27" i="10"/>
  <c r="K21" i="10"/>
  <c r="K89" i="10"/>
  <c r="K91" i="10"/>
  <c r="K66" i="10"/>
  <c r="K33" i="10"/>
  <c r="K90" i="10"/>
  <c r="K34" i="10"/>
  <c r="BF15" i="11"/>
  <c r="K57" i="10"/>
  <c r="K42" i="10"/>
  <c r="K44" i="10"/>
  <c r="K45" i="10"/>
  <c r="K52" i="10"/>
  <c r="K67" i="10"/>
  <c r="K43" i="10"/>
  <c r="BF90" i="11"/>
  <c r="BF99" i="11"/>
  <c r="BB95" i="11"/>
  <c r="BB59" i="11"/>
  <c r="BB51" i="11"/>
  <c r="BB43" i="11"/>
  <c r="BB35" i="11"/>
  <c r="BF25" i="11"/>
  <c r="BF17" i="11"/>
  <c r="BB87" i="11"/>
  <c r="BB79" i="11"/>
  <c r="BB71" i="11"/>
  <c r="BF60" i="11"/>
  <c r="BF52" i="11"/>
  <c r="BF44" i="11"/>
  <c r="BF36" i="11"/>
  <c r="BB22" i="11"/>
  <c r="BF28" i="11"/>
  <c r="BB89" i="11"/>
  <c r="BB81" i="11"/>
  <c r="BB73" i="11"/>
  <c r="BB65" i="11"/>
  <c r="BB57" i="11"/>
  <c r="BB49" i="11"/>
  <c r="BB41" i="11"/>
  <c r="BF27" i="11"/>
  <c r="BF19" i="11"/>
  <c r="BB60" i="11"/>
  <c r="BF54" i="11"/>
  <c r="BF46" i="11"/>
  <c r="BF38" i="11"/>
  <c r="BB7" i="11"/>
  <c r="BB28" i="11"/>
  <c r="BB88" i="11"/>
  <c r="BB80" i="11"/>
  <c r="BB72" i="11"/>
  <c r="K88" i="10"/>
  <c r="K74" i="10"/>
  <c r="K32" i="10"/>
  <c r="K73" i="10"/>
  <c r="K69" i="10"/>
  <c r="K83" i="10"/>
  <c r="K41" i="10"/>
  <c r="K24" i="10"/>
  <c r="K80" i="10"/>
  <c r="K9" i="10"/>
  <c r="K30" i="10"/>
  <c r="K60" i="10"/>
  <c r="K84" i="10"/>
  <c r="K48" i="10"/>
  <c r="BF96" i="11"/>
  <c r="BF61" i="11"/>
  <c r="BF53" i="11"/>
  <c r="BF45" i="11"/>
  <c r="BF37" i="11"/>
  <c r="BF9" i="11"/>
  <c r="BF20" i="11"/>
  <c r="BB27" i="11"/>
  <c r="BB19" i="11"/>
  <c r="BB11" i="11"/>
  <c r="BF8" i="11"/>
  <c r="BF12" i="11"/>
  <c r="BF91" i="11"/>
  <c r="BF83" i="11"/>
  <c r="BF75" i="11"/>
  <c r="BF67" i="11"/>
  <c r="BB62" i="11"/>
  <c r="BB54" i="11"/>
  <c r="BB46" i="11"/>
  <c r="BB38" i="11"/>
  <c r="BF7" i="11"/>
  <c r="BF24" i="11"/>
  <c r="BF16" i="11"/>
  <c r="BF6" i="11"/>
  <c r="BB30" i="11"/>
  <c r="BF93" i="11"/>
  <c r="BF85" i="11"/>
  <c r="BF77" i="11"/>
  <c r="BF69" i="11"/>
  <c r="BF59" i="11"/>
  <c r="BF51" i="11"/>
  <c r="BF43" i="11"/>
  <c r="BF35" i="11"/>
  <c r="BB86" i="11"/>
  <c r="BB78" i="11"/>
  <c r="BB70" i="11"/>
  <c r="BB29" i="11"/>
  <c r="BB21" i="11"/>
  <c r="BB20" i="11"/>
  <c r="BF14" i="11"/>
  <c r="BF62" i="11"/>
  <c r="BB48" i="11"/>
  <c r="BB40" i="11"/>
  <c r="BB32" i="11"/>
  <c r="BB24" i="11"/>
  <c r="BB6" i="11"/>
  <c r="BF92" i="11"/>
  <c r="BF84" i="11"/>
  <c r="BF76" i="11"/>
  <c r="BF68" i="11"/>
  <c r="K10" i="10"/>
  <c r="K63" i="10"/>
  <c r="K78" i="10"/>
  <c r="K85" i="10"/>
  <c r="K39" i="10"/>
  <c r="K11" i="10"/>
  <c r="K77" i="10"/>
  <c r="K87" i="10"/>
  <c r="K38" i="10"/>
  <c r="K18" i="10"/>
  <c r="K54" i="10"/>
  <c r="K53" i="10"/>
  <c r="BB96" i="11"/>
  <c r="BB99" i="11"/>
  <c r="K82" i="10"/>
  <c r="K13" i="10"/>
  <c r="K19" i="10"/>
  <c r="K6" i="10"/>
  <c r="K49" i="10"/>
  <c r="K55" i="10"/>
  <c r="K72" i="10"/>
  <c r="K37" i="10"/>
  <c r="K65" i="10"/>
  <c r="K17" i="10"/>
  <c r="K22" i="10"/>
  <c r="K58" i="10"/>
  <c r="K92" i="10"/>
  <c r="K56" i="10"/>
  <c r="K51" i="10"/>
  <c r="BF95" i="11"/>
  <c r="BB93" i="11"/>
  <c r="BB85" i="11"/>
  <c r="BB77" i="11"/>
  <c r="BB69" i="11"/>
  <c r="BB63" i="11"/>
  <c r="BB55" i="11"/>
  <c r="BB47" i="11"/>
  <c r="BB39" i="11"/>
  <c r="BB10" i="11"/>
  <c r="BB9" i="11"/>
  <c r="BB82" i="11"/>
  <c r="BB74" i="11"/>
  <c r="BB66" i="11"/>
  <c r="BF29" i="11"/>
  <c r="BF21" i="11"/>
  <c r="BF13" i="11"/>
  <c r="BF64" i="11"/>
  <c r="BF56" i="11"/>
  <c r="BF48" i="11"/>
  <c r="BF40" i="11"/>
  <c r="BB14" i="11"/>
  <c r="BB92" i="11"/>
  <c r="BB84" i="11"/>
  <c r="BB76" i="11"/>
  <c r="BB68" i="11"/>
  <c r="BB61" i="11"/>
  <c r="BB53" i="11"/>
  <c r="BB45" i="11"/>
  <c r="BB37" i="11"/>
  <c r="BF82" i="11"/>
  <c r="BF74" i="11"/>
  <c r="BF31" i="11"/>
  <c r="BF23" i="11"/>
  <c r="BF11" i="11"/>
  <c r="BB8" i="11"/>
  <c r="BF18" i="11"/>
  <c r="BB91" i="11"/>
  <c r="BB83" i="11"/>
  <c r="BB75" i="11"/>
  <c r="BB67" i="11"/>
  <c r="BB64" i="11"/>
  <c r="BF50" i="11"/>
  <c r="BF42" i="11"/>
  <c r="BF34" i="11"/>
  <c r="BF30" i="11"/>
  <c r="BF10" i="11"/>
  <c r="K61" i="10"/>
  <c r="K35" i="10"/>
  <c r="K29" i="10"/>
  <c r="K47" i="10"/>
  <c r="K25" i="10"/>
  <c r="K64" i="10"/>
  <c r="K7" i="10"/>
  <c r="K62" i="10"/>
  <c r="K46" i="10"/>
  <c r="K75" i="10"/>
  <c r="K12" i="10"/>
  <c r="K71" i="10"/>
  <c r="K16" i="10"/>
  <c r="BB56" i="11"/>
  <c r="K36" i="10"/>
  <c r="K8" i="10"/>
  <c r="BB90" i="11"/>
  <c r="BF97" i="11"/>
  <c r="K31" i="10"/>
  <c r="K86" i="10"/>
  <c r="K59" i="10"/>
  <c r="K14" i="10"/>
  <c r="K40" i="10"/>
  <c r="K20" i="10"/>
  <c r="BB16" i="11"/>
  <c r="K26" i="10"/>
  <c r="BB97" i="11"/>
  <c r="BF89" i="11"/>
  <c r="BF81" i="11"/>
  <c r="BF73" i="11"/>
  <c r="BF65" i="11"/>
  <c r="BF57" i="11"/>
  <c r="BF49" i="11"/>
  <c r="BF41" i="11"/>
  <c r="BF33" i="11"/>
  <c r="BB18" i="11"/>
  <c r="BF86" i="11"/>
  <c r="BF78" i="11"/>
  <c r="BF70" i="11"/>
  <c r="BB31" i="11"/>
  <c r="BB23" i="11"/>
  <c r="BB15" i="11"/>
  <c r="BB58" i="11"/>
  <c r="BB50" i="11"/>
  <c r="BB42" i="11"/>
  <c r="BB34" i="11"/>
  <c r="BB33" i="11"/>
  <c r="BF88" i="11"/>
  <c r="BF80" i="11"/>
  <c r="BF72" i="11"/>
  <c r="BB26" i="11"/>
  <c r="BF63" i="11"/>
  <c r="BF55" i="11"/>
  <c r="BF47" i="11"/>
  <c r="BF39" i="11"/>
  <c r="BB25" i="11"/>
  <c r="BB17" i="11"/>
  <c r="BB13" i="11"/>
  <c r="BF22" i="11"/>
  <c r="BB12" i="11"/>
  <c r="BF87" i="11"/>
  <c r="BF79" i="11"/>
  <c r="BF71" i="11"/>
  <c r="BF58" i="11"/>
  <c r="BB52" i="11"/>
  <c r="BB44" i="11"/>
  <c r="BB36" i="11"/>
  <c r="BF26" i="11"/>
  <c r="W23" i="9"/>
  <c r="Y26" i="9"/>
  <c r="Y18" i="9"/>
  <c r="Y17" i="9"/>
  <c r="Y16" i="9"/>
  <c r="G67" i="12"/>
  <c r="AC24" i="9"/>
  <c r="AC21" i="9"/>
  <c r="H100" i="10"/>
  <c r="AC19" i="9"/>
  <c r="AC16" i="9"/>
  <c r="AC20" i="9"/>
  <c r="AC25" i="9"/>
  <c r="AC26" i="9"/>
  <c r="AC27" i="9"/>
  <c r="X27" i="9"/>
  <c r="X16" i="9"/>
  <c r="X25" i="9"/>
  <c r="X23" i="9"/>
  <c r="X26" i="9"/>
  <c r="X20" i="9"/>
  <c r="X22" i="9"/>
  <c r="X17" i="9"/>
  <c r="CE82" i="12"/>
  <c r="Z92" i="10"/>
  <c r="Z69" i="10"/>
  <c r="Z51" i="10"/>
  <c r="Z80" i="10"/>
  <c r="Z23" i="10"/>
  <c r="Z9" i="10"/>
  <c r="Z74" i="10"/>
  <c r="CF43" i="12"/>
  <c r="Z63" i="10"/>
  <c r="CD65" i="12"/>
  <c r="Z36" i="10"/>
  <c r="F39" i="12"/>
  <c r="Z21" i="10"/>
  <c r="CE16" i="12"/>
  <c r="CE59" i="12"/>
  <c r="CE88" i="12"/>
  <c r="CE27" i="12"/>
  <c r="CE44" i="12"/>
  <c r="CE64" i="12"/>
  <c r="CE91" i="12"/>
  <c r="CE22" i="12"/>
  <c r="CE56" i="12"/>
  <c r="CE68" i="12"/>
  <c r="CD96" i="12"/>
  <c r="CH95" i="12"/>
  <c r="Z61" i="10"/>
  <c r="Z37" i="10"/>
  <c r="Z24" i="10"/>
  <c r="Z22" i="10"/>
  <c r="Z48" i="10"/>
  <c r="Z66" i="10"/>
  <c r="Z49" i="10"/>
  <c r="Z60" i="10"/>
  <c r="CD36" i="12"/>
  <c r="CE86" i="12"/>
  <c r="CE8" i="12"/>
  <c r="CE50" i="12"/>
  <c r="CE80" i="12"/>
  <c r="CE19" i="12"/>
  <c r="CE36" i="12"/>
  <c r="CE54" i="12"/>
  <c r="CE83" i="12"/>
  <c r="CE13" i="12"/>
  <c r="CE47" i="12"/>
  <c r="CE57" i="12"/>
  <c r="CD95" i="12"/>
  <c r="CG92" i="12"/>
  <c r="CH60" i="12"/>
  <c r="CF58" i="12"/>
  <c r="CI53" i="12"/>
  <c r="CG51" i="12"/>
  <c r="CH44" i="12"/>
  <c r="CF42" i="12"/>
  <c r="CI37" i="12"/>
  <c r="CG35" i="12"/>
  <c r="CC31" i="12"/>
  <c r="CD24" i="12"/>
  <c r="CH12" i="12"/>
  <c r="CF10" i="12"/>
  <c r="CG93" i="12"/>
  <c r="CH78" i="12"/>
  <c r="CF76" i="12"/>
  <c r="CI71" i="12"/>
  <c r="CG69" i="12"/>
  <c r="CH29" i="12"/>
  <c r="CI22" i="12"/>
  <c r="CG20" i="12"/>
  <c r="CH13" i="12"/>
  <c r="CF11" i="12"/>
  <c r="CD9" i="12"/>
  <c r="CI88" i="12"/>
  <c r="CG86" i="12"/>
  <c r="CH79" i="12"/>
  <c r="CF77" i="12"/>
  <c r="CD67" i="12"/>
  <c r="CC65" i="12"/>
  <c r="CD58" i="12"/>
  <c r="CC49" i="12"/>
  <c r="CD42" i="12"/>
  <c r="CC33" i="12"/>
  <c r="CD26" i="12"/>
  <c r="CH14" i="12"/>
  <c r="CF12" i="12"/>
  <c r="CC91" i="12"/>
  <c r="CD84" i="12"/>
  <c r="CC75" i="12"/>
  <c r="CD68" i="12"/>
  <c r="CH63" i="12"/>
  <c r="CF61" i="12"/>
  <c r="CD51" i="12"/>
  <c r="CI48" i="12"/>
  <c r="CG46" i="12"/>
  <c r="CH39" i="12"/>
  <c r="CF37" i="12"/>
  <c r="CI32" i="12"/>
  <c r="CG30" i="12"/>
  <c r="CH23" i="12"/>
  <c r="CF21" i="12"/>
  <c r="CD11" i="12"/>
  <c r="CG88" i="12"/>
  <c r="CH81" i="12"/>
  <c r="CF79" i="12"/>
  <c r="CI74" i="12"/>
  <c r="CG72" i="12"/>
  <c r="CI65" i="12"/>
  <c r="CG63" i="12"/>
  <c r="CH56" i="12"/>
  <c r="CF54" i="12"/>
  <c r="CI49" i="12"/>
  <c r="CG47" i="12"/>
  <c r="CH40" i="12"/>
  <c r="CF38" i="12"/>
  <c r="CC35" i="12"/>
  <c r="CD28" i="12"/>
  <c r="CH16" i="12"/>
  <c r="CH8" i="12"/>
  <c r="CI91" i="12"/>
  <c r="CD86" i="12"/>
  <c r="CH74" i="12"/>
  <c r="CF72" i="12"/>
  <c r="CC60" i="12"/>
  <c r="CD53" i="12"/>
  <c r="CC44" i="12"/>
  <c r="CD37" i="12"/>
  <c r="CH25" i="12"/>
  <c r="CF23" i="12"/>
  <c r="CD13" i="12"/>
  <c r="CI92" i="12"/>
  <c r="CD87" i="12"/>
  <c r="CI84" i="12"/>
  <c r="CG82" i="12"/>
  <c r="CH75" i="12"/>
  <c r="CF73" i="12"/>
  <c r="CC70" i="12"/>
  <c r="CH58" i="12"/>
  <c r="CF56" i="12"/>
  <c r="CD46" i="12"/>
  <c r="CI43" i="12"/>
  <c r="CG41" i="12"/>
  <c r="CH34" i="12"/>
  <c r="CF32" i="12"/>
  <c r="CD22" i="12"/>
  <c r="CI19" i="12"/>
  <c r="CG17" i="12"/>
  <c r="CH10" i="12"/>
  <c r="CF8" i="12"/>
  <c r="CH92" i="12"/>
  <c r="CC87" i="12"/>
  <c r="CD80" i="12"/>
  <c r="CC71" i="12"/>
  <c r="CH59" i="12"/>
  <c r="CF57" i="12"/>
  <c r="CC54" i="12"/>
  <c r="CI44" i="12"/>
  <c r="CG42" i="12"/>
  <c r="CH35" i="12"/>
  <c r="CF33" i="12"/>
  <c r="CI28" i="12"/>
  <c r="CG26" i="12"/>
  <c r="CH19" i="12"/>
  <c r="CF17" i="12"/>
  <c r="CI12" i="12"/>
  <c r="CG10" i="12"/>
  <c r="Z53" i="10"/>
  <c r="Z82" i="10"/>
  <c r="Z44" i="10"/>
  <c r="Z38" i="10"/>
  <c r="Z86" i="10"/>
  <c r="Z17" i="10"/>
  <c r="Z6" i="10"/>
  <c r="Z58" i="10"/>
  <c r="Z71" i="10"/>
  <c r="Z33" i="10"/>
  <c r="Z47" i="10"/>
  <c r="CD49" i="12"/>
  <c r="Z13" i="10"/>
  <c r="CC18" i="12"/>
  <c r="Z20" i="10"/>
  <c r="CE78" i="12"/>
  <c r="CE42" i="12"/>
  <c r="CE71" i="12"/>
  <c r="CE28" i="12"/>
  <c r="CE53" i="12"/>
  <c r="CE74" i="12"/>
  <c r="CE92" i="12"/>
  <c r="CE31" i="12"/>
  <c r="CE48" i="12"/>
  <c r="CI96" i="12"/>
  <c r="CH97" i="12"/>
  <c r="Z85" i="10"/>
  <c r="Z93" i="10"/>
  <c r="Z45" i="10"/>
  <c r="Z16" i="10"/>
  <c r="Z73" i="10"/>
  <c r="F33" i="12"/>
  <c r="Z50" i="10"/>
  <c r="G34" i="12"/>
  <c r="Z91" i="10"/>
  <c r="Z70" i="10"/>
  <c r="Z12" i="10"/>
  <c r="Z10" i="10"/>
  <c r="Z18" i="10"/>
  <c r="CC20" i="12"/>
  <c r="CE69" i="12"/>
  <c r="CE34" i="12"/>
  <c r="CE62" i="12"/>
  <c r="CE89" i="12"/>
  <c r="CE20" i="12"/>
  <c r="CE45" i="12"/>
  <c r="CE65" i="12"/>
  <c r="CE84" i="12"/>
  <c r="CE23" i="12"/>
  <c r="CE40" i="12"/>
  <c r="CD97" i="12"/>
  <c r="CI95" i="12"/>
  <c r="CD89" i="12"/>
  <c r="CI86" i="12"/>
  <c r="CG84" i="12"/>
  <c r="CH77" i="12"/>
  <c r="CF75" i="12"/>
  <c r="CH69" i="12"/>
  <c r="CD64" i="12"/>
  <c r="CC55" i="12"/>
  <c r="CD48" i="12"/>
  <c r="CC39" i="12"/>
  <c r="CH28" i="12"/>
  <c r="CF26" i="12"/>
  <c r="CI21" i="12"/>
  <c r="CG19" i="12"/>
  <c r="CI87" i="12"/>
  <c r="CG85" i="12"/>
  <c r="CC73" i="12"/>
  <c r="CI62" i="12"/>
  <c r="CG60" i="12"/>
  <c r="CI54" i="12"/>
  <c r="CG52" i="12"/>
  <c r="CI46" i="12"/>
  <c r="CG44" i="12"/>
  <c r="CD41" i="12"/>
  <c r="CI38" i="12"/>
  <c r="CG36" i="12"/>
  <c r="CD17" i="12"/>
  <c r="CI6" i="12"/>
  <c r="CF93" i="12"/>
  <c r="CD83" i="12"/>
  <c r="CH71" i="12"/>
  <c r="CF69" i="12"/>
  <c r="CH62" i="12"/>
  <c r="CF60" i="12"/>
  <c r="CI55" i="12"/>
  <c r="CG53" i="12"/>
  <c r="CH46" i="12"/>
  <c r="CF44" i="12"/>
  <c r="CI39" i="12"/>
  <c r="CG37" i="12"/>
  <c r="CH30" i="12"/>
  <c r="CF28" i="12"/>
  <c r="CI23" i="12"/>
  <c r="CG21" i="12"/>
  <c r="CH6" i="12"/>
  <c r="CH88" i="12"/>
  <c r="CF86" i="12"/>
  <c r="CI81" i="12"/>
  <c r="CG79" i="12"/>
  <c r="CH72" i="12"/>
  <c r="CF70" i="12"/>
  <c r="CH55" i="12"/>
  <c r="CF53" i="12"/>
  <c r="CD43" i="12"/>
  <c r="CC34" i="12"/>
  <c r="CD27" i="12"/>
  <c r="CH15" i="12"/>
  <c r="CF13" i="12"/>
  <c r="CI8" i="12"/>
  <c r="CG6" i="12"/>
  <c r="CD85" i="12"/>
  <c r="CC76" i="12"/>
  <c r="CD69" i="12"/>
  <c r="CD60" i="12"/>
  <c r="CC51" i="12"/>
  <c r="CD44" i="12"/>
  <c r="CH32" i="12"/>
  <c r="CF30" i="12"/>
  <c r="CI25" i="12"/>
  <c r="CG23" i="12"/>
  <c r="CC93" i="12"/>
  <c r="CF88" i="12"/>
  <c r="CI83" i="12"/>
  <c r="CG81" i="12"/>
  <c r="CI66" i="12"/>
  <c r="CG64" i="12"/>
  <c r="CH57" i="12"/>
  <c r="CF55" i="12"/>
  <c r="CI50" i="12"/>
  <c r="CG48" i="12"/>
  <c r="CH41" i="12"/>
  <c r="CF39" i="12"/>
  <c r="CI34" i="12"/>
  <c r="CG32" i="12"/>
  <c r="CD29" i="12"/>
  <c r="CH17" i="12"/>
  <c r="CF15" i="12"/>
  <c r="CI10" i="12"/>
  <c r="CG8" i="12"/>
  <c r="CE6" i="12"/>
  <c r="CF89" i="12"/>
  <c r="CD79" i="12"/>
  <c r="CH67" i="12"/>
  <c r="CG65" i="12"/>
  <c r="CH50" i="12"/>
  <c r="CF48" i="12"/>
  <c r="CH26" i="12"/>
  <c r="CF24" i="12"/>
  <c r="CD14" i="12"/>
  <c r="CH84" i="12"/>
  <c r="CF82" i="12"/>
  <c r="CI77" i="12"/>
  <c r="CG75" i="12"/>
  <c r="CH68" i="12"/>
  <c r="CG66" i="12"/>
  <c r="CH51" i="12"/>
  <c r="CF49" i="12"/>
  <c r="CC46" i="12"/>
  <c r="CD39" i="12"/>
  <c r="CC30" i="12"/>
  <c r="CD23" i="12"/>
  <c r="CC14" i="12"/>
  <c r="CD7" i="12"/>
  <c r="Z88" i="10"/>
  <c r="Z83" i="10"/>
  <c r="Z90" i="10"/>
  <c r="Z81" i="10"/>
  <c r="Z42" i="10"/>
  <c r="Z52" i="10"/>
  <c r="Z72" i="10"/>
  <c r="Z14" i="10"/>
  <c r="C38" i="12"/>
  <c r="Z55" i="10"/>
  <c r="CD73" i="12"/>
  <c r="Z28" i="10"/>
  <c r="C23" i="12"/>
  <c r="Z87" i="10"/>
  <c r="Z89" i="10"/>
  <c r="Z54" i="10"/>
  <c r="F10" i="12"/>
  <c r="CE58" i="12"/>
  <c r="CE87" i="12"/>
  <c r="CE26" i="12"/>
  <c r="CE61" i="12"/>
  <c r="CE81" i="12"/>
  <c r="CE11" i="12"/>
  <c r="CE37" i="12"/>
  <c r="CE55" i="12"/>
  <c r="CE76" i="12"/>
  <c r="CE14" i="12"/>
  <c r="CE32" i="12"/>
  <c r="CH99" i="12"/>
  <c r="CC99" i="12"/>
  <c r="CG95" i="12"/>
  <c r="Z78" i="10"/>
  <c r="Z75" i="10"/>
  <c r="Z11" i="10"/>
  <c r="Z31" i="10"/>
  <c r="Z8" i="10"/>
  <c r="Z57" i="10"/>
  <c r="CG28" i="12"/>
  <c r="Z41" i="10"/>
  <c r="C7" i="12"/>
  <c r="Z62" i="10"/>
  <c r="Z68" i="10"/>
  <c r="CE49" i="12"/>
  <c r="CE79" i="12"/>
  <c r="CE18" i="12"/>
  <c r="CE51" i="12"/>
  <c r="CE72" i="12"/>
  <c r="CE29" i="12"/>
  <c r="CE46" i="12"/>
  <c r="CE75" i="12"/>
  <c r="CE93" i="12"/>
  <c r="CE24" i="12"/>
  <c r="CF97" i="12"/>
  <c r="CI99" i="12"/>
  <c r="CH93" i="12"/>
  <c r="CF91" i="12"/>
  <c r="CF66" i="12"/>
  <c r="CI61" i="12"/>
  <c r="CG59" i="12"/>
  <c r="CH52" i="12"/>
  <c r="CF50" i="12"/>
  <c r="CI45" i="12"/>
  <c r="CG43" i="12"/>
  <c r="CH36" i="12"/>
  <c r="CD32" i="12"/>
  <c r="CI13" i="12"/>
  <c r="CG11" i="12"/>
  <c r="CF92" i="12"/>
  <c r="CC89" i="12"/>
  <c r="CD82" i="12"/>
  <c r="CI79" i="12"/>
  <c r="CG77" i="12"/>
  <c r="CH70" i="12"/>
  <c r="CF68" i="12"/>
  <c r="CD33" i="12"/>
  <c r="CI30" i="12"/>
  <c r="CH21" i="12"/>
  <c r="CF19" i="12"/>
  <c r="CI14" i="12"/>
  <c r="CG12" i="12"/>
  <c r="CC8" i="12"/>
  <c r="CH87" i="12"/>
  <c r="CF85" i="12"/>
  <c r="CI80" i="12"/>
  <c r="CG78" i="12"/>
  <c r="CD66" i="12"/>
  <c r="CC57" i="12"/>
  <c r="CD50" i="12"/>
  <c r="CC41" i="12"/>
  <c r="CD34" i="12"/>
  <c r="CC25" i="12"/>
  <c r="CD18" i="12"/>
  <c r="CI15" i="12"/>
  <c r="CG13" i="12"/>
  <c r="CD92" i="12"/>
  <c r="CC83" i="12"/>
  <c r="CD76" i="12"/>
  <c r="CC67" i="12"/>
  <c r="CI64" i="12"/>
  <c r="CG62" i="12"/>
  <c r="CH47" i="12"/>
  <c r="CF45" i="12"/>
  <c r="CI40" i="12"/>
  <c r="CG38" i="12"/>
  <c r="CH31" i="12"/>
  <c r="CF29" i="12"/>
  <c r="CI24" i="12"/>
  <c r="CG22" i="12"/>
  <c r="CC10" i="12"/>
  <c r="CC92" i="12"/>
  <c r="CH89" i="12"/>
  <c r="CF87" i="12"/>
  <c r="CI82" i="12"/>
  <c r="CG80" i="12"/>
  <c r="CH73" i="12"/>
  <c r="CF71" i="12"/>
  <c r="CH64" i="12"/>
  <c r="CF62" i="12"/>
  <c r="CI57" i="12"/>
  <c r="CG55" i="12"/>
  <c r="CH48" i="12"/>
  <c r="CF46" i="12"/>
  <c r="CI41" i="12"/>
  <c r="CG39" i="12"/>
  <c r="CC27" i="12"/>
  <c r="CD20" i="12"/>
  <c r="CI17" i="12"/>
  <c r="CG15" i="12"/>
  <c r="CD12" i="12"/>
  <c r="CI9" i="12"/>
  <c r="CG7" i="12"/>
  <c r="CC85" i="12"/>
  <c r="CD78" i="12"/>
  <c r="CI75" i="12"/>
  <c r="CG73" i="12"/>
  <c r="CD61" i="12"/>
  <c r="CC52" i="12"/>
  <c r="CD45" i="12"/>
  <c r="CC36" i="12"/>
  <c r="CI26" i="12"/>
  <c r="CG24" i="12"/>
  <c r="CC12" i="12"/>
  <c r="CH91" i="12"/>
  <c r="CH83" i="12"/>
  <c r="CF81" i="12"/>
  <c r="CI76" i="12"/>
  <c r="CG74" i="12"/>
  <c r="CD62" i="12"/>
  <c r="CI59" i="12"/>
  <c r="CG57" i="12"/>
  <c r="CH42" i="12"/>
  <c r="CF40" i="12"/>
  <c r="CD38" i="12"/>
  <c r="CI35" i="12"/>
  <c r="CG33" i="12"/>
  <c r="CH18" i="12"/>
  <c r="CF16" i="12"/>
  <c r="CI11" i="12"/>
  <c r="CG9" i="12"/>
  <c r="CI93" i="12"/>
  <c r="CG91" i="12"/>
  <c r="CD88" i="12"/>
  <c r="CC79" i="12"/>
  <c r="CD72" i="12"/>
  <c r="CI60" i="12"/>
  <c r="CG58" i="12"/>
  <c r="CH43" i="12"/>
  <c r="CF41" i="12"/>
  <c r="CI36" i="12"/>
  <c r="CG34" i="12"/>
  <c r="CH27" i="12"/>
  <c r="CF25" i="12"/>
  <c r="CI20" i="12"/>
  <c r="CG18" i="12"/>
  <c r="CH11" i="12"/>
  <c r="CF9" i="12"/>
  <c r="Z84" i="10"/>
  <c r="Z79" i="10"/>
  <c r="Z67" i="10"/>
  <c r="Z40" i="10"/>
  <c r="Z56" i="10"/>
  <c r="CF31" i="12"/>
  <c r="Z32" i="10"/>
  <c r="CD57" i="12"/>
  <c r="CD25" i="12"/>
  <c r="Z15" i="10"/>
  <c r="Z46" i="10"/>
  <c r="Z7" i="10"/>
  <c r="Z35" i="10"/>
  <c r="CE41" i="12"/>
  <c r="B70" i="13"/>
  <c r="CE17" i="12"/>
  <c r="CE43" i="12"/>
  <c r="CE63" i="12"/>
  <c r="CE21" i="12"/>
  <c r="CE38" i="12"/>
  <c r="CE67" i="12"/>
  <c r="CE85" i="12"/>
  <c r="CE15" i="12"/>
  <c r="CG99" i="12"/>
  <c r="CG97" i="12"/>
  <c r="Z77" i="10"/>
  <c r="Z59" i="10"/>
  <c r="Z34" i="10"/>
  <c r="Z29" i="10"/>
  <c r="Z19" i="10"/>
  <c r="Z26" i="10"/>
  <c r="Z27" i="10"/>
  <c r="Z43" i="10"/>
  <c r="Z64" i="10"/>
  <c r="Z25" i="10"/>
  <c r="Z65" i="10"/>
  <c r="C15" i="12"/>
  <c r="AZ15" i="11" s="1"/>
  <c r="C13" i="12"/>
  <c r="AZ13" i="11" s="1"/>
  <c r="Z30" i="10"/>
  <c r="Z76" i="10"/>
  <c r="Z39" i="10"/>
  <c r="CE25" i="12"/>
  <c r="CE60" i="12"/>
  <c r="CE9" i="12"/>
  <c r="CE35" i="12"/>
  <c r="CE52" i="12"/>
  <c r="CE73" i="12"/>
  <c r="CE12" i="12"/>
  <c r="CE30" i="12"/>
  <c r="CE66" i="12"/>
  <c r="CE77" i="12"/>
  <c r="CE7" i="12"/>
  <c r="CE97" i="12"/>
  <c r="CH96" i="12"/>
  <c r="CF95" i="12"/>
  <c r="CH85" i="12"/>
  <c r="CF83" i="12"/>
  <c r="CD81" i="12"/>
  <c r="CI78" i="12"/>
  <c r="CG76" i="12"/>
  <c r="CI70" i="12"/>
  <c r="CG68" i="12"/>
  <c r="CC63" i="12"/>
  <c r="CD56" i="12"/>
  <c r="CC47" i="12"/>
  <c r="CD40" i="12"/>
  <c r="CI29" i="12"/>
  <c r="CG27" i="12"/>
  <c r="CH20" i="12"/>
  <c r="CF18" i="12"/>
  <c r="CH86" i="12"/>
  <c r="CF84" i="12"/>
  <c r="CD74" i="12"/>
  <c r="CH61" i="12"/>
  <c r="CF59" i="12"/>
  <c r="CH53" i="12"/>
  <c r="CF51" i="12"/>
  <c r="CH45" i="12"/>
  <c r="CH37" i="12"/>
  <c r="CF35" i="12"/>
  <c r="CC16" i="12"/>
  <c r="CC82" i="12"/>
  <c r="CD75" i="12"/>
  <c r="CI72" i="12"/>
  <c r="CG70" i="12"/>
  <c r="CI63" i="12"/>
  <c r="CG61" i="12"/>
  <c r="CH54" i="12"/>
  <c r="CF52" i="12"/>
  <c r="CI47" i="12"/>
  <c r="CG45" i="12"/>
  <c r="CH38" i="12"/>
  <c r="CF36" i="12"/>
  <c r="CI31" i="12"/>
  <c r="CG29" i="12"/>
  <c r="CH22" i="12"/>
  <c r="CF20" i="12"/>
  <c r="CD10" i="12"/>
  <c r="CI7" i="12"/>
  <c r="CI89" i="12"/>
  <c r="CG87" i="12"/>
  <c r="CH80" i="12"/>
  <c r="CF78" i="12"/>
  <c r="CI73" i="12"/>
  <c r="CG71" i="12"/>
  <c r="CD59" i="12"/>
  <c r="CI56" i="12"/>
  <c r="CG54" i="12"/>
  <c r="CC42" i="12"/>
  <c r="CD35" i="12"/>
  <c r="CC26" i="12"/>
  <c r="CD19" i="12"/>
  <c r="CI16" i="12"/>
  <c r="CG14" i="12"/>
  <c r="CH7" i="12"/>
  <c r="CC84" i="12"/>
  <c r="CD77" i="12"/>
  <c r="CC68" i="12"/>
  <c r="CC59" i="12"/>
  <c r="CD52" i="12"/>
  <c r="CC43" i="12"/>
  <c r="CI33" i="12"/>
  <c r="CG31" i="12"/>
  <c r="CH24" i="12"/>
  <c r="CF22" i="12"/>
  <c r="CG89" i="12"/>
  <c r="CH82" i="12"/>
  <c r="CF80" i="12"/>
  <c r="CD70" i="12"/>
  <c r="CI67" i="12"/>
  <c r="CH65" i="12"/>
  <c r="CF63" i="12"/>
  <c r="CI58" i="12"/>
  <c r="CG56" i="12"/>
  <c r="CH49" i="12"/>
  <c r="CF47" i="12"/>
  <c r="CI42" i="12"/>
  <c r="CG40" i="12"/>
  <c r="CH33" i="12"/>
  <c r="CC28" i="12"/>
  <c r="CD21" i="12"/>
  <c r="CI18" i="12"/>
  <c r="CG16" i="12"/>
  <c r="CH9" i="12"/>
  <c r="CF7" i="12"/>
  <c r="CC78" i="12"/>
  <c r="CI68" i="12"/>
  <c r="CH66" i="12"/>
  <c r="CF64" i="12"/>
  <c r="CD54" i="12"/>
  <c r="CI51" i="12"/>
  <c r="CG49" i="12"/>
  <c r="CD30" i="12"/>
  <c r="CI27" i="12"/>
  <c r="CG25" i="12"/>
  <c r="CD6" i="12"/>
  <c r="CI85" i="12"/>
  <c r="CG83" i="12"/>
  <c r="CH76" i="12"/>
  <c r="CF74" i="12"/>
  <c r="CI69" i="12"/>
  <c r="CG67" i="12"/>
  <c r="CF65" i="12"/>
  <c r="CC62" i="12"/>
  <c r="CI52" i="12"/>
  <c r="CG50" i="12"/>
  <c r="CD31" i="12"/>
  <c r="CC22" i="12"/>
  <c r="CD15" i="12"/>
  <c r="CC6" i="12"/>
  <c r="E77" i="20"/>
  <c r="E91" i="20"/>
  <c r="E83" i="20"/>
  <c r="E75" i="20"/>
  <c r="E92" i="20"/>
  <c r="E84" i="20"/>
  <c r="E76" i="20"/>
  <c r="M84" i="20"/>
  <c r="E89" i="20"/>
  <c r="E81" i="20"/>
  <c r="E85" i="20"/>
  <c r="E87" i="20"/>
  <c r="E79" i="20"/>
  <c r="M87" i="20"/>
  <c r="E93" i="20"/>
  <c r="E88" i="20"/>
  <c r="E80" i="20"/>
  <c r="R29" i="9"/>
  <c r="F29" i="9"/>
  <c r="S29" i="9"/>
  <c r="N28" i="9"/>
  <c r="P28" i="9"/>
  <c r="O29" i="9"/>
  <c r="B28" i="9"/>
  <c r="Q28" i="9"/>
  <c r="T28" i="9"/>
  <c r="L28" i="9"/>
  <c r="AC29" i="9"/>
  <c r="Q29" i="9"/>
  <c r="T29" i="9"/>
  <c r="V28" i="9"/>
  <c r="AA28" i="9"/>
  <c r="B54" i="13"/>
  <c r="N29" i="9"/>
  <c r="R28" i="9"/>
  <c r="S28" i="9"/>
  <c r="B15" i="13"/>
  <c r="CB15" i="12" s="1"/>
  <c r="AD29" i="9"/>
  <c r="AD28" i="9"/>
  <c r="CG96" i="12"/>
  <c r="CC95" i="12"/>
  <c r="AC28" i="9"/>
  <c r="AB29" i="9"/>
  <c r="AB28" i="9"/>
  <c r="CI97" i="12"/>
  <c r="Y28" i="9"/>
  <c r="X28" i="9"/>
  <c r="CF96" i="12"/>
  <c r="W29" i="9"/>
  <c r="CF99" i="12"/>
  <c r="CD98" i="12"/>
  <c r="W28" i="9"/>
  <c r="P29" i="9"/>
  <c r="L29" i="9"/>
  <c r="J28" i="9"/>
  <c r="M99" i="20"/>
  <c r="C28" i="9"/>
  <c r="F28" i="9"/>
  <c r="E28" i="9"/>
  <c r="E29" i="9"/>
  <c r="D29" i="9"/>
  <c r="C29" i="9"/>
  <c r="K29" i="14"/>
  <c r="M95" i="20"/>
  <c r="E97" i="20"/>
  <c r="B29" i="9"/>
  <c r="E95" i="20"/>
  <c r="E96" i="20"/>
  <c r="E99" i="20"/>
  <c r="O28" i="9"/>
  <c r="M28" i="9"/>
  <c r="M29" i="9"/>
  <c r="K99" i="10"/>
  <c r="K97" i="10"/>
  <c r="K94" i="10"/>
  <c r="K96" i="10"/>
  <c r="K98" i="10"/>
  <c r="K95" i="10"/>
  <c r="BB98" i="11"/>
  <c r="BF94" i="11"/>
  <c r="BF98" i="11"/>
  <c r="J29" i="9"/>
  <c r="BB94" i="11"/>
  <c r="Z98" i="10"/>
  <c r="Z97" i="10"/>
  <c r="AA29" i="9"/>
  <c r="Z95" i="10"/>
  <c r="Z96" i="10"/>
  <c r="Z99" i="10"/>
  <c r="Z94" i="10"/>
  <c r="Y29" i="9"/>
  <c r="X29" i="9"/>
  <c r="AP101" i="11"/>
  <c r="CE96" i="12"/>
  <c r="CC97" i="12"/>
  <c r="CE95" i="12"/>
  <c r="V29" i="9"/>
  <c r="CE99" i="12"/>
  <c r="CI94" i="12"/>
  <c r="B22" i="13"/>
  <c r="B91" i="13"/>
  <c r="J99" i="20"/>
  <c r="B99" i="20"/>
  <c r="B95" i="13"/>
  <c r="B59" i="13"/>
  <c r="B44" i="13"/>
  <c r="B68" i="13"/>
  <c r="CE98" i="12"/>
  <c r="AE29" i="9"/>
  <c r="CF98" i="12"/>
  <c r="CC98" i="12"/>
  <c r="E18" i="9"/>
  <c r="CG94" i="12"/>
  <c r="CH98" i="12"/>
  <c r="CH94" i="12"/>
  <c r="CI98" i="12"/>
  <c r="CD94" i="12"/>
  <c r="CE94" i="12"/>
  <c r="CG98" i="12"/>
  <c r="CF94" i="12"/>
  <c r="C28" i="14"/>
  <c r="L29" i="14"/>
  <c r="N29" i="14"/>
  <c r="L28" i="14"/>
  <c r="N28" i="14"/>
  <c r="K28" i="14"/>
  <c r="E98" i="20"/>
  <c r="C29" i="14"/>
  <c r="M24" i="20"/>
  <c r="B42" i="13"/>
  <c r="B78" i="13"/>
  <c r="B60" i="13"/>
  <c r="B52" i="13"/>
  <c r="B12" i="13"/>
  <c r="B7" i="13"/>
  <c r="M88" i="20"/>
  <c r="M52" i="20"/>
  <c r="E7" i="9"/>
  <c r="E19" i="9"/>
  <c r="B38" i="13"/>
  <c r="B21" i="13"/>
  <c r="B34" i="13"/>
  <c r="B62" i="13"/>
  <c r="C26" i="9"/>
  <c r="M71" i="20"/>
  <c r="M55" i="20"/>
  <c r="N12" i="14"/>
  <c r="B75" i="13"/>
  <c r="K11" i="14"/>
  <c r="B46" i="13"/>
  <c r="D20" i="9"/>
  <c r="B76" i="13"/>
  <c r="D26" i="9"/>
  <c r="D24" i="9"/>
  <c r="K18" i="14"/>
  <c r="M28" i="20"/>
  <c r="E17" i="9"/>
  <c r="B79" i="13"/>
  <c r="M37" i="20"/>
  <c r="C18" i="9"/>
  <c r="E15" i="9"/>
  <c r="K23" i="14"/>
  <c r="M60" i="20"/>
  <c r="CH90" i="12"/>
  <c r="B92" i="13"/>
  <c r="M79" i="20"/>
  <c r="M63" i="20"/>
  <c r="M47" i="20"/>
  <c r="K10" i="14"/>
  <c r="CE90" i="12"/>
  <c r="CD90" i="12"/>
  <c r="CG90" i="12"/>
  <c r="K14" i="14"/>
  <c r="CI90" i="12"/>
  <c r="CC90" i="12"/>
  <c r="CF90" i="12"/>
  <c r="B84" i="13"/>
  <c r="B23" i="13"/>
  <c r="B89" i="13"/>
  <c r="B51" i="13"/>
  <c r="N24" i="14"/>
  <c r="N10" i="14"/>
  <c r="C19" i="9"/>
  <c r="N20" i="14"/>
  <c r="K27" i="14"/>
  <c r="K25" i="14"/>
  <c r="N19" i="14"/>
  <c r="N15" i="14"/>
  <c r="N9" i="14"/>
  <c r="M92" i="20"/>
  <c r="M76" i="20"/>
  <c r="E25" i="9"/>
  <c r="K12" i="14"/>
  <c r="K7" i="14"/>
  <c r="K20" i="14"/>
  <c r="M91" i="20"/>
  <c r="M75" i="20"/>
  <c r="M59" i="20"/>
  <c r="M43" i="20"/>
  <c r="K16" i="14"/>
  <c r="N27" i="14"/>
  <c r="N14" i="14"/>
  <c r="E14" i="9"/>
  <c r="M25" i="20"/>
  <c r="E14" i="20"/>
  <c r="E8" i="14" s="1"/>
  <c r="C8" i="14"/>
  <c r="E90" i="20"/>
  <c r="C27" i="14"/>
  <c r="E82" i="20"/>
  <c r="C25" i="14"/>
  <c r="E74" i="20"/>
  <c r="C23" i="14"/>
  <c r="E66" i="20"/>
  <c r="C21" i="14"/>
  <c r="E58" i="20"/>
  <c r="C19" i="14"/>
  <c r="B67" i="13"/>
  <c r="B85" i="13"/>
  <c r="B41" i="13"/>
  <c r="B13" i="13"/>
  <c r="E13" i="9"/>
  <c r="D21" i="9"/>
  <c r="M15" i="20"/>
  <c r="M93" i="20"/>
  <c r="E22" i="20"/>
  <c r="E10" i="14" s="1"/>
  <c r="C10" i="14"/>
  <c r="N8" i="14"/>
  <c r="N23" i="14"/>
  <c r="M14" i="20"/>
  <c r="L8" i="14"/>
  <c r="L27" i="14"/>
  <c r="M74" i="20"/>
  <c r="L23" i="14"/>
  <c r="M58" i="20"/>
  <c r="L19" i="14"/>
  <c r="M42" i="20"/>
  <c r="L15" i="14"/>
  <c r="M26" i="20"/>
  <c r="L11" i="14"/>
  <c r="E30" i="20"/>
  <c r="E12" i="14" s="1"/>
  <c r="C12" i="14"/>
  <c r="K13" i="14"/>
  <c r="M41" i="20"/>
  <c r="E46" i="20"/>
  <c r="E16" i="14" s="1"/>
  <c r="C16" i="14"/>
  <c r="N7" i="14"/>
  <c r="N22" i="14"/>
  <c r="N13" i="14"/>
  <c r="L7" i="14"/>
  <c r="M86" i="20"/>
  <c r="L26" i="14"/>
  <c r="M70" i="20"/>
  <c r="L22" i="14"/>
  <c r="M54" i="20"/>
  <c r="L18" i="14"/>
  <c r="M38" i="20"/>
  <c r="L14" i="14"/>
  <c r="M22" i="20"/>
  <c r="L10" i="14"/>
  <c r="K22" i="14"/>
  <c r="K15" i="14"/>
  <c r="CE70" i="12"/>
  <c r="E38" i="20"/>
  <c r="E14" i="14" s="1"/>
  <c r="C14" i="14"/>
  <c r="N18" i="14"/>
  <c r="E10" i="20"/>
  <c r="E7" i="14" s="1"/>
  <c r="C7" i="14"/>
  <c r="E94" i="20"/>
  <c r="E86" i="20"/>
  <c r="C26" i="14"/>
  <c r="E78" i="20"/>
  <c r="C24" i="14"/>
  <c r="E70" i="20"/>
  <c r="C22" i="14"/>
  <c r="E62" i="20"/>
  <c r="C20" i="14"/>
  <c r="E54" i="20"/>
  <c r="C18" i="14"/>
  <c r="N26" i="14"/>
  <c r="N17" i="14"/>
  <c r="M6" i="20"/>
  <c r="L6" i="14"/>
  <c r="M36" i="20"/>
  <c r="M18" i="20"/>
  <c r="L9" i="14"/>
  <c r="K26" i="14"/>
  <c r="K24" i="14"/>
  <c r="B26" i="13"/>
  <c r="D12" i="9"/>
  <c r="B83" i="13"/>
  <c r="M21" i="20"/>
  <c r="E26" i="20"/>
  <c r="E11" i="14" s="1"/>
  <c r="C11" i="14"/>
  <c r="E18" i="20"/>
  <c r="E9" i="14" s="1"/>
  <c r="C9" i="14"/>
  <c r="N6" i="14"/>
  <c r="N21" i="14"/>
  <c r="N11" i="14"/>
  <c r="L25" i="14"/>
  <c r="M66" i="20"/>
  <c r="L21" i="14"/>
  <c r="L17" i="14"/>
  <c r="M34" i="20"/>
  <c r="L13" i="14"/>
  <c r="K17" i="14"/>
  <c r="G10" i="19"/>
  <c r="G8" i="17"/>
  <c r="G46" i="17"/>
  <c r="G45" i="17"/>
  <c r="G47" i="17"/>
  <c r="B30" i="13"/>
  <c r="D19" i="9"/>
  <c r="B35" i="13"/>
  <c r="M83" i="20"/>
  <c r="M67" i="20"/>
  <c r="M35" i="20"/>
  <c r="E42" i="20"/>
  <c r="E15" i="14" s="1"/>
  <c r="C15" i="14"/>
  <c r="E34" i="20"/>
  <c r="E13" i="14" s="1"/>
  <c r="C13" i="14"/>
  <c r="N25" i="14"/>
  <c r="N16" i="14"/>
  <c r="M96" i="20"/>
  <c r="M80" i="20"/>
  <c r="M48" i="20"/>
  <c r="K6" i="14"/>
  <c r="K19" i="14"/>
  <c r="L20" i="14"/>
  <c r="B87" i="13"/>
  <c r="E6" i="20"/>
  <c r="E6" i="14" s="1"/>
  <c r="C6" i="14"/>
  <c r="E50" i="20"/>
  <c r="C17" i="14"/>
  <c r="M94" i="20"/>
  <c r="M78" i="20"/>
  <c r="L24" i="14"/>
  <c r="M62" i="20"/>
  <c r="M46" i="20"/>
  <c r="L16" i="14"/>
  <c r="M30" i="20"/>
  <c r="L12" i="14"/>
  <c r="K8" i="14"/>
  <c r="K21" i="14"/>
  <c r="K9" i="14"/>
  <c r="M27" i="20"/>
  <c r="M98" i="20"/>
  <c r="M90" i="20"/>
  <c r="M82" i="20"/>
  <c r="M56" i="20"/>
  <c r="M32" i="20"/>
  <c r="B72" i="20"/>
  <c r="J72" i="20"/>
  <c r="G43" i="10"/>
  <c r="B43" i="20"/>
  <c r="I43" i="20" s="1"/>
  <c r="J43" i="20"/>
  <c r="O43" i="20" s="1"/>
  <c r="B86" i="20"/>
  <c r="J86" i="20"/>
  <c r="B73" i="20"/>
  <c r="J73" i="20"/>
  <c r="B81" i="20"/>
  <c r="J81" i="20"/>
  <c r="B64" i="20"/>
  <c r="J64" i="20"/>
  <c r="B96" i="20"/>
  <c r="J96" i="20"/>
  <c r="B22" i="20"/>
  <c r="J22" i="20"/>
  <c r="B32" i="20"/>
  <c r="H32" i="20" s="1"/>
  <c r="J32" i="20"/>
  <c r="O32" i="20" s="1"/>
  <c r="B45" i="20"/>
  <c r="H45" i="20" s="1"/>
  <c r="J45" i="20"/>
  <c r="O45" i="20" s="1"/>
  <c r="B9" i="20"/>
  <c r="I9" i="20" s="1"/>
  <c r="J9" i="20"/>
  <c r="O9" i="20" s="1"/>
  <c r="B37" i="20"/>
  <c r="H37" i="20" s="1"/>
  <c r="J37" i="20"/>
  <c r="O37" i="20" s="1"/>
  <c r="G31" i="10"/>
  <c r="B31" i="20"/>
  <c r="I31" i="20" s="1"/>
  <c r="J31" i="20"/>
  <c r="O31" i="20" s="1"/>
  <c r="D10" i="9"/>
  <c r="M40" i="20"/>
  <c r="B58" i="20"/>
  <c r="J58" i="20"/>
  <c r="B36" i="20"/>
  <c r="I36" i="20" s="1"/>
  <c r="J36" i="20"/>
  <c r="O36" i="20" s="1"/>
  <c r="B78" i="20"/>
  <c r="J78" i="20"/>
  <c r="B82" i="20"/>
  <c r="J82" i="20"/>
  <c r="B89" i="20"/>
  <c r="J89" i="20"/>
  <c r="B63" i="20"/>
  <c r="J63" i="20"/>
  <c r="B20" i="20"/>
  <c r="I20" i="20" s="1"/>
  <c r="J20" i="20"/>
  <c r="O20" i="20" s="1"/>
  <c r="C14" i="9"/>
  <c r="G42" i="10"/>
  <c r="B42" i="20"/>
  <c r="J42" i="20"/>
  <c r="G29" i="10"/>
  <c r="B29" i="20"/>
  <c r="I29" i="20" s="1"/>
  <c r="J29" i="20"/>
  <c r="O29" i="20" s="1"/>
  <c r="B15" i="20"/>
  <c r="H15" i="20" s="1"/>
  <c r="J15" i="20"/>
  <c r="O15" i="20" s="1"/>
  <c r="M13" i="20"/>
  <c r="M81" i="20"/>
  <c r="M73" i="20"/>
  <c r="M65" i="20"/>
  <c r="M57" i="20"/>
  <c r="M49" i="20"/>
  <c r="M10" i="20"/>
  <c r="B85" i="20"/>
  <c r="J85" i="20"/>
  <c r="B38" i="20"/>
  <c r="J38" i="20"/>
  <c r="G7" i="10"/>
  <c r="B7" i="20"/>
  <c r="I7" i="20" s="1"/>
  <c r="J7" i="20"/>
  <c r="O7" i="20" s="1"/>
  <c r="G16" i="10"/>
  <c r="B16" i="20"/>
  <c r="I16" i="20" s="1"/>
  <c r="J16" i="20"/>
  <c r="O16" i="20" s="1"/>
  <c r="B74" i="20"/>
  <c r="J74" i="20"/>
  <c r="B57" i="20"/>
  <c r="J57" i="20"/>
  <c r="B87" i="20"/>
  <c r="J87" i="20"/>
  <c r="B56" i="20"/>
  <c r="J56" i="20"/>
  <c r="B67" i="20"/>
  <c r="J67" i="20"/>
  <c r="B75" i="20"/>
  <c r="J75" i="20"/>
  <c r="B76" i="20"/>
  <c r="J76" i="20"/>
  <c r="B90" i="20"/>
  <c r="J90" i="20"/>
  <c r="B59" i="20"/>
  <c r="J59" i="20"/>
  <c r="B52" i="20"/>
  <c r="J52" i="20"/>
  <c r="G95" i="10"/>
  <c r="B95" i="20"/>
  <c r="J95" i="20"/>
  <c r="G40" i="10"/>
  <c r="B40" i="20"/>
  <c r="I40" i="20" s="1"/>
  <c r="J40" i="20"/>
  <c r="O40" i="20" s="1"/>
  <c r="B24" i="20"/>
  <c r="H24" i="20" s="1"/>
  <c r="J24" i="20"/>
  <c r="O24" i="20" s="1"/>
  <c r="G27" i="10"/>
  <c r="B27" i="20"/>
  <c r="I27" i="20" s="1"/>
  <c r="J27" i="20"/>
  <c r="O27" i="20" s="1"/>
  <c r="E20" i="9"/>
  <c r="M89" i="20"/>
  <c r="M11" i="20"/>
  <c r="M72" i="20"/>
  <c r="B69" i="20"/>
  <c r="J69" i="20"/>
  <c r="B53" i="20"/>
  <c r="J53" i="20"/>
  <c r="B79" i="20"/>
  <c r="J79" i="20"/>
  <c r="B71" i="20"/>
  <c r="J71" i="20"/>
  <c r="B83" i="20"/>
  <c r="J83" i="20"/>
  <c r="B55" i="20"/>
  <c r="J55" i="20"/>
  <c r="B54" i="20"/>
  <c r="J54" i="20"/>
  <c r="B11" i="20"/>
  <c r="H11" i="20" s="1"/>
  <c r="J11" i="20"/>
  <c r="O11" i="20" s="1"/>
  <c r="B26" i="20"/>
  <c r="J26" i="20"/>
  <c r="B21" i="20"/>
  <c r="H21" i="20" s="1"/>
  <c r="J21" i="20"/>
  <c r="O21" i="20" s="1"/>
  <c r="B44" i="20"/>
  <c r="H44" i="20" s="1"/>
  <c r="J44" i="20"/>
  <c r="O44" i="20" s="1"/>
  <c r="G47" i="10"/>
  <c r="B47" i="20"/>
  <c r="H47" i="20" s="1"/>
  <c r="J47" i="20"/>
  <c r="O47" i="20" s="1"/>
  <c r="B94" i="20"/>
  <c r="J94" i="20"/>
  <c r="B34" i="20"/>
  <c r="J34" i="20"/>
  <c r="G19" i="10"/>
  <c r="B19" i="20"/>
  <c r="H19" i="20" s="1"/>
  <c r="J19" i="20"/>
  <c r="O19" i="20" s="1"/>
  <c r="M97" i="20"/>
  <c r="M39" i="20"/>
  <c r="M31" i="20"/>
  <c r="M23" i="20"/>
  <c r="B77" i="20"/>
  <c r="J77" i="20"/>
  <c r="B84" i="20"/>
  <c r="J84" i="20"/>
  <c r="B51" i="20"/>
  <c r="J51" i="20"/>
  <c r="B12" i="20"/>
  <c r="H12" i="20" s="1"/>
  <c r="J12" i="20"/>
  <c r="O12" i="20" s="1"/>
  <c r="B8" i="20"/>
  <c r="H8" i="20" s="1"/>
  <c r="J8" i="20"/>
  <c r="O8" i="20" s="1"/>
  <c r="B18" i="20"/>
  <c r="J18" i="20"/>
  <c r="B28" i="20"/>
  <c r="H28" i="20" s="1"/>
  <c r="J28" i="20"/>
  <c r="O28" i="20" s="1"/>
  <c r="B41" i="20"/>
  <c r="H41" i="20" s="1"/>
  <c r="J41" i="20"/>
  <c r="O41" i="20" s="1"/>
  <c r="G33" i="10"/>
  <c r="B33" i="20"/>
  <c r="H33" i="20" s="1"/>
  <c r="J33" i="20"/>
  <c r="O33" i="20" s="1"/>
  <c r="P33" i="20" s="1"/>
  <c r="G97" i="10"/>
  <c r="B97" i="20"/>
  <c r="J97" i="20"/>
  <c r="G13" i="10"/>
  <c r="B13" i="20"/>
  <c r="H13" i="20" s="1"/>
  <c r="J13" i="20"/>
  <c r="O13" i="20" s="1"/>
  <c r="B61" i="20"/>
  <c r="J61" i="20"/>
  <c r="B88" i="20"/>
  <c r="J88" i="20"/>
  <c r="B70" i="20"/>
  <c r="J70" i="20"/>
  <c r="B92" i="20"/>
  <c r="J92" i="20"/>
  <c r="B65" i="20"/>
  <c r="J65" i="20"/>
  <c r="B80" i="20"/>
  <c r="J80" i="20"/>
  <c r="B35" i="20"/>
  <c r="I35" i="20" s="1"/>
  <c r="J35" i="20"/>
  <c r="O35" i="20" s="1"/>
  <c r="B62" i="20"/>
  <c r="J62" i="20"/>
  <c r="B17" i="20"/>
  <c r="H17" i="20" s="1"/>
  <c r="J17" i="20"/>
  <c r="O17" i="20" s="1"/>
  <c r="P17" i="20" s="1"/>
  <c r="B23" i="20"/>
  <c r="H23" i="20" s="1"/>
  <c r="J23" i="20"/>
  <c r="O23" i="20" s="1"/>
  <c r="B10" i="20"/>
  <c r="J10" i="20"/>
  <c r="G14" i="10"/>
  <c r="B14" i="20"/>
  <c r="J14" i="20"/>
  <c r="G49" i="10"/>
  <c r="B49" i="20"/>
  <c r="H49" i="20" s="1"/>
  <c r="J49" i="20"/>
  <c r="O49" i="20" s="1"/>
  <c r="B50" i="20"/>
  <c r="J50" i="20"/>
  <c r="D17" i="9"/>
  <c r="M9" i="20"/>
  <c r="M85" i="20"/>
  <c r="M77" i="20"/>
  <c r="M69" i="20"/>
  <c r="M61" i="20"/>
  <c r="B91" i="20"/>
  <c r="J91" i="20"/>
  <c r="B60" i="20"/>
  <c r="J60" i="20"/>
  <c r="B98" i="20"/>
  <c r="J98" i="20"/>
  <c r="B68" i="20"/>
  <c r="J68" i="20"/>
  <c r="B93" i="20"/>
  <c r="J93" i="20"/>
  <c r="B66" i="20"/>
  <c r="J66" i="20"/>
  <c r="B30" i="20"/>
  <c r="J30" i="20"/>
  <c r="B46" i="20"/>
  <c r="J46" i="20"/>
  <c r="B6" i="20"/>
  <c r="J6" i="20"/>
  <c r="B39" i="20"/>
  <c r="I39" i="20" s="1"/>
  <c r="J39" i="20"/>
  <c r="O39" i="20" s="1"/>
  <c r="G48" i="10"/>
  <c r="B48" i="20"/>
  <c r="H48" i="20" s="1"/>
  <c r="J48" i="20"/>
  <c r="O48" i="20" s="1"/>
  <c r="B25" i="20"/>
  <c r="H25" i="20" s="1"/>
  <c r="J25" i="20"/>
  <c r="O25" i="20" s="1"/>
  <c r="M68" i="20"/>
  <c r="M50" i="20"/>
  <c r="E6" i="9"/>
  <c r="E21" i="9"/>
  <c r="D23" i="9"/>
  <c r="C16" i="9"/>
  <c r="E16" i="9"/>
  <c r="AE9" i="9"/>
  <c r="AE21" i="9"/>
  <c r="AE28" i="9"/>
  <c r="AE8" i="9"/>
  <c r="AE18" i="9"/>
  <c r="B65" i="13"/>
  <c r="AE6" i="9"/>
  <c r="AE24" i="9"/>
  <c r="B90" i="13"/>
  <c r="B82" i="13"/>
  <c r="AE14" i="9"/>
  <c r="B18" i="13"/>
  <c r="B20" i="13"/>
  <c r="AE12" i="9"/>
  <c r="AE26" i="9"/>
  <c r="AE11" i="9"/>
  <c r="AE19" i="9"/>
  <c r="B97" i="13"/>
  <c r="AE22" i="9"/>
  <c r="AE10" i="9"/>
  <c r="AE15" i="9"/>
  <c r="AE17" i="9"/>
  <c r="AE13" i="9"/>
  <c r="AE25" i="9"/>
  <c r="AE27" i="9"/>
  <c r="AE16" i="9"/>
  <c r="AE23" i="9"/>
  <c r="AE7" i="9"/>
  <c r="AE20" i="9"/>
  <c r="B28" i="13"/>
  <c r="CC21" i="12"/>
  <c r="B73" i="13"/>
  <c r="G24" i="10"/>
  <c r="G15" i="10"/>
  <c r="G28" i="10"/>
  <c r="G34" i="19"/>
  <c r="C11" i="9"/>
  <c r="C6" i="9"/>
  <c r="C24" i="9"/>
  <c r="B36" i="13"/>
  <c r="B49" i="13"/>
  <c r="B39" i="13"/>
  <c r="E11" i="9"/>
  <c r="D11" i="9"/>
  <c r="G27" i="19"/>
  <c r="G29" i="19"/>
  <c r="B10" i="13"/>
  <c r="D8" i="9"/>
  <c r="C10" i="9"/>
  <c r="C21" i="9"/>
  <c r="E27" i="9"/>
  <c r="D15" i="9"/>
  <c r="B99" i="13"/>
  <c r="CD99" i="12"/>
  <c r="D23" i="19"/>
  <c r="B33" i="13"/>
  <c r="G17" i="19"/>
  <c r="D9" i="9"/>
  <c r="D27" i="9"/>
  <c r="G22" i="19"/>
  <c r="D20" i="19"/>
  <c r="C23" i="9"/>
  <c r="D15" i="19"/>
  <c r="E24" i="9"/>
  <c r="D25" i="9"/>
  <c r="D13" i="9"/>
  <c r="G94" i="10"/>
  <c r="C7" i="9"/>
  <c r="C13" i="9"/>
  <c r="C27" i="9"/>
  <c r="C9" i="9"/>
  <c r="D16" i="9"/>
  <c r="C12" i="9"/>
  <c r="D7" i="9"/>
  <c r="C20" i="9"/>
  <c r="D18" i="9"/>
  <c r="E9" i="9"/>
  <c r="G25" i="10"/>
  <c r="G34" i="10"/>
  <c r="G41" i="10"/>
  <c r="C25" i="9"/>
  <c r="G50" i="10"/>
  <c r="C8" i="9"/>
  <c r="D22" i="9"/>
  <c r="D6" i="9"/>
  <c r="E12" i="9"/>
  <c r="D28" i="9"/>
  <c r="C15" i="9"/>
  <c r="D15" i="8"/>
  <c r="E74" i="5"/>
  <c r="E72" i="5"/>
  <c r="E71" i="5"/>
  <c r="B69" i="13"/>
  <c r="CC69" i="12"/>
  <c r="CC37" i="12"/>
  <c r="B37" i="13"/>
  <c r="B40" i="13"/>
  <c r="CC40" i="12"/>
  <c r="B72" i="13"/>
  <c r="CC72" i="12"/>
  <c r="B14" i="13"/>
  <c r="CF14" i="12"/>
  <c r="B74" i="13"/>
  <c r="CC74" i="12"/>
  <c r="B64" i="13"/>
  <c r="CC64" i="12"/>
  <c r="G87" i="10"/>
  <c r="G69" i="10"/>
  <c r="G78" i="10"/>
  <c r="G56" i="10"/>
  <c r="G82" i="10"/>
  <c r="G30" i="10"/>
  <c r="G22" i="10"/>
  <c r="G63" i="10"/>
  <c r="G8" i="10"/>
  <c r="D35" i="19"/>
  <c r="B93" i="13"/>
  <c r="CD93" i="12"/>
  <c r="B25" i="13"/>
  <c r="CC29" i="12"/>
  <c r="B29" i="13"/>
  <c r="B24" i="13"/>
  <c r="CC24" i="12"/>
  <c r="B55" i="13"/>
  <c r="CD55" i="12"/>
  <c r="CD16" i="12"/>
  <c r="B16" i="13"/>
  <c r="G98" i="10"/>
  <c r="G93" i="10"/>
  <c r="G71" i="10"/>
  <c r="G35" i="10"/>
  <c r="E10" i="9"/>
  <c r="G46" i="10"/>
  <c r="G26" i="10"/>
  <c r="G21" i="10"/>
  <c r="G39" i="17"/>
  <c r="G30" i="17"/>
  <c r="G36" i="17"/>
  <c r="G37" i="17"/>
  <c r="G35" i="17"/>
  <c r="G33" i="17"/>
  <c r="G23" i="17"/>
  <c r="G13" i="17"/>
  <c r="G34" i="17"/>
  <c r="G32" i="17"/>
  <c r="G29" i="17"/>
  <c r="G20" i="17"/>
  <c r="G10" i="17"/>
  <c r="G28" i="17"/>
  <c r="G25" i="17"/>
  <c r="G16" i="17"/>
  <c r="G22" i="17"/>
  <c r="G12" i="17"/>
  <c r="G27" i="17"/>
  <c r="G18" i="17"/>
  <c r="G24" i="17"/>
  <c r="G14" i="17"/>
  <c r="G21" i="17"/>
  <c r="G11" i="17"/>
  <c r="G17" i="17"/>
  <c r="G42" i="17"/>
  <c r="G38" i="17"/>
  <c r="G26" i="17"/>
  <c r="G41" i="17"/>
  <c r="G40" i="17"/>
  <c r="H6" i="17"/>
  <c r="B96" i="13"/>
  <c r="CC96" i="12"/>
  <c r="B94" i="13"/>
  <c r="CC94" i="12"/>
  <c r="B61" i="13"/>
  <c r="CC61" i="12"/>
  <c r="B56" i="13"/>
  <c r="CC56" i="12"/>
  <c r="B58" i="13"/>
  <c r="CC58" i="12"/>
  <c r="B48" i="13"/>
  <c r="CC48" i="12"/>
  <c r="G67" i="10"/>
  <c r="G96" i="10"/>
  <c r="G84" i="10"/>
  <c r="G66" i="10"/>
  <c r="G59" i="10"/>
  <c r="G36" i="10"/>
  <c r="G44" i="10"/>
  <c r="B81" i="13"/>
  <c r="CC81" i="12"/>
  <c r="B11" i="13"/>
  <c r="CC11" i="12"/>
  <c r="B32" i="13"/>
  <c r="CC32" i="12"/>
  <c r="B63" i="13"/>
  <c r="CD63" i="12"/>
  <c r="G65" i="10"/>
  <c r="G73" i="10"/>
  <c r="G64" i="10"/>
  <c r="G53" i="10"/>
  <c r="G75" i="10"/>
  <c r="G85" i="10"/>
  <c r="G32" i="10"/>
  <c r="G52" i="10"/>
  <c r="D13" i="19"/>
  <c r="G30" i="19"/>
  <c r="G20" i="19"/>
  <c r="G21" i="19"/>
  <c r="H8" i="19"/>
  <c r="G16" i="19"/>
  <c r="G35" i="19"/>
  <c r="G13" i="19"/>
  <c r="G36" i="19"/>
  <c r="G14" i="19"/>
  <c r="G33" i="19"/>
  <c r="G28" i="19"/>
  <c r="G23" i="19"/>
  <c r="G24" i="19"/>
  <c r="B53" i="13"/>
  <c r="CC53" i="12"/>
  <c r="B9" i="13"/>
  <c r="CC9" i="12"/>
  <c r="CD8" i="12"/>
  <c r="B8" i="13"/>
  <c r="B31" i="13"/>
  <c r="G86" i="10"/>
  <c r="B66" i="13"/>
  <c r="CC66" i="12"/>
  <c r="G88" i="10"/>
  <c r="G79" i="10"/>
  <c r="G89" i="10"/>
  <c r="G51" i="10"/>
  <c r="G6" i="10"/>
  <c r="G18" i="10"/>
  <c r="D28" i="19"/>
  <c r="D16" i="19"/>
  <c r="D29" i="19"/>
  <c r="D24" i="19"/>
  <c r="D21" i="19"/>
  <c r="D22" i="19"/>
  <c r="D17" i="19"/>
  <c r="D36" i="19"/>
  <c r="D14" i="19"/>
  <c r="D10" i="19"/>
  <c r="D34" i="19"/>
  <c r="D33" i="19"/>
  <c r="D30" i="19"/>
  <c r="B98" i="13"/>
  <c r="B88" i="13"/>
  <c r="CC88" i="12"/>
  <c r="CC19" i="12"/>
  <c r="B19" i="13"/>
  <c r="B47" i="13"/>
  <c r="CD47" i="12"/>
  <c r="G70" i="10"/>
  <c r="G92" i="10"/>
  <c r="G57" i="10"/>
  <c r="G81" i="10"/>
  <c r="G72" i="10"/>
  <c r="G76" i="10"/>
  <c r="G62" i="10"/>
  <c r="G54" i="10"/>
  <c r="G20" i="10"/>
  <c r="G11" i="10"/>
  <c r="G39" i="10"/>
  <c r="B77" i="13"/>
  <c r="CC77" i="12"/>
  <c r="CC45" i="12"/>
  <c r="B45" i="13"/>
  <c r="B86" i="13"/>
  <c r="CC86" i="12"/>
  <c r="CC17" i="12"/>
  <c r="B17" i="13"/>
  <c r="B6" i="13"/>
  <c r="CF6" i="12"/>
  <c r="CF27" i="12"/>
  <c r="B27" i="13"/>
  <c r="B50" i="13"/>
  <c r="CC50" i="12"/>
  <c r="G91" i="10"/>
  <c r="G74" i="10"/>
  <c r="G80" i="10"/>
  <c r="G60" i="10"/>
  <c r="G99" i="10"/>
  <c r="G58" i="10"/>
  <c r="G90" i="10"/>
  <c r="G55" i="10"/>
  <c r="G45" i="10"/>
  <c r="G17" i="10"/>
  <c r="G9" i="10"/>
  <c r="D47" i="17"/>
  <c r="D37" i="17"/>
  <c r="D28" i="17"/>
  <c r="D42" i="17"/>
  <c r="D34" i="17"/>
  <c r="D45" i="17"/>
  <c r="D41" i="17"/>
  <c r="D39" i="17"/>
  <c r="D21" i="17"/>
  <c r="D11" i="17"/>
  <c r="D40" i="17"/>
  <c r="D38" i="17"/>
  <c r="D36" i="17"/>
  <c r="D26" i="17"/>
  <c r="D17" i="17"/>
  <c r="D35" i="17"/>
  <c r="D33" i="17"/>
  <c r="D30" i="17"/>
  <c r="D23" i="17"/>
  <c r="D13" i="17"/>
  <c r="D32" i="17"/>
  <c r="D29" i="17"/>
  <c r="D20" i="17"/>
  <c r="D10" i="17"/>
  <c r="D25" i="17"/>
  <c r="D16" i="17"/>
  <c r="D22" i="17"/>
  <c r="D12" i="17"/>
  <c r="D27" i="17"/>
  <c r="D24" i="17"/>
  <c r="D14" i="17"/>
  <c r="D18" i="17"/>
  <c r="D46" i="17"/>
  <c r="B57" i="13"/>
  <c r="B80" i="13"/>
  <c r="CC80" i="12"/>
  <c r="B71" i="13"/>
  <c r="CD71" i="12"/>
  <c r="B43" i="13"/>
  <c r="G61" i="10"/>
  <c r="G68" i="10"/>
  <c r="G77" i="10"/>
  <c r="G83" i="10"/>
  <c r="G12" i="10"/>
  <c r="G23" i="10"/>
  <c r="G10" i="10"/>
  <c r="G38" i="10"/>
  <c r="B13" i="5"/>
  <c r="F10" i="5"/>
  <c r="C11" i="8"/>
  <c r="F20" i="8"/>
  <c r="C17" i="5"/>
  <c r="B8" i="5"/>
  <c r="B23" i="6"/>
  <c r="C12" i="8"/>
  <c r="F29" i="5"/>
  <c r="C9" i="8"/>
  <c r="C8" i="8"/>
  <c r="E22" i="5"/>
  <c r="C14" i="8"/>
  <c r="C7" i="5"/>
  <c r="F9" i="8"/>
  <c r="F21" i="5"/>
  <c r="F16" i="5"/>
  <c r="F28" i="5"/>
  <c r="F22" i="5"/>
  <c r="B7" i="5"/>
  <c r="C27" i="5"/>
  <c r="H13" i="6"/>
  <c r="B17" i="5"/>
  <c r="C22" i="8"/>
  <c r="C10" i="8"/>
  <c r="F10" i="8"/>
  <c r="B21" i="5"/>
  <c r="F6" i="8"/>
  <c r="B30" i="5"/>
  <c r="B19" i="5"/>
  <c r="B23" i="5"/>
  <c r="B6" i="5"/>
  <c r="B18" i="5"/>
  <c r="E29" i="5"/>
  <c r="F15" i="5"/>
  <c r="F21" i="8"/>
  <c r="E14" i="5"/>
  <c r="B20" i="5"/>
  <c r="C20" i="5"/>
  <c r="E10" i="5"/>
  <c r="F5" i="5"/>
  <c r="B25" i="5"/>
  <c r="B22" i="5"/>
  <c r="E9" i="5"/>
  <c r="F22" i="8"/>
  <c r="F16" i="8"/>
  <c r="C16" i="5"/>
  <c r="C9" i="5"/>
  <c r="F11" i="8"/>
  <c r="F27" i="5"/>
  <c r="F14" i="8"/>
  <c r="C22" i="5"/>
  <c r="C19" i="8"/>
  <c r="E8" i="5"/>
  <c r="E23" i="5"/>
  <c r="C21" i="5"/>
  <c r="B26" i="5"/>
  <c r="C17" i="8"/>
  <c r="F19" i="5"/>
  <c r="D13" i="6"/>
  <c r="B16" i="5"/>
  <c r="B9" i="5"/>
  <c r="B5" i="5"/>
  <c r="F18" i="5"/>
  <c r="C16" i="8"/>
  <c r="C25" i="5"/>
  <c r="F23" i="5"/>
  <c r="B27" i="5"/>
  <c r="B28" i="5"/>
  <c r="B15" i="5"/>
  <c r="C30" i="5"/>
  <c r="F6" i="5"/>
  <c r="C18" i="8"/>
  <c r="C28" i="5"/>
  <c r="C15" i="5"/>
  <c r="C7" i="8"/>
  <c r="F13" i="5"/>
  <c r="F18" i="8"/>
  <c r="C19" i="5"/>
  <c r="C13" i="8"/>
  <c r="F5" i="8"/>
  <c r="F15" i="8"/>
  <c r="F9" i="5"/>
  <c r="C5" i="8"/>
  <c r="C23" i="5"/>
  <c r="C26" i="5"/>
  <c r="F7" i="5"/>
  <c r="F19" i="8"/>
  <c r="F30" i="5"/>
  <c r="F8" i="8"/>
  <c r="C8" i="5"/>
  <c r="F17" i="5"/>
  <c r="C13" i="5"/>
  <c r="F8" i="5"/>
  <c r="F25" i="5"/>
  <c r="C6" i="8"/>
  <c r="C5" i="5"/>
  <c r="F20" i="5"/>
  <c r="C6" i="5"/>
  <c r="F17" i="8"/>
  <c r="F12" i="8"/>
  <c r="C21" i="8"/>
  <c r="F26" i="5"/>
  <c r="F14" i="5"/>
  <c r="F13" i="8"/>
  <c r="C20" i="8"/>
  <c r="C18" i="5"/>
  <c r="P20" i="20" l="1"/>
  <c r="P8" i="20"/>
  <c r="P45" i="20"/>
  <c r="P29" i="20"/>
  <c r="D91" i="12"/>
  <c r="BA91" i="11" s="1"/>
  <c r="D96" i="12"/>
  <c r="BA96" i="11" s="1"/>
  <c r="H95" i="12"/>
  <c r="BD67" i="11"/>
  <c r="AU67" i="11" s="1"/>
  <c r="AW95" i="11"/>
  <c r="E22" i="14"/>
  <c r="O68" i="20"/>
  <c r="P68" i="20" s="1"/>
  <c r="I51" i="20"/>
  <c r="H69" i="20"/>
  <c r="O52" i="20"/>
  <c r="P52" i="20" s="1"/>
  <c r="O57" i="20"/>
  <c r="P57" i="20" s="1"/>
  <c r="O63" i="20"/>
  <c r="P63" i="20" s="1"/>
  <c r="O72" i="20"/>
  <c r="I68" i="20"/>
  <c r="O71" i="20"/>
  <c r="P71" i="20" s="1"/>
  <c r="I52" i="20"/>
  <c r="H57" i="20"/>
  <c r="H63" i="20"/>
  <c r="O73" i="20"/>
  <c r="P73" i="20" s="1"/>
  <c r="H72" i="20"/>
  <c r="E19" i="14"/>
  <c r="O51" i="20"/>
  <c r="O69" i="20"/>
  <c r="P69" i="20" s="1"/>
  <c r="O65" i="20"/>
  <c r="O61" i="20"/>
  <c r="P61" i="20" s="1"/>
  <c r="H71" i="20"/>
  <c r="O59" i="20"/>
  <c r="P59" i="20" s="1"/>
  <c r="O67" i="20"/>
  <c r="P67" i="20" s="1"/>
  <c r="I73" i="20"/>
  <c r="H65" i="20"/>
  <c r="E18" i="14"/>
  <c r="O60" i="20"/>
  <c r="O56" i="20"/>
  <c r="E17" i="14"/>
  <c r="I61" i="20"/>
  <c r="H59" i="20"/>
  <c r="I67" i="20"/>
  <c r="E21" i="14"/>
  <c r="H60" i="20"/>
  <c r="O55" i="20"/>
  <c r="O53" i="20"/>
  <c r="I56" i="20"/>
  <c r="O64" i="20"/>
  <c r="E20" i="14"/>
  <c r="I55" i="20"/>
  <c r="H53" i="20"/>
  <c r="H64" i="20"/>
  <c r="P19" i="20"/>
  <c r="P44" i="20"/>
  <c r="P28" i="20"/>
  <c r="P12" i="20"/>
  <c r="P16" i="20"/>
  <c r="P7" i="20"/>
  <c r="H30" i="9"/>
  <c r="AS96" i="11"/>
  <c r="AS90" i="11"/>
  <c r="AW99" i="11"/>
  <c r="AW96" i="11"/>
  <c r="AS95" i="11"/>
  <c r="J96" i="12"/>
  <c r="C99" i="12"/>
  <c r="F82" i="12"/>
  <c r="Z10" i="9"/>
  <c r="K21" i="9"/>
  <c r="Z12" i="9"/>
  <c r="K12" i="9"/>
  <c r="K11" i="9"/>
  <c r="K14" i="9"/>
  <c r="K22" i="9"/>
  <c r="K7" i="9"/>
  <c r="K10" i="9"/>
  <c r="K9" i="9"/>
  <c r="K15" i="9"/>
  <c r="K13" i="9"/>
  <c r="K8" i="9"/>
  <c r="Z14" i="9"/>
  <c r="K6" i="9"/>
  <c r="K27" i="9"/>
  <c r="K24" i="9"/>
  <c r="K26" i="9"/>
  <c r="K19" i="9"/>
  <c r="AS99" i="11"/>
  <c r="AS97" i="11"/>
  <c r="K20" i="9"/>
  <c r="K18" i="9"/>
  <c r="K25" i="9"/>
  <c r="K17" i="9"/>
  <c r="K16" i="9"/>
  <c r="K23" i="9"/>
  <c r="AS44" i="11"/>
  <c r="AW79" i="11"/>
  <c r="AS13" i="11"/>
  <c r="AW47" i="11"/>
  <c r="AW72" i="11"/>
  <c r="AS34" i="11"/>
  <c r="AS15" i="11"/>
  <c r="AW78" i="11"/>
  <c r="AW41" i="11"/>
  <c r="AW73" i="11"/>
  <c r="AW97" i="11"/>
  <c r="AS56" i="11"/>
  <c r="AW34" i="11"/>
  <c r="AS67" i="11"/>
  <c r="AW18" i="11"/>
  <c r="AW31" i="11"/>
  <c r="AS45" i="11"/>
  <c r="AS76" i="11"/>
  <c r="AW40" i="11"/>
  <c r="AW13" i="11"/>
  <c r="AS74" i="11"/>
  <c r="AS39" i="11"/>
  <c r="AS69" i="11"/>
  <c r="AW84" i="11"/>
  <c r="AS32" i="11"/>
  <c r="AW14" i="11"/>
  <c r="AS70" i="11"/>
  <c r="AW43" i="11"/>
  <c r="AW77" i="11"/>
  <c r="AW6" i="11"/>
  <c r="AS38" i="11"/>
  <c r="AW67" i="11"/>
  <c r="AW12" i="11"/>
  <c r="AS27" i="11"/>
  <c r="AW45" i="11"/>
  <c r="AS88" i="11"/>
  <c r="AW46" i="11"/>
  <c r="AW27" i="11"/>
  <c r="AS65" i="11"/>
  <c r="AW28" i="11"/>
  <c r="AW52" i="11"/>
  <c r="AS87" i="11"/>
  <c r="AS43" i="11"/>
  <c r="AS52" i="11"/>
  <c r="AW87" i="11"/>
  <c r="AS17" i="11"/>
  <c r="AW55" i="11"/>
  <c r="AW80" i="11"/>
  <c r="AS42" i="11"/>
  <c r="AS23" i="11"/>
  <c r="AW86" i="11"/>
  <c r="AW49" i="11"/>
  <c r="AW81" i="11"/>
  <c r="AS16" i="11"/>
  <c r="AW42" i="11"/>
  <c r="AS75" i="11"/>
  <c r="AS8" i="11"/>
  <c r="AW74" i="11"/>
  <c r="AS53" i="11"/>
  <c r="AS84" i="11"/>
  <c r="AW48" i="11"/>
  <c r="AW21" i="11"/>
  <c r="AS82" i="11"/>
  <c r="AS47" i="11"/>
  <c r="AS77" i="11"/>
  <c r="AW92" i="11"/>
  <c r="AS40" i="11"/>
  <c r="AS20" i="11"/>
  <c r="AS78" i="11"/>
  <c r="AW51" i="11"/>
  <c r="AW85" i="11"/>
  <c r="AW16" i="11"/>
  <c r="AS46" i="11"/>
  <c r="AW75" i="11"/>
  <c r="AW8" i="11"/>
  <c r="AW20" i="11"/>
  <c r="AW53" i="11"/>
  <c r="AS28" i="11"/>
  <c r="AW54" i="11"/>
  <c r="AS41" i="11"/>
  <c r="AS73" i="11"/>
  <c r="AS22" i="11"/>
  <c r="AW60" i="11"/>
  <c r="AW17" i="11"/>
  <c r="AS51" i="11"/>
  <c r="AW90" i="11"/>
  <c r="AW15" i="11"/>
  <c r="AW26" i="11"/>
  <c r="AW58" i="11"/>
  <c r="AS12" i="11"/>
  <c r="AS25" i="11"/>
  <c r="AW63" i="11"/>
  <c r="AW88" i="11"/>
  <c r="AS50" i="11"/>
  <c r="AS31" i="11"/>
  <c r="AS18" i="11"/>
  <c r="AW57" i="11"/>
  <c r="AW89" i="11"/>
  <c r="AW10" i="11"/>
  <c r="AW50" i="11"/>
  <c r="AS83" i="11"/>
  <c r="AW11" i="11"/>
  <c r="AW82" i="11"/>
  <c r="AS61" i="11"/>
  <c r="AS92" i="11"/>
  <c r="AW56" i="11"/>
  <c r="AW29" i="11"/>
  <c r="AS9" i="11"/>
  <c r="AS55" i="11"/>
  <c r="AS85" i="11"/>
  <c r="AW68" i="11"/>
  <c r="AS6" i="11"/>
  <c r="AS48" i="11"/>
  <c r="AS21" i="11"/>
  <c r="AS86" i="11"/>
  <c r="AW59" i="11"/>
  <c r="AW93" i="11"/>
  <c r="AW24" i="11"/>
  <c r="AS54" i="11"/>
  <c r="AW83" i="11"/>
  <c r="AS11" i="11"/>
  <c r="AW9" i="11"/>
  <c r="AW61" i="11"/>
  <c r="AS72" i="11"/>
  <c r="AS7" i="11"/>
  <c r="AS60" i="11"/>
  <c r="AS49" i="11"/>
  <c r="AS81" i="11"/>
  <c r="AW36" i="11"/>
  <c r="AS71" i="11"/>
  <c r="AW25" i="11"/>
  <c r="AS59" i="11"/>
  <c r="AS36" i="11"/>
  <c r="AW71" i="11"/>
  <c r="AW22" i="11"/>
  <c r="AW39" i="11"/>
  <c r="AS26" i="11"/>
  <c r="AS33" i="11"/>
  <c r="AS58" i="11"/>
  <c r="AW70" i="11"/>
  <c r="AW33" i="11"/>
  <c r="AW65" i="11"/>
  <c r="AW30" i="11"/>
  <c r="AS64" i="11"/>
  <c r="AS91" i="11"/>
  <c r="AW23" i="11"/>
  <c r="AS37" i="11"/>
  <c r="AS68" i="11"/>
  <c r="AS14" i="11"/>
  <c r="AW64" i="11"/>
  <c r="AS66" i="11"/>
  <c r="AS10" i="11"/>
  <c r="AS63" i="11"/>
  <c r="AS93" i="11"/>
  <c r="AW76" i="11"/>
  <c r="AS24" i="11"/>
  <c r="AW62" i="11"/>
  <c r="AS29" i="11"/>
  <c r="AW35" i="11"/>
  <c r="AW69" i="11"/>
  <c r="AS30" i="11"/>
  <c r="AW7" i="11"/>
  <c r="AS62" i="11"/>
  <c r="AW91" i="11"/>
  <c r="AS19" i="11"/>
  <c r="AW37" i="11"/>
  <c r="AS80" i="11"/>
  <c r="AW38" i="11"/>
  <c r="AW19" i="11"/>
  <c r="AS57" i="11"/>
  <c r="AS89" i="11"/>
  <c r="AW44" i="11"/>
  <c r="AS79" i="11"/>
  <c r="AS35" i="11"/>
  <c r="G95" i="12"/>
  <c r="J97" i="12"/>
  <c r="U70" i="10"/>
  <c r="CB70" i="12"/>
  <c r="Z21" i="9"/>
  <c r="J99" i="12"/>
  <c r="Z17" i="9"/>
  <c r="Z22" i="9"/>
  <c r="Z27" i="9"/>
  <c r="Z18" i="9"/>
  <c r="D97" i="12"/>
  <c r="Z19" i="9"/>
  <c r="Z20" i="9"/>
  <c r="Z23" i="9"/>
  <c r="D95" i="12"/>
  <c r="G97" i="12"/>
  <c r="H97" i="12"/>
  <c r="F97" i="12"/>
  <c r="CB38" i="12"/>
  <c r="G65" i="12"/>
  <c r="G35" i="12"/>
  <c r="J85" i="12"/>
  <c r="F38" i="12"/>
  <c r="D57" i="12"/>
  <c r="G41" i="12"/>
  <c r="D62" i="12"/>
  <c r="H15" i="12"/>
  <c r="G87" i="12"/>
  <c r="H62" i="12"/>
  <c r="H12" i="12"/>
  <c r="J36" i="12"/>
  <c r="F79" i="12"/>
  <c r="F32" i="12"/>
  <c r="J17" i="12"/>
  <c r="C76" i="12"/>
  <c r="G28" i="12"/>
  <c r="G44" i="12"/>
  <c r="H36" i="12"/>
  <c r="C39" i="12"/>
  <c r="F45" i="12"/>
  <c r="F28" i="12"/>
  <c r="G79" i="12"/>
  <c r="D71" i="12"/>
  <c r="C80" i="12"/>
  <c r="C45" i="12"/>
  <c r="D47" i="12"/>
  <c r="C66" i="12"/>
  <c r="C53" i="12"/>
  <c r="Z13" i="9"/>
  <c r="Z7" i="9"/>
  <c r="CB36" i="12"/>
  <c r="CB82" i="12"/>
  <c r="CB41" i="12"/>
  <c r="U89" i="10"/>
  <c r="H90" i="12"/>
  <c r="J90" i="12"/>
  <c r="CB46" i="12"/>
  <c r="U62" i="10"/>
  <c r="U7" i="10"/>
  <c r="U26" i="10"/>
  <c r="CB22" i="12"/>
  <c r="J54" i="12"/>
  <c r="H27" i="12"/>
  <c r="F9" i="12"/>
  <c r="J18" i="12"/>
  <c r="H55" i="12"/>
  <c r="D18" i="12"/>
  <c r="F37" i="12"/>
  <c r="H65" i="12"/>
  <c r="G39" i="12"/>
  <c r="D44" i="12"/>
  <c r="D43" i="12"/>
  <c r="G60" i="12"/>
  <c r="J69" i="12"/>
  <c r="G21" i="12"/>
  <c r="C88" i="12"/>
  <c r="AQ13" i="11"/>
  <c r="G27" i="12"/>
  <c r="C77" i="12"/>
  <c r="D8" i="12"/>
  <c r="BA8" i="11" s="1"/>
  <c r="C56" i="12"/>
  <c r="C61" i="12"/>
  <c r="C64" i="12"/>
  <c r="G14" i="12"/>
  <c r="BD14" i="11" s="1"/>
  <c r="C40" i="12"/>
  <c r="AZ40" i="11" s="1"/>
  <c r="U73" i="10"/>
  <c r="CB90" i="12"/>
  <c r="U83" i="10"/>
  <c r="CB85" i="12"/>
  <c r="CB23" i="12"/>
  <c r="D90" i="12"/>
  <c r="U34" i="10"/>
  <c r="U12" i="10"/>
  <c r="C22" i="12"/>
  <c r="C62" i="12"/>
  <c r="G74" i="12"/>
  <c r="D6" i="12"/>
  <c r="H49" i="12"/>
  <c r="J66" i="12"/>
  <c r="J9" i="12"/>
  <c r="C28" i="12"/>
  <c r="G47" i="12"/>
  <c r="G63" i="12"/>
  <c r="G80" i="12"/>
  <c r="J24" i="12"/>
  <c r="D52" i="12"/>
  <c r="C84" i="12"/>
  <c r="D19" i="12"/>
  <c r="H54" i="12"/>
  <c r="G20" i="12"/>
  <c r="G36" i="12"/>
  <c r="G52" i="12"/>
  <c r="H70" i="12"/>
  <c r="C16" i="12"/>
  <c r="G51" i="12"/>
  <c r="D74" i="12"/>
  <c r="J20" i="12"/>
  <c r="C47" i="12"/>
  <c r="G83" i="12"/>
  <c r="F30" i="12"/>
  <c r="F35" i="12"/>
  <c r="F67" i="12"/>
  <c r="F43" i="12"/>
  <c r="D25" i="12"/>
  <c r="H91" i="12"/>
  <c r="G16" i="12"/>
  <c r="D38" i="12"/>
  <c r="G81" i="12"/>
  <c r="H24" i="12"/>
  <c r="C52" i="12"/>
  <c r="D78" i="12"/>
  <c r="D12" i="12"/>
  <c r="C27" i="12"/>
  <c r="J48" i="12"/>
  <c r="J64" i="12"/>
  <c r="C10" i="12"/>
  <c r="J31" i="12"/>
  <c r="J47" i="12"/>
  <c r="D76" i="12"/>
  <c r="C41" i="12"/>
  <c r="H78" i="12"/>
  <c r="C8" i="12"/>
  <c r="J21" i="12"/>
  <c r="J70" i="12"/>
  <c r="C89" i="12"/>
  <c r="D32" i="12"/>
  <c r="G50" i="12"/>
  <c r="G66" i="12"/>
  <c r="F46" i="12"/>
  <c r="F18" i="12"/>
  <c r="F55" i="12"/>
  <c r="F61" i="12"/>
  <c r="D23" i="12"/>
  <c r="G49" i="12"/>
  <c r="H75" i="12"/>
  <c r="D14" i="12"/>
  <c r="J50" i="12"/>
  <c r="G89" i="12"/>
  <c r="G15" i="12"/>
  <c r="C93" i="12"/>
  <c r="J32" i="12"/>
  <c r="D69" i="12"/>
  <c r="C34" i="12"/>
  <c r="G70" i="12"/>
  <c r="G86" i="12"/>
  <c r="J71" i="12"/>
  <c r="D17" i="12"/>
  <c r="H44" i="12"/>
  <c r="H60" i="12"/>
  <c r="J28" i="12"/>
  <c r="D64" i="12"/>
  <c r="H84" i="12"/>
  <c r="F65" i="12"/>
  <c r="F62" i="12"/>
  <c r="F48" i="12"/>
  <c r="F53" i="12"/>
  <c r="F78" i="12"/>
  <c r="D49" i="12"/>
  <c r="H10" i="12"/>
  <c r="H26" i="12"/>
  <c r="H42" i="12"/>
  <c r="J59" i="12"/>
  <c r="J92" i="12"/>
  <c r="H41" i="12"/>
  <c r="J58" i="12"/>
  <c r="H82" i="12"/>
  <c r="D13" i="12"/>
  <c r="C44" i="12"/>
  <c r="J74" i="12"/>
  <c r="J16" i="12"/>
  <c r="J40" i="12"/>
  <c r="J56" i="12"/>
  <c r="D11" i="12"/>
  <c r="D68" i="12"/>
  <c r="G12" i="12"/>
  <c r="D42" i="12"/>
  <c r="D67" i="12"/>
  <c r="H20" i="12"/>
  <c r="G10" i="12"/>
  <c r="H35" i="12"/>
  <c r="H51" i="12"/>
  <c r="H92" i="12"/>
  <c r="F13" i="12"/>
  <c r="F19" i="12"/>
  <c r="F86" i="12"/>
  <c r="F68" i="12"/>
  <c r="F64" i="12"/>
  <c r="F59" i="12"/>
  <c r="BC39" i="11"/>
  <c r="G43" i="12"/>
  <c r="C32" i="12"/>
  <c r="H96" i="12"/>
  <c r="J33" i="12"/>
  <c r="G91" i="12"/>
  <c r="G24" i="12"/>
  <c r="H23" i="12"/>
  <c r="J88" i="12"/>
  <c r="D83" i="12"/>
  <c r="H19" i="12"/>
  <c r="F40" i="12"/>
  <c r="F34" i="12"/>
  <c r="C71" i="12"/>
  <c r="G8" i="12"/>
  <c r="D22" i="12"/>
  <c r="H47" i="12"/>
  <c r="Z11" i="9"/>
  <c r="C50" i="12"/>
  <c r="G6" i="12"/>
  <c r="BD6" i="11" s="1"/>
  <c r="AZ7" i="11"/>
  <c r="C24" i="12"/>
  <c r="D93" i="12"/>
  <c r="Z9" i="9"/>
  <c r="C21" i="12"/>
  <c r="AZ21" i="11" s="1"/>
  <c r="CB87" i="12"/>
  <c r="CB35" i="12"/>
  <c r="U67" i="10"/>
  <c r="CB84" i="12"/>
  <c r="F90" i="12"/>
  <c r="CB75" i="12"/>
  <c r="U21" i="10"/>
  <c r="CB52" i="12"/>
  <c r="CB91" i="12"/>
  <c r="H99" i="12"/>
  <c r="C95" i="12"/>
  <c r="J14" i="12"/>
  <c r="C49" i="12"/>
  <c r="G77" i="12"/>
  <c r="D9" i="12"/>
  <c r="G76" i="12"/>
  <c r="J12" i="12"/>
  <c r="F83" i="12"/>
  <c r="F80" i="12"/>
  <c r="D36" i="12"/>
  <c r="F56" i="12"/>
  <c r="F44" i="12"/>
  <c r="F16" i="12"/>
  <c r="C72" i="12"/>
  <c r="U28" i="10"/>
  <c r="CB60" i="12"/>
  <c r="D31" i="12"/>
  <c r="H16" i="12"/>
  <c r="H31" i="12"/>
  <c r="G78" i="12"/>
  <c r="G84" i="12"/>
  <c r="F7" i="12"/>
  <c r="F17" i="12"/>
  <c r="G9" i="12"/>
  <c r="D72" i="12"/>
  <c r="J83" i="12"/>
  <c r="H39" i="12"/>
  <c r="H22" i="12"/>
  <c r="C83" i="12"/>
  <c r="G92" i="12"/>
  <c r="G55" i="12"/>
  <c r="BD34" i="11"/>
  <c r="C75" i="12"/>
  <c r="C19" i="12"/>
  <c r="AZ19" i="11" s="1"/>
  <c r="AQ15" i="11"/>
  <c r="C9" i="12"/>
  <c r="C48" i="12"/>
  <c r="Z24" i="9"/>
  <c r="C37" i="12"/>
  <c r="AZ37" i="11" s="1"/>
  <c r="Z6" i="9"/>
  <c r="CB65" i="12"/>
  <c r="CB30" i="12"/>
  <c r="C90" i="12"/>
  <c r="U78" i="10"/>
  <c r="CB68" i="12"/>
  <c r="G90" i="12"/>
  <c r="U54" i="10"/>
  <c r="H25" i="12"/>
  <c r="J49" i="12"/>
  <c r="J82" i="12"/>
  <c r="J7" i="12"/>
  <c r="J38" i="12"/>
  <c r="H76" i="12"/>
  <c r="D61" i="12"/>
  <c r="H38" i="12"/>
  <c r="H77" i="12"/>
  <c r="F29" i="12"/>
  <c r="J51" i="12"/>
  <c r="H81" i="12"/>
  <c r="D51" i="12"/>
  <c r="Z16" i="9"/>
  <c r="C17" i="12"/>
  <c r="AZ17" i="11" s="1"/>
  <c r="Z25" i="9"/>
  <c r="AZ38" i="11"/>
  <c r="Z8" i="9"/>
  <c r="C74" i="12"/>
  <c r="C69" i="12"/>
  <c r="CB20" i="12"/>
  <c r="F70" i="12"/>
  <c r="U42" i="10"/>
  <c r="CB44" i="12"/>
  <c r="C6" i="12"/>
  <c r="H50" i="12"/>
  <c r="H67" i="12"/>
  <c r="H83" i="12"/>
  <c r="D54" i="12"/>
  <c r="C78" i="12"/>
  <c r="H40" i="12"/>
  <c r="H56" i="12"/>
  <c r="H89" i="12"/>
  <c r="C68" i="12"/>
  <c r="H14" i="12"/>
  <c r="D35" i="12"/>
  <c r="D59" i="12"/>
  <c r="J80" i="12"/>
  <c r="H29" i="12"/>
  <c r="H45" i="12"/>
  <c r="H61" i="12"/>
  <c r="D75" i="12"/>
  <c r="J37" i="12"/>
  <c r="G59" i="12"/>
  <c r="J86" i="12"/>
  <c r="C63" i="12"/>
  <c r="F77" i="12"/>
  <c r="F73" i="12"/>
  <c r="F60" i="12"/>
  <c r="F15" i="12"/>
  <c r="F21" i="12"/>
  <c r="J11" i="12"/>
  <c r="J27" i="12"/>
  <c r="J43" i="12"/>
  <c r="C79" i="12"/>
  <c r="H9" i="12"/>
  <c r="H33" i="12"/>
  <c r="J42" i="12"/>
  <c r="H74" i="12"/>
  <c r="J91" i="12"/>
  <c r="C36" i="12"/>
  <c r="H73" i="12"/>
  <c r="H7" i="12"/>
  <c r="J73" i="12"/>
  <c r="J89" i="12"/>
  <c r="D92" i="12"/>
  <c r="C25" i="12"/>
  <c r="C57" i="12"/>
  <c r="G85" i="12"/>
  <c r="D33" i="12"/>
  <c r="H11" i="12"/>
  <c r="H43" i="12"/>
  <c r="H59" i="12"/>
  <c r="J93" i="12"/>
  <c r="F93" i="12"/>
  <c r="F72" i="12"/>
  <c r="F49" i="12"/>
  <c r="F14" i="12"/>
  <c r="F11" i="12"/>
  <c r="F87" i="12"/>
  <c r="D7" i="12"/>
  <c r="D39" i="12"/>
  <c r="H66" i="12"/>
  <c r="G82" i="12"/>
  <c r="J26" i="12"/>
  <c r="J67" i="12"/>
  <c r="H8" i="12"/>
  <c r="D29" i="12"/>
  <c r="J41" i="12"/>
  <c r="J57" i="12"/>
  <c r="C51" i="12"/>
  <c r="D85" i="12"/>
  <c r="J15" i="12"/>
  <c r="G53" i="12"/>
  <c r="H79" i="12"/>
  <c r="J6" i="12"/>
  <c r="J30" i="12"/>
  <c r="J46" i="12"/>
  <c r="J62" i="12"/>
  <c r="G93" i="12"/>
  <c r="H52" i="12"/>
  <c r="C73" i="12"/>
  <c r="D48" i="12"/>
  <c r="G75" i="12"/>
  <c r="D89" i="12"/>
  <c r="F23" i="12"/>
  <c r="F20" i="12"/>
  <c r="F69" i="12"/>
  <c r="F92" i="12"/>
  <c r="F71" i="12"/>
  <c r="C18" i="12"/>
  <c r="G17" i="12"/>
  <c r="G33" i="12"/>
  <c r="C54" i="12"/>
  <c r="D80" i="12"/>
  <c r="J10" i="12"/>
  <c r="G32" i="12"/>
  <c r="D46" i="12"/>
  <c r="G73" i="12"/>
  <c r="D87" i="12"/>
  <c r="J25" i="12"/>
  <c r="C60" i="12"/>
  <c r="C35" i="12"/>
  <c r="J81" i="12"/>
  <c r="J23" i="12"/>
  <c r="J39" i="12"/>
  <c r="G61" i="12"/>
  <c r="D84" i="12"/>
  <c r="D26" i="12"/>
  <c r="D58" i="12"/>
  <c r="J79" i="12"/>
  <c r="G11" i="12"/>
  <c r="J29" i="12"/>
  <c r="J78" i="12"/>
  <c r="D24" i="12"/>
  <c r="G42" i="12"/>
  <c r="G58" i="12"/>
  <c r="F57" i="12"/>
  <c r="F54" i="12"/>
  <c r="F50" i="12"/>
  <c r="J95" i="12"/>
  <c r="F22" i="12"/>
  <c r="F27" i="12"/>
  <c r="D65" i="12"/>
  <c r="C59" i="12"/>
  <c r="J22" i="12"/>
  <c r="D56" i="12"/>
  <c r="G25" i="12"/>
  <c r="C85" i="12"/>
  <c r="J52" i="12"/>
  <c r="F26" i="12"/>
  <c r="C30" i="12"/>
  <c r="F6" i="12"/>
  <c r="J72" i="12"/>
  <c r="F31" i="12"/>
  <c r="C70" i="12"/>
  <c r="G23" i="12"/>
  <c r="D53" i="12"/>
  <c r="D86" i="12"/>
  <c r="D28" i="12"/>
  <c r="H63" i="12"/>
  <c r="Z15" i="9"/>
  <c r="AZ23" i="11"/>
  <c r="D16" i="12"/>
  <c r="U10" i="10"/>
  <c r="CB39" i="12"/>
  <c r="CB18" i="12"/>
  <c r="U79" i="10"/>
  <c r="U76" i="10"/>
  <c r="U59" i="10"/>
  <c r="CB33" i="12"/>
  <c r="J76" i="12"/>
  <c r="J65" i="12"/>
  <c r="C26" i="12"/>
  <c r="J53" i="12"/>
  <c r="F12" i="12"/>
  <c r="G40" i="12"/>
  <c r="G71" i="12"/>
  <c r="D50" i="12"/>
  <c r="F24" i="12"/>
  <c r="BC10" i="11"/>
  <c r="G13" i="12"/>
  <c r="G37" i="12"/>
  <c r="C86" i="12"/>
  <c r="D63" i="12"/>
  <c r="C11" i="12"/>
  <c r="C81" i="12"/>
  <c r="C58" i="12"/>
  <c r="D55" i="12"/>
  <c r="C29" i="12"/>
  <c r="Z26" i="9"/>
  <c r="CB49" i="12"/>
  <c r="CB13" i="12"/>
  <c r="U51" i="10"/>
  <c r="CB92" i="12"/>
  <c r="U15" i="10"/>
  <c r="D15" i="12"/>
  <c r="D30" i="12"/>
  <c r="G64" i="12"/>
  <c r="G7" i="12"/>
  <c r="D21" i="12"/>
  <c r="D70" i="12"/>
  <c r="G22" i="12"/>
  <c r="C43" i="12"/>
  <c r="D77" i="12"/>
  <c r="C42" i="12"/>
  <c r="H71" i="12"/>
  <c r="H87" i="12"/>
  <c r="D10" i="12"/>
  <c r="C82" i="12"/>
  <c r="J45" i="12"/>
  <c r="J61" i="12"/>
  <c r="G18" i="12"/>
  <c r="D40" i="12"/>
  <c r="H68" i="12"/>
  <c r="D81" i="12"/>
  <c r="F66" i="12"/>
  <c r="F52" i="12"/>
  <c r="F25" i="12"/>
  <c r="F85" i="12"/>
  <c r="F63" i="12"/>
  <c r="F41" i="12"/>
  <c r="G31" i="12"/>
  <c r="H18" i="12"/>
  <c r="H34" i="12"/>
  <c r="H58" i="12"/>
  <c r="D88" i="12"/>
  <c r="H57" i="12"/>
  <c r="C12" i="12"/>
  <c r="D45" i="12"/>
  <c r="D20" i="12"/>
  <c r="G46" i="12"/>
  <c r="G62" i="12"/>
  <c r="H80" i="12"/>
  <c r="C92" i="12"/>
  <c r="G29" i="12"/>
  <c r="G45" i="12"/>
  <c r="C67" i="12"/>
  <c r="H13" i="12"/>
  <c r="D34" i="12"/>
  <c r="D66" i="12"/>
  <c r="J87" i="12"/>
  <c r="G19" i="12"/>
  <c r="G68" i="12"/>
  <c r="D82" i="12"/>
  <c r="F75" i="12"/>
  <c r="F51" i="12"/>
  <c r="H28" i="12"/>
  <c r="F76" i="12"/>
  <c r="F81" i="12"/>
  <c r="F58" i="12"/>
  <c r="D73" i="12"/>
  <c r="C14" i="12"/>
  <c r="C46" i="12"/>
  <c r="J68" i="12"/>
  <c r="J84" i="12"/>
  <c r="G48" i="12"/>
  <c r="D79" i="12"/>
  <c r="H32" i="12"/>
  <c r="H48" i="12"/>
  <c r="H64" i="12"/>
  <c r="G88" i="12"/>
  <c r="G30" i="12"/>
  <c r="D60" i="12"/>
  <c r="H6" i="12"/>
  <c r="D27" i="12"/>
  <c r="J55" i="12"/>
  <c r="H21" i="12"/>
  <c r="H37" i="12"/>
  <c r="H53" i="12"/>
  <c r="G69" i="12"/>
  <c r="D41" i="12"/>
  <c r="H85" i="12"/>
  <c r="G26" i="12"/>
  <c r="C55" i="12"/>
  <c r="J77" i="12"/>
  <c r="F84" i="12"/>
  <c r="F89" i="12"/>
  <c r="C20" i="12"/>
  <c r="BC33" i="11"/>
  <c r="F74" i="12"/>
  <c r="F42" i="12"/>
  <c r="J19" i="12"/>
  <c r="J35" i="12"/>
  <c r="G57" i="12"/>
  <c r="C87" i="12"/>
  <c r="H17" i="12"/>
  <c r="J34" i="12"/>
  <c r="G56" i="12"/>
  <c r="J75" i="12"/>
  <c r="D37" i="12"/>
  <c r="G72" i="12"/>
  <c r="J8" i="12"/>
  <c r="G38" i="12"/>
  <c r="G54" i="12"/>
  <c r="H72" i="12"/>
  <c r="H88" i="12"/>
  <c r="H30" i="12"/>
  <c r="H46" i="12"/>
  <c r="J63" i="12"/>
  <c r="C91" i="12"/>
  <c r="C33" i="12"/>
  <c r="C65" i="12"/>
  <c r="H86" i="12"/>
  <c r="J13" i="12"/>
  <c r="H69" i="12"/>
  <c r="H93" i="12"/>
  <c r="C31" i="12"/>
  <c r="J44" i="12"/>
  <c r="J60" i="12"/>
  <c r="F47" i="12"/>
  <c r="F36" i="12"/>
  <c r="F8" i="12"/>
  <c r="F91" i="12"/>
  <c r="F88" i="12"/>
  <c r="E24" i="14"/>
  <c r="E27" i="14"/>
  <c r="H84" i="20"/>
  <c r="O89" i="20"/>
  <c r="E26" i="14"/>
  <c r="I80" i="20"/>
  <c r="O92" i="20"/>
  <c r="I77" i="20"/>
  <c r="I79" i="20"/>
  <c r="O85" i="20"/>
  <c r="O79" i="20"/>
  <c r="H89" i="20"/>
  <c r="I92" i="20"/>
  <c r="I85" i="20"/>
  <c r="E23" i="14"/>
  <c r="I88" i="20"/>
  <c r="H75" i="20"/>
  <c r="O77" i="20"/>
  <c r="O93" i="20"/>
  <c r="O91" i="20"/>
  <c r="O76" i="20"/>
  <c r="O87" i="20"/>
  <c r="I93" i="20"/>
  <c r="H91" i="20"/>
  <c r="O83" i="20"/>
  <c r="I76" i="20"/>
  <c r="I87" i="20"/>
  <c r="O81" i="20"/>
  <c r="E25" i="14"/>
  <c r="O84" i="20"/>
  <c r="O80" i="20"/>
  <c r="O88" i="20"/>
  <c r="H83" i="20"/>
  <c r="O75" i="20"/>
  <c r="H81" i="20"/>
  <c r="CB42" i="12"/>
  <c r="CB34" i="12"/>
  <c r="U22" i="10"/>
  <c r="CB12" i="12"/>
  <c r="U44" i="10"/>
  <c r="U52" i="10"/>
  <c r="CB59" i="12"/>
  <c r="AW98" i="11"/>
  <c r="E73" i="5"/>
  <c r="U91" i="10"/>
  <c r="P9" i="20"/>
  <c r="P24" i="20"/>
  <c r="U46" i="10"/>
  <c r="U68" i="10"/>
  <c r="U33" i="10"/>
  <c r="U75" i="10"/>
  <c r="CB62" i="12"/>
  <c r="CB78" i="12"/>
  <c r="CB54" i="12"/>
  <c r="CB51" i="12"/>
  <c r="G96" i="12"/>
  <c r="Z28" i="9"/>
  <c r="B72" i="5"/>
  <c r="B71" i="5"/>
  <c r="G99" i="12"/>
  <c r="D98" i="12"/>
  <c r="I99" i="20"/>
  <c r="M29" i="14"/>
  <c r="O97" i="20"/>
  <c r="O96" i="20"/>
  <c r="O99" i="20"/>
  <c r="O95" i="20"/>
  <c r="K28" i="9"/>
  <c r="K29" i="9"/>
  <c r="AS94" i="11"/>
  <c r="AW94" i="11"/>
  <c r="AS98" i="11"/>
  <c r="I96" i="20"/>
  <c r="E28" i="14"/>
  <c r="E29" i="14"/>
  <c r="H95" i="20"/>
  <c r="I97" i="20"/>
  <c r="H99" i="20"/>
  <c r="Z29" i="9"/>
  <c r="F98" i="12"/>
  <c r="F95" i="12"/>
  <c r="F96" i="12"/>
  <c r="H101" i="10"/>
  <c r="H98" i="12"/>
  <c r="J94" i="12"/>
  <c r="F99" i="12"/>
  <c r="C94" i="12"/>
  <c r="U95" i="10"/>
  <c r="C98" i="12"/>
  <c r="CB95" i="12"/>
  <c r="F94" i="12"/>
  <c r="C96" i="12"/>
  <c r="J98" i="12"/>
  <c r="G98" i="12"/>
  <c r="U97" i="10"/>
  <c r="D94" i="12"/>
  <c r="D99" i="12"/>
  <c r="G94" i="12"/>
  <c r="H94" i="12"/>
  <c r="C97" i="12"/>
  <c r="B28" i="14"/>
  <c r="M28" i="14"/>
  <c r="U60" i="10"/>
  <c r="U38" i="10"/>
  <c r="G29" i="9"/>
  <c r="O98" i="20"/>
  <c r="J29" i="14"/>
  <c r="J28" i="14"/>
  <c r="I98" i="20"/>
  <c r="B29" i="14"/>
  <c r="U84" i="10"/>
  <c r="CB67" i="12"/>
  <c r="I37" i="20"/>
  <c r="CB7" i="12"/>
  <c r="U30" i="10"/>
  <c r="U23" i="10"/>
  <c r="U92" i="10"/>
  <c r="CB76" i="12"/>
  <c r="CB21" i="12"/>
  <c r="CB79" i="12"/>
  <c r="CB83" i="12"/>
  <c r="P25" i="20"/>
  <c r="M27" i="14"/>
  <c r="H74" i="20"/>
  <c r="I74" i="20"/>
  <c r="P41" i="20"/>
  <c r="U87" i="10"/>
  <c r="U41" i="10"/>
  <c r="U35" i="10"/>
  <c r="CB89" i="12"/>
  <c r="H29" i="20"/>
  <c r="D16" i="5"/>
  <c r="I17" i="20"/>
  <c r="H40" i="20"/>
  <c r="H27" i="20"/>
  <c r="P48" i="20"/>
  <c r="H96" i="20"/>
  <c r="P21" i="20"/>
  <c r="P47" i="20"/>
  <c r="P15" i="20"/>
  <c r="P43" i="20"/>
  <c r="U20" i="10"/>
  <c r="M15" i="14"/>
  <c r="P37" i="20"/>
  <c r="I64" i="20"/>
  <c r="U85" i="10"/>
  <c r="CB26" i="12"/>
  <c r="P35" i="20"/>
  <c r="G28" i="9"/>
  <c r="H73" i="20"/>
  <c r="I75" i="20"/>
  <c r="H52" i="20"/>
  <c r="I24" i="20"/>
  <c r="H82" i="20"/>
  <c r="H43" i="20"/>
  <c r="M24" i="14"/>
  <c r="M10" i="14"/>
  <c r="M26" i="14"/>
  <c r="M19" i="14"/>
  <c r="I21" i="20"/>
  <c r="I45" i="20"/>
  <c r="O94" i="20"/>
  <c r="B24" i="14"/>
  <c r="P32" i="20"/>
  <c r="P27" i="20"/>
  <c r="M20" i="14"/>
  <c r="H46" i="20"/>
  <c r="B16" i="14"/>
  <c r="I94" i="20"/>
  <c r="O26" i="20"/>
  <c r="J11" i="14"/>
  <c r="M22" i="14"/>
  <c r="O30" i="20"/>
  <c r="J12" i="14"/>
  <c r="O14" i="20"/>
  <c r="J8" i="14"/>
  <c r="H26" i="20"/>
  <c r="B11" i="14"/>
  <c r="P36" i="20"/>
  <c r="H30" i="20"/>
  <c r="B12" i="14"/>
  <c r="M7" i="14"/>
  <c r="O66" i="20"/>
  <c r="J21" i="14"/>
  <c r="B20" i="14"/>
  <c r="H78" i="20"/>
  <c r="O18" i="20"/>
  <c r="J9" i="14"/>
  <c r="B23" i="14"/>
  <c r="O42" i="20"/>
  <c r="J15" i="14"/>
  <c r="O58" i="20"/>
  <c r="J19" i="14"/>
  <c r="H22" i="20"/>
  <c r="B10" i="14"/>
  <c r="M13" i="14"/>
  <c r="H14" i="20"/>
  <c r="B8" i="14"/>
  <c r="U13" i="10"/>
  <c r="H8" i="17"/>
  <c r="H47" i="17"/>
  <c r="H45" i="17"/>
  <c r="H46" i="17"/>
  <c r="I66" i="20"/>
  <c r="B21" i="14"/>
  <c r="I41" i="20"/>
  <c r="H62" i="20"/>
  <c r="O50" i="20"/>
  <c r="J17" i="14"/>
  <c r="O10" i="20"/>
  <c r="O7" i="14" s="1"/>
  <c r="J7" i="14"/>
  <c r="O70" i="20"/>
  <c r="J22" i="14"/>
  <c r="I78" i="20"/>
  <c r="H18" i="20"/>
  <c r="B9" i="14"/>
  <c r="O54" i="20"/>
  <c r="J18" i="14"/>
  <c r="O90" i="20"/>
  <c r="J27" i="14"/>
  <c r="O38" i="20"/>
  <c r="J14" i="14"/>
  <c r="I42" i="20"/>
  <c r="B15" i="14"/>
  <c r="I58" i="20"/>
  <c r="B19" i="14"/>
  <c r="O86" i="20"/>
  <c r="J26" i="14"/>
  <c r="M14" i="14"/>
  <c r="M23" i="14"/>
  <c r="O62" i="20"/>
  <c r="J20" i="14"/>
  <c r="O6" i="20"/>
  <c r="J6" i="14"/>
  <c r="I62" i="20"/>
  <c r="I50" i="20"/>
  <c r="B17" i="14"/>
  <c r="H10" i="20"/>
  <c r="B7" i="14"/>
  <c r="B22" i="14"/>
  <c r="O34" i="20"/>
  <c r="J13" i="14"/>
  <c r="H54" i="20"/>
  <c r="B18" i="14"/>
  <c r="I90" i="20"/>
  <c r="B27" i="14"/>
  <c r="H38" i="20"/>
  <c r="B14" i="14"/>
  <c r="O82" i="20"/>
  <c r="J25" i="14"/>
  <c r="I86" i="20"/>
  <c r="B26" i="14"/>
  <c r="M25" i="14"/>
  <c r="M12" i="14"/>
  <c r="O74" i="20"/>
  <c r="J23" i="14"/>
  <c r="O22" i="20"/>
  <c r="J10" i="14"/>
  <c r="I6" i="20"/>
  <c r="B6" i="14"/>
  <c r="H70" i="20"/>
  <c r="I34" i="20"/>
  <c r="B13" i="14"/>
  <c r="I82" i="20"/>
  <c r="B25" i="14"/>
  <c r="M21" i="14"/>
  <c r="M18" i="14"/>
  <c r="M11" i="14"/>
  <c r="M6" i="14"/>
  <c r="G8" i="9"/>
  <c r="G16" i="9"/>
  <c r="M17" i="14"/>
  <c r="O46" i="20"/>
  <c r="J16" i="14"/>
  <c r="I70" i="20"/>
  <c r="O78" i="20"/>
  <c r="J24" i="14"/>
  <c r="M16" i="14"/>
  <c r="M9" i="14"/>
  <c r="M8" i="14"/>
  <c r="I48" i="20"/>
  <c r="H80" i="20"/>
  <c r="H94" i="20"/>
  <c r="I28" i="20"/>
  <c r="I47" i="20"/>
  <c r="I95" i="20"/>
  <c r="H36" i="20"/>
  <c r="H20" i="20"/>
  <c r="I89" i="20"/>
  <c r="I13" i="20"/>
  <c r="I12" i="20"/>
  <c r="I19" i="20"/>
  <c r="H93" i="20"/>
  <c r="H61" i="20"/>
  <c r="I49" i="20"/>
  <c r="I72" i="20"/>
  <c r="I14" i="20"/>
  <c r="I18" i="20"/>
  <c r="H86" i="20"/>
  <c r="I63" i="20"/>
  <c r="I30" i="20"/>
  <c r="H51" i="20"/>
  <c r="H90" i="20"/>
  <c r="I32" i="20"/>
  <c r="H67" i="20"/>
  <c r="H56" i="20"/>
  <c r="I69" i="20"/>
  <c r="I22" i="20"/>
  <c r="I65" i="20"/>
  <c r="I44" i="20"/>
  <c r="H79" i="20"/>
  <c r="H58" i="20"/>
  <c r="I15" i="20"/>
  <c r="H77" i="20"/>
  <c r="H87" i="20"/>
  <c r="H31" i="20"/>
  <c r="H16" i="20"/>
  <c r="I81" i="20"/>
  <c r="H66" i="20"/>
  <c r="H98" i="20"/>
  <c r="I25" i="20"/>
  <c r="I53" i="20"/>
  <c r="H42" i="20"/>
  <c r="H68" i="20"/>
  <c r="I84" i="20"/>
  <c r="P40" i="20"/>
  <c r="H34" i="20"/>
  <c r="I60" i="20"/>
  <c r="I57" i="20"/>
  <c r="I83" i="20"/>
  <c r="I46" i="20"/>
  <c r="H55" i="20"/>
  <c r="H97" i="20"/>
  <c r="P23" i="20"/>
  <c r="I11" i="20"/>
  <c r="H88" i="20"/>
  <c r="I38" i="20"/>
  <c r="H35" i="20"/>
  <c r="H9" i="20"/>
  <c r="I23" i="20"/>
  <c r="H39" i="20"/>
  <c r="H50" i="20"/>
  <c r="P13" i="20"/>
  <c r="I59" i="20"/>
  <c r="H85" i="20"/>
  <c r="H7" i="20"/>
  <c r="I10" i="20"/>
  <c r="I91" i="20"/>
  <c r="P39" i="20"/>
  <c r="I26" i="20"/>
  <c r="I71" i="20"/>
  <c r="H76" i="20"/>
  <c r="H92" i="20"/>
  <c r="I8" i="20"/>
  <c r="I33" i="20"/>
  <c r="P11" i="20"/>
  <c r="H6" i="20"/>
  <c r="P31" i="20"/>
  <c r="P49" i="20"/>
  <c r="G11" i="9"/>
  <c r="B74" i="5"/>
  <c r="U82" i="10"/>
  <c r="CB10" i="12"/>
  <c r="U65" i="10"/>
  <c r="CB28" i="12"/>
  <c r="U90" i="10"/>
  <c r="CB73" i="12"/>
  <c r="CB97" i="12"/>
  <c r="U18" i="10"/>
  <c r="U49" i="10"/>
  <c r="U36" i="10"/>
  <c r="D7" i="8"/>
  <c r="D10" i="8"/>
  <c r="D13" i="8"/>
  <c r="G20" i="9"/>
  <c r="U39" i="10"/>
  <c r="CB99" i="12"/>
  <c r="U99" i="10"/>
  <c r="G27" i="9"/>
  <c r="G15" i="9"/>
  <c r="G13" i="9"/>
  <c r="G17" i="9"/>
  <c r="G14" i="9"/>
  <c r="G22" i="9"/>
  <c r="D9" i="5"/>
  <c r="D5" i="5"/>
  <c r="D27" i="5"/>
  <c r="C71" i="5"/>
  <c r="D6" i="8"/>
  <c r="D16" i="8"/>
  <c r="D17" i="5"/>
  <c r="D22" i="8"/>
  <c r="D22" i="5"/>
  <c r="D19" i="5"/>
  <c r="D9" i="8"/>
  <c r="F71" i="5"/>
  <c r="D20" i="5"/>
  <c r="C72" i="5"/>
  <c r="D28" i="5"/>
  <c r="D26" i="5"/>
  <c r="D12" i="8"/>
  <c r="F74" i="5"/>
  <c r="F73" i="5"/>
  <c r="D7" i="5"/>
  <c r="D8" i="5"/>
  <c r="C74" i="5"/>
  <c r="D30" i="5"/>
  <c r="D18" i="8"/>
  <c r="D11" i="8"/>
  <c r="F72" i="5"/>
  <c r="D21" i="8"/>
  <c r="D15" i="5"/>
  <c r="D21" i="5"/>
  <c r="D19" i="8"/>
  <c r="D14" i="8"/>
  <c r="D5" i="8"/>
  <c r="D23" i="5"/>
  <c r="D6" i="5"/>
  <c r="D20" i="8"/>
  <c r="D17" i="8"/>
  <c r="D18" i="5"/>
  <c r="D25" i="5"/>
  <c r="D8" i="8"/>
  <c r="CB80" i="12"/>
  <c r="U80" i="10"/>
  <c r="CB27" i="12"/>
  <c r="U27" i="10"/>
  <c r="CB17" i="12"/>
  <c r="U17" i="10"/>
  <c r="CB19" i="12"/>
  <c r="U19" i="10"/>
  <c r="CB66" i="12"/>
  <c r="U66" i="10"/>
  <c r="CB8" i="12"/>
  <c r="U8" i="10"/>
  <c r="CB81" i="12"/>
  <c r="U81" i="10"/>
  <c r="CB94" i="12"/>
  <c r="U94" i="10"/>
  <c r="G24" i="9"/>
  <c r="CB57" i="12"/>
  <c r="U57" i="10"/>
  <c r="CB9" i="12"/>
  <c r="U9" i="10"/>
  <c r="H27" i="19"/>
  <c r="H15" i="19"/>
  <c r="H16" i="19"/>
  <c r="H35" i="19"/>
  <c r="H13" i="19"/>
  <c r="H30" i="19"/>
  <c r="H33" i="19"/>
  <c r="H28" i="19"/>
  <c r="H23" i="19"/>
  <c r="H20" i="19"/>
  <c r="H21" i="19"/>
  <c r="I8" i="19"/>
  <c r="H34" i="19"/>
  <c r="H29" i="19"/>
  <c r="H24" i="19"/>
  <c r="H10" i="19"/>
  <c r="H36" i="19"/>
  <c r="H22" i="19"/>
  <c r="H17" i="19"/>
  <c r="H14" i="19"/>
  <c r="CB63" i="12"/>
  <c r="U63" i="10"/>
  <c r="CB32" i="12"/>
  <c r="U32" i="10"/>
  <c r="CB55" i="12"/>
  <c r="U55" i="10"/>
  <c r="CB93" i="12"/>
  <c r="U93" i="10"/>
  <c r="CB64" i="12"/>
  <c r="U64" i="10"/>
  <c r="CB77" i="12"/>
  <c r="U77" i="10"/>
  <c r="CB88" i="12"/>
  <c r="U88" i="10"/>
  <c r="G6" i="9"/>
  <c r="G21" i="9"/>
  <c r="CB96" i="12"/>
  <c r="U96" i="10"/>
  <c r="G12" i="9"/>
  <c r="CB14" i="12"/>
  <c r="U14" i="10"/>
  <c r="G19" i="9"/>
  <c r="G23" i="9"/>
  <c r="CB86" i="12"/>
  <c r="U86" i="10"/>
  <c r="CB98" i="12"/>
  <c r="U98" i="10"/>
  <c r="CB53" i="12"/>
  <c r="U53" i="10"/>
  <c r="CB29" i="12"/>
  <c r="U29" i="10"/>
  <c r="CB25" i="12"/>
  <c r="U25" i="10"/>
  <c r="CB37" i="12"/>
  <c r="U37" i="10"/>
  <c r="CB71" i="12"/>
  <c r="U71" i="10"/>
  <c r="CB50" i="12"/>
  <c r="U50" i="10"/>
  <c r="H36" i="17"/>
  <c r="H41" i="17"/>
  <c r="H33" i="17"/>
  <c r="H34" i="17"/>
  <c r="H32" i="17"/>
  <c r="H29" i="17"/>
  <c r="H20" i="17"/>
  <c r="H10" i="17"/>
  <c r="H30" i="17"/>
  <c r="H28" i="17"/>
  <c r="H25" i="17"/>
  <c r="H16" i="17"/>
  <c r="H22" i="17"/>
  <c r="H12" i="17"/>
  <c r="H27" i="17"/>
  <c r="H18" i="17"/>
  <c r="H24" i="17"/>
  <c r="H14" i="17"/>
  <c r="H21" i="17"/>
  <c r="H11" i="17"/>
  <c r="H39" i="17"/>
  <c r="H35" i="17"/>
  <c r="H17" i="17"/>
  <c r="H42" i="17"/>
  <c r="H38" i="17"/>
  <c r="H26" i="17"/>
  <c r="H23" i="17"/>
  <c r="H13" i="17"/>
  <c r="I6" i="17"/>
  <c r="H40" i="17"/>
  <c r="H37" i="17"/>
  <c r="CB74" i="12"/>
  <c r="U74" i="10"/>
  <c r="CB72" i="12"/>
  <c r="U72" i="10"/>
  <c r="CB58" i="12"/>
  <c r="U58" i="10"/>
  <c r="CB61" i="12"/>
  <c r="U61" i="10"/>
  <c r="CB43" i="12"/>
  <c r="U43" i="10"/>
  <c r="CB47" i="12"/>
  <c r="U47" i="10"/>
  <c r="CB31" i="12"/>
  <c r="U31" i="10"/>
  <c r="CB11" i="12"/>
  <c r="U11" i="10"/>
  <c r="CB48" i="12"/>
  <c r="U48" i="10"/>
  <c r="CB16" i="12"/>
  <c r="U16" i="10"/>
  <c r="CB24" i="12"/>
  <c r="U24" i="10"/>
  <c r="G10" i="9"/>
  <c r="G25" i="9"/>
  <c r="CB40" i="12"/>
  <c r="U40" i="10"/>
  <c r="CB69" i="12"/>
  <c r="U69" i="10"/>
  <c r="G7" i="9"/>
  <c r="CB6" i="12"/>
  <c r="U6" i="10"/>
  <c r="CB45" i="12"/>
  <c r="U45" i="10"/>
  <c r="G18" i="9"/>
  <c r="G9" i="9"/>
  <c r="G26" i="9"/>
  <c r="CB56" i="12"/>
  <c r="U56" i="10"/>
  <c r="B10" i="5"/>
  <c r="G16" i="5"/>
  <c r="G14" i="8"/>
  <c r="G8" i="8"/>
  <c r="G19" i="5"/>
  <c r="G7" i="5"/>
  <c r="G19" i="8"/>
  <c r="G22" i="8"/>
  <c r="G17" i="5"/>
  <c r="E33" i="5"/>
  <c r="G5" i="8"/>
  <c r="H12" i="6"/>
  <c r="G14" i="5"/>
  <c r="B29" i="5"/>
  <c r="C10" i="5"/>
  <c r="F32" i="5"/>
  <c r="D12" i="6"/>
  <c r="C14" i="5"/>
  <c r="F24" i="5"/>
  <c r="G6" i="8"/>
  <c r="G21" i="8"/>
  <c r="G26" i="5"/>
  <c r="B14" i="5"/>
  <c r="E32" i="5"/>
  <c r="G7" i="8"/>
  <c r="E24" i="5"/>
  <c r="G17" i="8"/>
  <c r="G13" i="8"/>
  <c r="C29" i="5"/>
  <c r="G20" i="5"/>
  <c r="G28" i="5"/>
  <c r="G12" i="8"/>
  <c r="G18" i="5"/>
  <c r="G15" i="5"/>
  <c r="G9" i="8"/>
  <c r="G25" i="5"/>
  <c r="G9" i="5"/>
  <c r="F33" i="5"/>
  <c r="G15" i="8"/>
  <c r="G10" i="5"/>
  <c r="G8" i="5"/>
  <c r="G18" i="8"/>
  <c r="G10" i="8"/>
  <c r="G23" i="5"/>
  <c r="G20" i="8"/>
  <c r="G29" i="5"/>
  <c r="G21" i="5"/>
  <c r="G5" i="5"/>
  <c r="G11" i="8"/>
  <c r="G13" i="5"/>
  <c r="G32" i="5"/>
  <c r="G27" i="5"/>
  <c r="G16" i="8"/>
  <c r="G24" i="5"/>
  <c r="G30" i="5"/>
  <c r="G33" i="5"/>
  <c r="G22" i="5"/>
  <c r="G6" i="5"/>
  <c r="P65" i="20" l="1"/>
  <c r="P56" i="20"/>
  <c r="P72" i="20"/>
  <c r="P55" i="20"/>
  <c r="BE95" i="11"/>
  <c r="AZ99" i="11"/>
  <c r="P53" i="20"/>
  <c r="I54" i="20"/>
  <c r="P64" i="20"/>
  <c r="P60" i="20"/>
  <c r="O17" i="14"/>
  <c r="P17" i="14" s="1"/>
  <c r="P51" i="20"/>
  <c r="P76" i="20"/>
  <c r="B14" i="12"/>
  <c r="AY14" i="11" s="1"/>
  <c r="B40" i="12"/>
  <c r="I40" i="10" s="1"/>
  <c r="B32" i="12"/>
  <c r="AY32" i="11" s="1"/>
  <c r="B19" i="12"/>
  <c r="AY19" i="11" s="1"/>
  <c r="AZ32" i="11"/>
  <c r="AQ32" i="11" s="1"/>
  <c r="P81" i="20"/>
  <c r="P91" i="20"/>
  <c r="P89" i="20"/>
  <c r="BA97" i="11"/>
  <c r="BG96" i="11"/>
  <c r="BC82" i="11"/>
  <c r="BE97" i="11"/>
  <c r="BG99" i="11"/>
  <c r="BC97" i="11"/>
  <c r="BG97" i="11"/>
  <c r="B6" i="12"/>
  <c r="I6" i="10" s="1"/>
  <c r="B23" i="12"/>
  <c r="AY23" i="11" s="1"/>
  <c r="AP23" i="11" s="1"/>
  <c r="B45" i="12"/>
  <c r="I45" i="10" s="1"/>
  <c r="P88" i="20"/>
  <c r="P83" i="20"/>
  <c r="P77" i="20"/>
  <c r="P75" i="20"/>
  <c r="BA95" i="11"/>
  <c r="BD95" i="11"/>
  <c r="BD97" i="11"/>
  <c r="BA55" i="11"/>
  <c r="AZ64" i="11"/>
  <c r="AZ9" i="11"/>
  <c r="AQ9" i="11" s="1"/>
  <c r="B9" i="12"/>
  <c r="AY9" i="11" s="1"/>
  <c r="AZ45" i="11"/>
  <c r="AQ45" i="11" s="1"/>
  <c r="AZ11" i="11"/>
  <c r="AQ11" i="11" s="1"/>
  <c r="B11" i="12"/>
  <c r="AY11" i="11" s="1"/>
  <c r="AZ24" i="11"/>
  <c r="AQ24" i="11" s="1"/>
  <c r="B24" i="12"/>
  <c r="I24" i="10" s="1"/>
  <c r="AR96" i="11"/>
  <c r="AZ81" i="11"/>
  <c r="AZ77" i="11"/>
  <c r="B55" i="12"/>
  <c r="B47" i="12"/>
  <c r="BA47" i="11"/>
  <c r="AR47" i="11" s="1"/>
  <c r="AZ80" i="11"/>
  <c r="AZ53" i="11"/>
  <c r="BA63" i="11"/>
  <c r="B53" i="12"/>
  <c r="AZ56" i="11"/>
  <c r="AZ66" i="11"/>
  <c r="AZ58" i="11"/>
  <c r="AZ86" i="11"/>
  <c r="BA71" i="11"/>
  <c r="B90" i="12"/>
  <c r="AZ69" i="11"/>
  <c r="AZ72" i="11"/>
  <c r="AZ88" i="11"/>
  <c r="B58" i="12"/>
  <c r="B56" i="12"/>
  <c r="B81" i="12"/>
  <c r="AZ61" i="11"/>
  <c r="B70" i="12"/>
  <c r="B86" i="12"/>
  <c r="B61" i="12"/>
  <c r="B72" i="12"/>
  <c r="AZ50" i="11"/>
  <c r="B88" i="12"/>
  <c r="B77" i="12"/>
  <c r="B50" i="12"/>
  <c r="BG44" i="11"/>
  <c r="BD57" i="11"/>
  <c r="BE64" i="11"/>
  <c r="BA82" i="11"/>
  <c r="BA21" i="11"/>
  <c r="BC31" i="11"/>
  <c r="BC49" i="11"/>
  <c r="BC80" i="11"/>
  <c r="BA93" i="11"/>
  <c r="BE92" i="11"/>
  <c r="BA68" i="11"/>
  <c r="BG16" i="11"/>
  <c r="BE82" i="11"/>
  <c r="BG59" i="11"/>
  <c r="BG28" i="11"/>
  <c r="BG71" i="11"/>
  <c r="BA69" i="11"/>
  <c r="BD89" i="11"/>
  <c r="BD49" i="11"/>
  <c r="BD50" i="11"/>
  <c r="BG21" i="11"/>
  <c r="BA76" i="11"/>
  <c r="BG64" i="11"/>
  <c r="BA78" i="11"/>
  <c r="BA38" i="11"/>
  <c r="BD83" i="11"/>
  <c r="BD51" i="11"/>
  <c r="BD36" i="11"/>
  <c r="AZ84" i="11"/>
  <c r="B84" i="12"/>
  <c r="BD63" i="11"/>
  <c r="BD21" i="11"/>
  <c r="BA44" i="11"/>
  <c r="BE27" i="11"/>
  <c r="BD79" i="11"/>
  <c r="BE36" i="11"/>
  <c r="BG17" i="11"/>
  <c r="BE12" i="11"/>
  <c r="BA62" i="11"/>
  <c r="BG85" i="11"/>
  <c r="AU14" i="11"/>
  <c r="B93" i="12"/>
  <c r="BC8" i="11"/>
  <c r="BC74" i="11"/>
  <c r="BC84" i="11"/>
  <c r="BC76" i="11"/>
  <c r="BC63" i="11"/>
  <c r="BC66" i="11"/>
  <c r="BD13" i="11"/>
  <c r="BD71" i="11"/>
  <c r="AZ26" i="11"/>
  <c r="B26" i="12"/>
  <c r="AQ23" i="11"/>
  <c r="BA53" i="11"/>
  <c r="BG72" i="11"/>
  <c r="BG52" i="11"/>
  <c r="BG22" i="11"/>
  <c r="BA24" i="11"/>
  <c r="BG79" i="11"/>
  <c r="BD61" i="11"/>
  <c r="AZ35" i="11"/>
  <c r="B35" i="12"/>
  <c r="BD73" i="11"/>
  <c r="BA80" i="11"/>
  <c r="BD75" i="11"/>
  <c r="BD93" i="11"/>
  <c r="BG6" i="11"/>
  <c r="BA85" i="11"/>
  <c r="BA29" i="11"/>
  <c r="BD82" i="11"/>
  <c r="BE43" i="11"/>
  <c r="AZ57" i="11"/>
  <c r="B57" i="12"/>
  <c r="BG73" i="11"/>
  <c r="BG91" i="11"/>
  <c r="BE9" i="11"/>
  <c r="BG11" i="11"/>
  <c r="BD59" i="11"/>
  <c r="BE45" i="11"/>
  <c r="BA35" i="11"/>
  <c r="BE56" i="11"/>
  <c r="BE83" i="11"/>
  <c r="BE81" i="11"/>
  <c r="BE38" i="11"/>
  <c r="BG7" i="11"/>
  <c r="BE22" i="11"/>
  <c r="BD9" i="11"/>
  <c r="BD78" i="11"/>
  <c r="BD77" i="11"/>
  <c r="BE99" i="11"/>
  <c r="BE47" i="11"/>
  <c r="BG88" i="11"/>
  <c r="BG33" i="11"/>
  <c r="BD43" i="11"/>
  <c r="BC68" i="11"/>
  <c r="BA49" i="11"/>
  <c r="BC62" i="11"/>
  <c r="BC55" i="11"/>
  <c r="BC43" i="11"/>
  <c r="BA90" i="11"/>
  <c r="BE90" i="11"/>
  <c r="BG8" i="11"/>
  <c r="BE85" i="11"/>
  <c r="BE34" i="11"/>
  <c r="BA77" i="11"/>
  <c r="BC26" i="11"/>
  <c r="BC16" i="11"/>
  <c r="BE20" i="11"/>
  <c r="BA18" i="11"/>
  <c r="AU6" i="11"/>
  <c r="B27" i="12"/>
  <c r="AY27" i="11" s="1"/>
  <c r="B8" i="12"/>
  <c r="B63" i="12"/>
  <c r="AZ31" i="11"/>
  <c r="B31" i="12"/>
  <c r="BE86" i="11"/>
  <c r="BG63" i="11"/>
  <c r="BE72" i="11"/>
  <c r="BD72" i="11"/>
  <c r="BG34" i="11"/>
  <c r="BG35" i="11"/>
  <c r="BG77" i="11"/>
  <c r="BA41" i="11"/>
  <c r="BE21" i="11"/>
  <c r="BA60" i="11"/>
  <c r="BE48" i="11"/>
  <c r="BG84" i="11"/>
  <c r="BD68" i="11"/>
  <c r="BA34" i="11"/>
  <c r="BD29" i="11"/>
  <c r="BD46" i="11"/>
  <c r="BE57" i="11"/>
  <c r="BE18" i="11"/>
  <c r="BA81" i="11"/>
  <c r="BG61" i="11"/>
  <c r="BE87" i="11"/>
  <c r="AZ43" i="11"/>
  <c r="B43" i="12"/>
  <c r="BD7" i="11"/>
  <c r="BC27" i="11"/>
  <c r="BC54" i="11"/>
  <c r="AZ18" i="11"/>
  <c r="B18" i="12"/>
  <c r="BC69" i="11"/>
  <c r="BC87" i="11"/>
  <c r="BC72" i="11"/>
  <c r="BC73" i="11"/>
  <c r="BC70" i="11"/>
  <c r="AQ38" i="11"/>
  <c r="AU34" i="11"/>
  <c r="BC44" i="11"/>
  <c r="BC83" i="11"/>
  <c r="BC34" i="11"/>
  <c r="BE51" i="11"/>
  <c r="BA67" i="11"/>
  <c r="BA11" i="11"/>
  <c r="BG74" i="11"/>
  <c r="BG58" i="11"/>
  <c r="BE42" i="11"/>
  <c r="BE60" i="11"/>
  <c r="BD86" i="11"/>
  <c r="BG32" i="11"/>
  <c r="BG50" i="11"/>
  <c r="BA23" i="11"/>
  <c r="BA32" i="11"/>
  <c r="AZ8" i="11"/>
  <c r="BG47" i="11"/>
  <c r="BG48" i="11"/>
  <c r="AZ52" i="11"/>
  <c r="B52" i="12"/>
  <c r="BD16" i="11"/>
  <c r="AZ47" i="11"/>
  <c r="AZ16" i="11"/>
  <c r="BD20" i="11"/>
  <c r="BA52" i="11"/>
  <c r="BD47" i="11"/>
  <c r="BE49" i="11"/>
  <c r="AZ22" i="11"/>
  <c r="B22" i="12"/>
  <c r="BG69" i="11"/>
  <c r="BD39" i="11"/>
  <c r="BE55" i="11"/>
  <c r="BG54" i="11"/>
  <c r="BD44" i="11"/>
  <c r="BE62" i="11"/>
  <c r="BD41" i="11"/>
  <c r="BD35" i="11"/>
  <c r="BG13" i="11"/>
  <c r="BA66" i="11"/>
  <c r="BD18" i="11"/>
  <c r="BG66" i="11"/>
  <c r="AZ48" i="11"/>
  <c r="AR8" i="11"/>
  <c r="BC36" i="11"/>
  <c r="AT33" i="11"/>
  <c r="BA73" i="11"/>
  <c r="BE28" i="11"/>
  <c r="BC85" i="11"/>
  <c r="BD40" i="11"/>
  <c r="BG65" i="11"/>
  <c r="BE63" i="11"/>
  <c r="BD23" i="11"/>
  <c r="BC6" i="11"/>
  <c r="AZ85" i="11"/>
  <c r="B85" i="12"/>
  <c r="AZ59" i="11"/>
  <c r="B59" i="12"/>
  <c r="BG78" i="11"/>
  <c r="BA58" i="11"/>
  <c r="BG39" i="11"/>
  <c r="AZ60" i="11"/>
  <c r="B60" i="12"/>
  <c r="BA46" i="11"/>
  <c r="AZ54" i="11"/>
  <c r="B54" i="12"/>
  <c r="BA48" i="11"/>
  <c r="BG62" i="11"/>
  <c r="BE79" i="11"/>
  <c r="AZ51" i="11"/>
  <c r="B51" i="12"/>
  <c r="BE8" i="11"/>
  <c r="BE66" i="11"/>
  <c r="BE11" i="11"/>
  <c r="AZ25" i="11"/>
  <c r="B25" i="12"/>
  <c r="BE7" i="11"/>
  <c r="BE74" i="11"/>
  <c r="AZ79" i="11"/>
  <c r="B79" i="12"/>
  <c r="BG37" i="11"/>
  <c r="BE29" i="11"/>
  <c r="BE14" i="11"/>
  <c r="BE40" i="11"/>
  <c r="BE67" i="11"/>
  <c r="BG51" i="11"/>
  <c r="BA61" i="11"/>
  <c r="BG82" i="11"/>
  <c r="BD55" i="11"/>
  <c r="BE39" i="11"/>
  <c r="BE31" i="11"/>
  <c r="BG12" i="11"/>
  <c r="AZ49" i="11"/>
  <c r="B49" i="12"/>
  <c r="BC90" i="11"/>
  <c r="AQ7" i="11"/>
  <c r="BA22" i="11"/>
  <c r="BE23" i="11"/>
  <c r="AT39" i="11"/>
  <c r="BC86" i="11"/>
  <c r="BC78" i="11"/>
  <c r="BC65" i="11"/>
  <c r="BC18" i="11"/>
  <c r="BC67" i="11"/>
  <c r="BD27" i="11"/>
  <c r="BC28" i="11"/>
  <c r="BC32" i="11"/>
  <c r="BD56" i="11"/>
  <c r="BD48" i="11"/>
  <c r="AZ12" i="11"/>
  <c r="B12" i="12"/>
  <c r="AR91" i="11"/>
  <c r="B80" i="12"/>
  <c r="AQ17" i="11"/>
  <c r="BE93" i="11"/>
  <c r="AZ65" i="11"/>
  <c r="B65" i="12"/>
  <c r="BE46" i="11"/>
  <c r="BD54" i="11"/>
  <c r="BA37" i="11"/>
  <c r="BE17" i="11"/>
  <c r="BG19" i="11"/>
  <c r="AZ55" i="11"/>
  <c r="BD69" i="11"/>
  <c r="BG55" i="11"/>
  <c r="BD30" i="11"/>
  <c r="BE32" i="11"/>
  <c r="BG68" i="11"/>
  <c r="BD19" i="11"/>
  <c r="BE13" i="11"/>
  <c r="AZ92" i="11"/>
  <c r="B92" i="12"/>
  <c r="BA20" i="11"/>
  <c r="BA88" i="11"/>
  <c r="BE68" i="11"/>
  <c r="BG45" i="11"/>
  <c r="BE71" i="11"/>
  <c r="BD22" i="11"/>
  <c r="BD64" i="11"/>
  <c r="B38" i="12"/>
  <c r="AT10" i="11"/>
  <c r="BC22" i="11"/>
  <c r="BC57" i="11"/>
  <c r="BC71" i="11"/>
  <c r="BC20" i="11"/>
  <c r="BC11" i="11"/>
  <c r="BC93" i="11"/>
  <c r="BC21" i="11"/>
  <c r="BC77" i="11"/>
  <c r="BC17" i="11"/>
  <c r="BC56" i="11"/>
  <c r="BC40" i="11"/>
  <c r="BE96" i="11"/>
  <c r="BE35" i="11"/>
  <c r="BA42" i="11"/>
  <c r="BG56" i="11"/>
  <c r="AZ44" i="11"/>
  <c r="B44" i="12"/>
  <c r="BE41" i="11"/>
  <c r="BE26" i="11"/>
  <c r="BE84" i="11"/>
  <c r="BE44" i="11"/>
  <c r="BD70" i="11"/>
  <c r="AZ93" i="11"/>
  <c r="BA14" i="11"/>
  <c r="AZ89" i="11"/>
  <c r="B89" i="12"/>
  <c r="BE78" i="11"/>
  <c r="BG31" i="11"/>
  <c r="AZ27" i="11"/>
  <c r="BE24" i="11"/>
  <c r="BE91" i="11"/>
  <c r="BG20" i="11"/>
  <c r="BE70" i="11"/>
  <c r="BE54" i="11"/>
  <c r="BG24" i="11"/>
  <c r="AZ28" i="11"/>
  <c r="B28" i="12"/>
  <c r="BA6" i="11"/>
  <c r="BD60" i="11"/>
  <c r="BE65" i="11"/>
  <c r="BG18" i="11"/>
  <c r="BD28" i="11"/>
  <c r="BD87" i="11"/>
  <c r="BD65" i="11"/>
  <c r="B91" i="12"/>
  <c r="AZ91" i="11"/>
  <c r="BE37" i="11"/>
  <c r="BD45" i="11"/>
  <c r="BA10" i="11"/>
  <c r="B48" i="12"/>
  <c r="B16" i="12"/>
  <c r="I16" i="10" s="1"/>
  <c r="AQ37" i="11"/>
  <c r="AZ29" i="11"/>
  <c r="AZ74" i="11"/>
  <c r="B17" i="12"/>
  <c r="I17" i="10" s="1"/>
  <c r="B64" i="12"/>
  <c r="BD96" i="11"/>
  <c r="BC88" i="11"/>
  <c r="BC47" i="11"/>
  <c r="B20" i="12"/>
  <c r="AZ20" i="11"/>
  <c r="BC58" i="11"/>
  <c r="BC51" i="11"/>
  <c r="BD31" i="11"/>
  <c r="BC25" i="11"/>
  <c r="BG76" i="11"/>
  <c r="BA28" i="11"/>
  <c r="AZ70" i="11"/>
  <c r="AZ30" i="11"/>
  <c r="B30" i="12"/>
  <c r="BD25" i="11"/>
  <c r="BD58" i="11"/>
  <c r="BG29" i="11"/>
  <c r="BA26" i="11"/>
  <c r="BG23" i="11"/>
  <c r="BG25" i="11"/>
  <c r="BD32" i="11"/>
  <c r="BD33" i="11"/>
  <c r="AZ73" i="11"/>
  <c r="B73" i="12"/>
  <c r="BG46" i="11"/>
  <c r="BD53" i="11"/>
  <c r="BG57" i="11"/>
  <c r="BG67" i="11"/>
  <c r="BA39" i="11"/>
  <c r="BG93" i="11"/>
  <c r="BA33" i="11"/>
  <c r="BA92" i="11"/>
  <c r="BE73" i="11"/>
  <c r="BG42" i="11"/>
  <c r="BG43" i="11"/>
  <c r="AZ63" i="11"/>
  <c r="BA75" i="11"/>
  <c r="BG80" i="11"/>
  <c r="AZ68" i="11"/>
  <c r="B68" i="12"/>
  <c r="AZ78" i="11"/>
  <c r="B78" i="12"/>
  <c r="BE50" i="11"/>
  <c r="BE76" i="11"/>
  <c r="BG49" i="11"/>
  <c r="BD92" i="11"/>
  <c r="BG83" i="11"/>
  <c r="BE16" i="11"/>
  <c r="BD76" i="11"/>
  <c r="BG14" i="11"/>
  <c r="B21" i="12"/>
  <c r="BD8" i="11"/>
  <c r="BE19" i="11"/>
  <c r="BD24" i="11"/>
  <c r="BC59" i="11"/>
  <c r="BC19" i="11"/>
  <c r="BC53" i="11"/>
  <c r="BC46" i="11"/>
  <c r="BC35" i="11"/>
  <c r="BC45" i="11"/>
  <c r="BC79" i="11"/>
  <c r="BA57" i="11"/>
  <c r="AZ14" i="11"/>
  <c r="BA15" i="11"/>
  <c r="B15" i="12"/>
  <c r="AZ62" i="11"/>
  <c r="B62" i="12"/>
  <c r="B69" i="12"/>
  <c r="B37" i="12"/>
  <c r="AY37" i="11" s="1"/>
  <c r="B29" i="12"/>
  <c r="B74" i="12"/>
  <c r="AQ19" i="11"/>
  <c r="BG60" i="11"/>
  <c r="BE69" i="11"/>
  <c r="AZ33" i="11"/>
  <c r="B33" i="12"/>
  <c r="BE30" i="11"/>
  <c r="BD38" i="11"/>
  <c r="BG75" i="11"/>
  <c r="B87" i="12"/>
  <c r="AZ87" i="11"/>
  <c r="BD26" i="11"/>
  <c r="BE53" i="11"/>
  <c r="BA27" i="11"/>
  <c r="BD88" i="11"/>
  <c r="BA79" i="11"/>
  <c r="AZ46" i="11"/>
  <c r="B46" i="12"/>
  <c r="BG87" i="11"/>
  <c r="B67" i="12"/>
  <c r="AZ67" i="11"/>
  <c r="BE80" i="11"/>
  <c r="BA45" i="11"/>
  <c r="BE58" i="11"/>
  <c r="BA40" i="11"/>
  <c r="AZ82" i="11"/>
  <c r="B82" i="12"/>
  <c r="AZ42" i="11"/>
  <c r="B42" i="12"/>
  <c r="BA70" i="11"/>
  <c r="BA30" i="11"/>
  <c r="BC24" i="11"/>
  <c r="BC12" i="11"/>
  <c r="BA65" i="11"/>
  <c r="BG95" i="11"/>
  <c r="BC92" i="11"/>
  <c r="BC23" i="11"/>
  <c r="BC14" i="11"/>
  <c r="BC15" i="11"/>
  <c r="BC29" i="11"/>
  <c r="BD90" i="11"/>
  <c r="AZ90" i="11"/>
  <c r="BC7" i="11"/>
  <c r="BA36" i="11"/>
  <c r="BD10" i="11"/>
  <c r="BD12" i="11"/>
  <c r="BG40" i="11"/>
  <c r="BA13" i="11"/>
  <c r="B13" i="12"/>
  <c r="BG92" i="11"/>
  <c r="BE10" i="11"/>
  <c r="BA64" i="11"/>
  <c r="BA17" i="11"/>
  <c r="AZ34" i="11"/>
  <c r="B34" i="12"/>
  <c r="BD15" i="11"/>
  <c r="BE75" i="11"/>
  <c r="BD66" i="11"/>
  <c r="BG70" i="11"/>
  <c r="AZ41" i="11"/>
  <c r="B41" i="12"/>
  <c r="AZ10" i="11"/>
  <c r="B10" i="12"/>
  <c r="BA12" i="11"/>
  <c r="BD81" i="11"/>
  <c r="BA74" i="11"/>
  <c r="BD52" i="11"/>
  <c r="BA19" i="11"/>
  <c r="BD80" i="11"/>
  <c r="BG9" i="11"/>
  <c r="BD74" i="11"/>
  <c r="BA43" i="11"/>
  <c r="AZ39" i="11"/>
  <c r="B39" i="12"/>
  <c r="AZ76" i="11"/>
  <c r="B76" i="12"/>
  <c r="BG36" i="11"/>
  <c r="BE15" i="11"/>
  <c r="AQ21" i="11"/>
  <c r="BE88" i="11"/>
  <c r="BE6" i="11"/>
  <c r="BD62" i="11"/>
  <c r="BC50" i="11"/>
  <c r="BC60" i="11"/>
  <c r="BA16" i="11"/>
  <c r="B66" i="12"/>
  <c r="AQ40" i="11"/>
  <c r="B71" i="12"/>
  <c r="AZ95" i="11"/>
  <c r="BC91" i="11"/>
  <c r="BC42" i="11"/>
  <c r="BC89" i="11"/>
  <c r="BC81" i="11"/>
  <c r="BC75" i="11"/>
  <c r="BC41" i="11"/>
  <c r="BC52" i="11"/>
  <c r="BD37" i="11"/>
  <c r="BA50" i="11"/>
  <c r="BG53" i="11"/>
  <c r="BA86" i="11"/>
  <c r="BA56" i="11"/>
  <c r="BD42" i="11"/>
  <c r="BD11" i="11"/>
  <c r="BA84" i="11"/>
  <c r="BG81" i="11"/>
  <c r="BA87" i="11"/>
  <c r="BG10" i="11"/>
  <c r="BD17" i="11"/>
  <c r="BA89" i="11"/>
  <c r="BE52" i="11"/>
  <c r="BG30" i="11"/>
  <c r="BG15" i="11"/>
  <c r="BG41" i="11"/>
  <c r="BG26" i="11"/>
  <c r="BA7" i="11"/>
  <c r="B7" i="12"/>
  <c r="BE59" i="11"/>
  <c r="BD85" i="11"/>
  <c r="BG89" i="11"/>
  <c r="AZ36" i="11"/>
  <c r="B36" i="12"/>
  <c r="BE33" i="11"/>
  <c r="BG27" i="11"/>
  <c r="BG86" i="11"/>
  <c r="BE61" i="11"/>
  <c r="BA59" i="11"/>
  <c r="BE89" i="11"/>
  <c r="BA54" i="11"/>
  <c r="AZ6" i="11"/>
  <c r="BA51" i="11"/>
  <c r="BE77" i="11"/>
  <c r="BG38" i="11"/>
  <c r="BE25" i="11"/>
  <c r="AZ75" i="11"/>
  <c r="B75" i="12"/>
  <c r="B83" i="12"/>
  <c r="AZ83" i="11"/>
  <c r="BA72" i="11"/>
  <c r="BD84" i="11"/>
  <c r="BA31" i="11"/>
  <c r="BA9" i="11"/>
  <c r="AZ71" i="11"/>
  <c r="BA83" i="11"/>
  <c r="BD91" i="11"/>
  <c r="BC64" i="11"/>
  <c r="BC13" i="11"/>
  <c r="BC48" i="11"/>
  <c r="BC61" i="11"/>
  <c r="BA25" i="11"/>
  <c r="BC30" i="11"/>
  <c r="BC37" i="11"/>
  <c r="BC9" i="11"/>
  <c r="BG90" i="11"/>
  <c r="BC38" i="11"/>
  <c r="P80" i="20"/>
  <c r="P85" i="20"/>
  <c r="P93" i="20"/>
  <c r="P79" i="20"/>
  <c r="P92" i="20"/>
  <c r="P84" i="20"/>
  <c r="P87" i="20"/>
  <c r="O26" i="14"/>
  <c r="P26" i="14" s="1"/>
  <c r="B73" i="5"/>
  <c r="BD99" i="11"/>
  <c r="BA98" i="11"/>
  <c r="B99" i="12"/>
  <c r="P97" i="20"/>
  <c r="P96" i="20"/>
  <c r="P95" i="20"/>
  <c r="O28" i="14"/>
  <c r="H28" i="14"/>
  <c r="O29" i="14"/>
  <c r="P99" i="20"/>
  <c r="P98" i="20"/>
  <c r="B96" i="12"/>
  <c r="D14" i="5"/>
  <c r="AZ94" i="11"/>
  <c r="AZ96" i="11"/>
  <c r="I28" i="14"/>
  <c r="C73" i="5"/>
  <c r="D29" i="5"/>
  <c r="B94" i="12"/>
  <c r="BD98" i="11"/>
  <c r="AZ97" i="11"/>
  <c r="B97" i="12"/>
  <c r="BA99" i="11"/>
  <c r="BG94" i="11"/>
  <c r="BC95" i="11"/>
  <c r="B95" i="12"/>
  <c r="BG98" i="11"/>
  <c r="AZ98" i="11"/>
  <c r="B98" i="12"/>
  <c r="BE98" i="11"/>
  <c r="BA94" i="11"/>
  <c r="BC94" i="11"/>
  <c r="BE94" i="11"/>
  <c r="BC98" i="11"/>
  <c r="U29" i="9"/>
  <c r="BD94" i="11"/>
  <c r="BC99" i="11"/>
  <c r="BC96" i="11"/>
  <c r="U7" i="9"/>
  <c r="U25" i="9"/>
  <c r="P94" i="20"/>
  <c r="P10" i="20"/>
  <c r="P50" i="20"/>
  <c r="P90" i="20"/>
  <c r="O27" i="14"/>
  <c r="P27" i="14" s="1"/>
  <c r="O9" i="14"/>
  <c r="P9" i="14" s="1"/>
  <c r="P18" i="20"/>
  <c r="P30" i="20"/>
  <c r="O12" i="14"/>
  <c r="P12" i="14" s="1"/>
  <c r="P74" i="20"/>
  <c r="O23" i="14"/>
  <c r="P23" i="14" s="1"/>
  <c r="P82" i="20"/>
  <c r="O25" i="14"/>
  <c r="P25" i="14" s="1"/>
  <c r="P34" i="20"/>
  <c r="O13" i="14"/>
  <c r="P13" i="14" s="1"/>
  <c r="P6" i="20"/>
  <c r="O6" i="14"/>
  <c r="P6" i="14" s="1"/>
  <c r="P54" i="20"/>
  <c r="O18" i="14"/>
  <c r="P18" i="14" s="1"/>
  <c r="O24" i="14"/>
  <c r="P24" i="14" s="1"/>
  <c r="P78" i="20"/>
  <c r="P62" i="20"/>
  <c r="O20" i="14"/>
  <c r="P20" i="14" s="1"/>
  <c r="O19" i="14"/>
  <c r="P19" i="14" s="1"/>
  <c r="P58" i="20"/>
  <c r="O11" i="14"/>
  <c r="P11" i="14" s="1"/>
  <c r="P26" i="20"/>
  <c r="P66" i="20"/>
  <c r="O21" i="14"/>
  <c r="P21" i="14" s="1"/>
  <c r="P86" i="20"/>
  <c r="I8" i="17"/>
  <c r="I46" i="17"/>
  <c r="I47" i="17"/>
  <c r="I45" i="17"/>
  <c r="P42" i="20"/>
  <c r="O15" i="14"/>
  <c r="P15" i="14" s="1"/>
  <c r="P46" i="20"/>
  <c r="O16" i="14"/>
  <c r="P16" i="14" s="1"/>
  <c r="P38" i="20"/>
  <c r="O14" i="14"/>
  <c r="P14" i="14" s="1"/>
  <c r="O8" i="14"/>
  <c r="P8" i="14" s="1"/>
  <c r="P14" i="20"/>
  <c r="P22" i="20"/>
  <c r="O10" i="14"/>
  <c r="P10" i="14" s="1"/>
  <c r="P70" i="20"/>
  <c r="O22" i="14"/>
  <c r="P22" i="14" s="1"/>
  <c r="U27" i="9"/>
  <c r="U9" i="9"/>
  <c r="U13" i="9"/>
  <c r="U14" i="9"/>
  <c r="U20" i="9"/>
  <c r="U11" i="9"/>
  <c r="U6" i="9"/>
  <c r="U16" i="9"/>
  <c r="U10" i="9"/>
  <c r="U12" i="9"/>
  <c r="U24" i="9"/>
  <c r="U18" i="9"/>
  <c r="U8" i="9"/>
  <c r="U15" i="9"/>
  <c r="U22" i="9"/>
  <c r="U21" i="9"/>
  <c r="D10" i="5"/>
  <c r="G71" i="5"/>
  <c r="G72" i="5"/>
  <c r="G73" i="5"/>
  <c r="G74" i="5"/>
  <c r="H18" i="14"/>
  <c r="I18" i="14"/>
  <c r="U17" i="9"/>
  <c r="H22" i="14"/>
  <c r="I22" i="14"/>
  <c r="H9" i="14"/>
  <c r="I9" i="14"/>
  <c r="P7" i="14"/>
  <c r="H11" i="14"/>
  <c r="I11" i="14"/>
  <c r="H25" i="14"/>
  <c r="I25" i="14"/>
  <c r="H10" i="14"/>
  <c r="I10" i="14"/>
  <c r="I34" i="19"/>
  <c r="I22" i="19"/>
  <c r="I10" i="19"/>
  <c r="J8" i="19"/>
  <c r="I35" i="19"/>
  <c r="I13" i="19"/>
  <c r="I30" i="19"/>
  <c r="I27" i="19"/>
  <c r="I28" i="19"/>
  <c r="I23" i="19"/>
  <c r="I20" i="19"/>
  <c r="I16" i="19"/>
  <c r="I15" i="19"/>
  <c r="I36" i="19"/>
  <c r="I33" i="19"/>
  <c r="I17" i="19"/>
  <c r="I14" i="19"/>
  <c r="I29" i="19"/>
  <c r="I24" i="19"/>
  <c r="I21" i="19"/>
  <c r="H14" i="14"/>
  <c r="I14" i="14"/>
  <c r="H17" i="14"/>
  <c r="I17" i="14"/>
  <c r="H15" i="14"/>
  <c r="I15" i="14"/>
  <c r="U28" i="9"/>
  <c r="H16" i="14"/>
  <c r="I16" i="14"/>
  <c r="H20" i="14"/>
  <c r="I20" i="14"/>
  <c r="H19" i="14"/>
  <c r="I19" i="14"/>
  <c r="H8" i="14"/>
  <c r="I8" i="14"/>
  <c r="H13" i="14"/>
  <c r="I13" i="14"/>
  <c r="U19" i="9"/>
  <c r="H7" i="14"/>
  <c r="I7" i="14"/>
  <c r="U23" i="9"/>
  <c r="I12" i="14"/>
  <c r="H12" i="14"/>
  <c r="U26" i="9"/>
  <c r="H29" i="14"/>
  <c r="I29" i="14"/>
  <c r="H21" i="14"/>
  <c r="I21" i="14"/>
  <c r="H27" i="14"/>
  <c r="I27" i="14"/>
  <c r="H26" i="14"/>
  <c r="I26" i="14"/>
  <c r="I41" i="17"/>
  <c r="I33" i="17"/>
  <c r="I38" i="17"/>
  <c r="I29" i="17"/>
  <c r="I30" i="17"/>
  <c r="I28" i="17"/>
  <c r="I25" i="17"/>
  <c r="I16" i="17"/>
  <c r="I22" i="17"/>
  <c r="I12" i="17"/>
  <c r="I27" i="17"/>
  <c r="I18" i="17"/>
  <c r="I24" i="17"/>
  <c r="I14" i="17"/>
  <c r="I21" i="17"/>
  <c r="I11" i="17"/>
  <c r="I42" i="17"/>
  <c r="I40" i="17"/>
  <c r="I26" i="17"/>
  <c r="I17" i="17"/>
  <c r="J6" i="17"/>
  <c r="I39" i="17"/>
  <c r="I35" i="17"/>
  <c r="I23" i="17"/>
  <c r="I13" i="17"/>
  <c r="I34" i="17"/>
  <c r="I37" i="17"/>
  <c r="I20" i="17"/>
  <c r="I10" i="17"/>
  <c r="I36" i="17"/>
  <c r="I32" i="17"/>
  <c r="H23" i="14"/>
  <c r="I23" i="14"/>
  <c r="H24" i="14"/>
  <c r="I24" i="14"/>
  <c r="H6" i="14"/>
  <c r="I6" i="14"/>
  <c r="B32" i="5"/>
  <c r="G13" i="6"/>
  <c r="H18" i="8"/>
  <c r="H8" i="5"/>
  <c r="E13" i="6"/>
  <c r="H24" i="5"/>
  <c r="H7" i="5"/>
  <c r="H10" i="8"/>
  <c r="H22" i="8"/>
  <c r="H32" i="5"/>
  <c r="H30" i="5"/>
  <c r="H21" i="5"/>
  <c r="C13" i="6"/>
  <c r="C24" i="5"/>
  <c r="H25" i="5"/>
  <c r="H16" i="8"/>
  <c r="F31" i="5"/>
  <c r="H20" i="5"/>
  <c r="H9" i="8"/>
  <c r="G31" i="5"/>
  <c r="H14" i="5"/>
  <c r="I13" i="6"/>
  <c r="C33" i="5"/>
  <c r="H11" i="8"/>
  <c r="B13" i="6"/>
  <c r="F13" i="6"/>
  <c r="B24" i="5"/>
  <c r="H31" i="5"/>
  <c r="H19" i="5"/>
  <c r="H19" i="8"/>
  <c r="C32" i="5"/>
  <c r="E31" i="5"/>
  <c r="H5" i="5"/>
  <c r="H17" i="5"/>
  <c r="H15" i="8"/>
  <c r="B33" i="5"/>
  <c r="H28" i="5"/>
  <c r="H29" i="5"/>
  <c r="H26" i="5"/>
  <c r="H33" i="5"/>
  <c r="H13" i="8"/>
  <c r="H9" i="5"/>
  <c r="H13" i="5"/>
  <c r="H7" i="8"/>
  <c r="H12" i="8"/>
  <c r="H10" i="5"/>
  <c r="H21" i="8"/>
  <c r="H18" i="5"/>
  <c r="H6" i="5"/>
  <c r="H23" i="5"/>
  <c r="H27" i="5"/>
  <c r="H8" i="8"/>
  <c r="H20" i="8"/>
  <c r="H22" i="5"/>
  <c r="H6" i="8"/>
  <c r="H15" i="5"/>
  <c r="H17" i="8"/>
  <c r="H5" i="8"/>
  <c r="H16" i="5"/>
  <c r="H14" i="8"/>
  <c r="AY40" i="11" l="1"/>
  <c r="AP40" i="11" s="1"/>
  <c r="I32" i="10"/>
  <c r="I14" i="10"/>
  <c r="AV95" i="11"/>
  <c r="AQ99" i="11"/>
  <c r="I70" i="10"/>
  <c r="AQ53" i="11"/>
  <c r="AQ64" i="11"/>
  <c r="AT82" i="11"/>
  <c r="AQ61" i="11"/>
  <c r="AR71" i="11"/>
  <c r="AR55" i="11"/>
  <c r="AX96" i="11"/>
  <c r="AR97" i="11"/>
  <c r="AQ58" i="11"/>
  <c r="AQ50" i="11"/>
  <c r="AQ66" i="11"/>
  <c r="AQ56" i="11"/>
  <c r="AQ72" i="11"/>
  <c r="AX99" i="11"/>
  <c r="AR63" i="11"/>
  <c r="AV97" i="11"/>
  <c r="AY24" i="11"/>
  <c r="AP24" i="11" s="1"/>
  <c r="I19" i="10"/>
  <c r="I27" i="10"/>
  <c r="AY6" i="11"/>
  <c r="AP6" i="11" s="1"/>
  <c r="AY17" i="11"/>
  <c r="AP17" i="11" s="1"/>
  <c r="I23" i="10"/>
  <c r="I11" i="10"/>
  <c r="AY45" i="11"/>
  <c r="AP45" i="11" s="1"/>
  <c r="AY16" i="11"/>
  <c r="AP16" i="11" s="1"/>
  <c r="AT97" i="11"/>
  <c r="AX97" i="11"/>
  <c r="I93" i="10"/>
  <c r="AQ81" i="11"/>
  <c r="AR95" i="11"/>
  <c r="AY90" i="11"/>
  <c r="AU95" i="11"/>
  <c r="AQ80" i="11"/>
  <c r="AQ86" i="11"/>
  <c r="AQ88" i="11"/>
  <c r="I37" i="10"/>
  <c r="I9" i="10"/>
  <c r="I81" i="10"/>
  <c r="I47" i="10"/>
  <c r="AY47" i="11"/>
  <c r="AP47" i="11" s="1"/>
  <c r="AU97" i="11"/>
  <c r="I66" i="10"/>
  <c r="AQ77" i="11"/>
  <c r="AY55" i="11"/>
  <c r="AY69" i="11"/>
  <c r="I72" i="10"/>
  <c r="I55" i="10"/>
  <c r="AY72" i="11"/>
  <c r="AY86" i="11"/>
  <c r="AY29" i="11"/>
  <c r="AP29" i="11" s="1"/>
  <c r="AQ69" i="11"/>
  <c r="I8" i="10"/>
  <c r="AY8" i="11"/>
  <c r="AP8" i="11" s="1"/>
  <c r="I29" i="10"/>
  <c r="AY81" i="11"/>
  <c r="I88" i="10"/>
  <c r="AY88" i="11"/>
  <c r="I69" i="10"/>
  <c r="AY48" i="11"/>
  <c r="I61" i="10"/>
  <c r="AY61" i="11"/>
  <c r="AY53" i="11"/>
  <c r="I53" i="10"/>
  <c r="I58" i="10"/>
  <c r="I90" i="10"/>
  <c r="I63" i="10"/>
  <c r="AY63" i="11"/>
  <c r="I56" i="10"/>
  <c r="AY56" i="11"/>
  <c r="I74" i="10"/>
  <c r="AY74" i="11"/>
  <c r="I77" i="10"/>
  <c r="AY70" i="11"/>
  <c r="AY77" i="11"/>
  <c r="I71" i="10"/>
  <c r="AY71" i="11"/>
  <c r="AY58" i="11"/>
  <c r="I50" i="10"/>
  <c r="AY80" i="11"/>
  <c r="AY66" i="11"/>
  <c r="I86" i="10"/>
  <c r="AY50" i="11"/>
  <c r="I80" i="10"/>
  <c r="I64" i="10"/>
  <c r="AY64" i="11"/>
  <c r="I48" i="10"/>
  <c r="AV77" i="11"/>
  <c r="AR87" i="11"/>
  <c r="AR16" i="11"/>
  <c r="AR19" i="11"/>
  <c r="AX60" i="11"/>
  <c r="AX80" i="11"/>
  <c r="AY20" i="11"/>
  <c r="I20" i="10"/>
  <c r="AV65" i="11"/>
  <c r="AU56" i="11"/>
  <c r="AV63" i="11"/>
  <c r="AR52" i="11"/>
  <c r="AU51" i="11"/>
  <c r="AQ75" i="11"/>
  <c r="AR51" i="11"/>
  <c r="AR59" i="11"/>
  <c r="AU85" i="11"/>
  <c r="AQ95" i="11"/>
  <c r="AY76" i="11"/>
  <c r="I76" i="10"/>
  <c r="AY10" i="11"/>
  <c r="I10" i="10"/>
  <c r="AQ34" i="11"/>
  <c r="AX92" i="11"/>
  <c r="AY42" i="11"/>
  <c r="I42" i="10"/>
  <c r="AQ87" i="11"/>
  <c r="AV30" i="11"/>
  <c r="AY62" i="11"/>
  <c r="I62" i="10"/>
  <c r="AR57" i="11"/>
  <c r="I78" i="10"/>
  <c r="AY78" i="11"/>
  <c r="AR39" i="11"/>
  <c r="AU32" i="11"/>
  <c r="AX29" i="11"/>
  <c r="AV37" i="11"/>
  <c r="AX24" i="11"/>
  <c r="AV91" i="11"/>
  <c r="AV78" i="11"/>
  <c r="AR42" i="11"/>
  <c r="AT56" i="11"/>
  <c r="AT21" i="11"/>
  <c r="AT71" i="11"/>
  <c r="AQ92" i="11"/>
  <c r="AV32" i="11"/>
  <c r="AQ55" i="11"/>
  <c r="AU54" i="11"/>
  <c r="AV31" i="11"/>
  <c r="AR61" i="11"/>
  <c r="AV14" i="11"/>
  <c r="AV11" i="11"/>
  <c r="AQ54" i="11"/>
  <c r="AQ85" i="11"/>
  <c r="AU18" i="11"/>
  <c r="AU35" i="11"/>
  <c r="AX54" i="11"/>
  <c r="I52" i="10"/>
  <c r="AY52" i="11"/>
  <c r="AQ8" i="11"/>
  <c r="AX32" i="11"/>
  <c r="AX58" i="11"/>
  <c r="AV51" i="11"/>
  <c r="AT72" i="11"/>
  <c r="AQ43" i="11"/>
  <c r="AV18" i="11"/>
  <c r="AR60" i="11"/>
  <c r="AX35" i="11"/>
  <c r="AX63" i="11"/>
  <c r="AT26" i="11"/>
  <c r="AX8" i="11"/>
  <c r="AT55" i="11"/>
  <c r="AU43" i="11"/>
  <c r="AV99" i="11"/>
  <c r="AV22" i="11"/>
  <c r="AV83" i="11"/>
  <c r="AU59" i="11"/>
  <c r="AX73" i="11"/>
  <c r="AQ35" i="11"/>
  <c r="AX22" i="11"/>
  <c r="AR62" i="11"/>
  <c r="AU79" i="11"/>
  <c r="AU63" i="11"/>
  <c r="AU91" i="11"/>
  <c r="AR12" i="11"/>
  <c r="AT14" i="11"/>
  <c r="AR79" i="11"/>
  <c r="AT35" i="11"/>
  <c r="AV50" i="11"/>
  <c r="AT25" i="11"/>
  <c r="AQ18" i="11"/>
  <c r="AU82" i="11"/>
  <c r="AX28" i="11"/>
  <c r="AT37" i="11"/>
  <c r="AT48" i="11"/>
  <c r="AR83" i="11"/>
  <c r="AU84" i="11"/>
  <c r="AV33" i="11"/>
  <c r="AX41" i="11"/>
  <c r="AR89" i="11"/>
  <c r="AX81" i="11"/>
  <c r="AR56" i="11"/>
  <c r="AU37" i="11"/>
  <c r="AT81" i="11"/>
  <c r="AT60" i="11"/>
  <c r="AV88" i="11"/>
  <c r="AU74" i="11"/>
  <c r="AU52" i="11"/>
  <c r="AU66" i="11"/>
  <c r="AY13" i="11"/>
  <c r="I13" i="10"/>
  <c r="AU10" i="11"/>
  <c r="AU90" i="11"/>
  <c r="AT23" i="11"/>
  <c r="AT12" i="11"/>
  <c r="AV58" i="11"/>
  <c r="AU88" i="11"/>
  <c r="AY87" i="11"/>
  <c r="I87" i="10"/>
  <c r="AY33" i="11"/>
  <c r="I33" i="10"/>
  <c r="AT46" i="11"/>
  <c r="AU24" i="11"/>
  <c r="AX14" i="11"/>
  <c r="AU92" i="11"/>
  <c r="AR75" i="11"/>
  <c r="AV73" i="11"/>
  <c r="AX46" i="11"/>
  <c r="AQ70" i="11"/>
  <c r="AU31" i="11"/>
  <c r="AQ91" i="11"/>
  <c r="AU87" i="11"/>
  <c r="AU60" i="11"/>
  <c r="AY89" i="11"/>
  <c r="I89" i="10"/>
  <c r="AU70" i="11"/>
  <c r="AV41" i="11"/>
  <c r="AU64" i="11"/>
  <c r="AV68" i="11"/>
  <c r="AY12" i="11"/>
  <c r="I12" i="10"/>
  <c r="AT32" i="11"/>
  <c r="AT18" i="11"/>
  <c r="AT90" i="11"/>
  <c r="AV74" i="11"/>
  <c r="AV79" i="11"/>
  <c r="AR58" i="11"/>
  <c r="AX65" i="11"/>
  <c r="AR73" i="11"/>
  <c r="AQ22" i="11"/>
  <c r="AU20" i="11"/>
  <c r="AT54" i="11"/>
  <c r="AY57" i="11"/>
  <c r="I57" i="10"/>
  <c r="AR29" i="11"/>
  <c r="AU75" i="11"/>
  <c r="AY26" i="11"/>
  <c r="I26" i="10"/>
  <c r="AT66" i="11"/>
  <c r="AT74" i="11"/>
  <c r="AY84" i="11"/>
  <c r="I84" i="10"/>
  <c r="AU83" i="11"/>
  <c r="AR76" i="11"/>
  <c r="AU89" i="11"/>
  <c r="AX59" i="11"/>
  <c r="AV92" i="11"/>
  <c r="AT31" i="11"/>
  <c r="AU57" i="11"/>
  <c r="AT9" i="11"/>
  <c r="AV52" i="11"/>
  <c r="AX93" i="11"/>
  <c r="AQ51" i="11"/>
  <c r="AR34" i="11"/>
  <c r="AU93" i="11"/>
  <c r="AU13" i="11"/>
  <c r="AT84" i="11"/>
  <c r="AX64" i="11"/>
  <c r="AP27" i="11"/>
  <c r="I36" i="10"/>
  <c r="AY36" i="11"/>
  <c r="AV59" i="11"/>
  <c r="AQ76" i="11"/>
  <c r="AQ10" i="11"/>
  <c r="AR17" i="11"/>
  <c r="AQ42" i="11"/>
  <c r="AX87" i="11"/>
  <c r="AR27" i="11"/>
  <c r="AQ62" i="11"/>
  <c r="AQ78" i="11"/>
  <c r="AR92" i="11"/>
  <c r="I73" i="10"/>
  <c r="AY73" i="11"/>
  <c r="AX25" i="11"/>
  <c r="AU58" i="11"/>
  <c r="AT47" i="11"/>
  <c r="AY91" i="11"/>
  <c r="I91" i="10"/>
  <c r="AV54" i="11"/>
  <c r="AV24" i="11"/>
  <c r="I44" i="10"/>
  <c r="AY44" i="11"/>
  <c r="AV35" i="11"/>
  <c r="AT17" i="11"/>
  <c r="AT93" i="11"/>
  <c r="AT57" i="11"/>
  <c r="AV13" i="11"/>
  <c r="AU30" i="11"/>
  <c r="AX19" i="11"/>
  <c r="AV46" i="11"/>
  <c r="I49" i="10"/>
  <c r="AY49" i="11"/>
  <c r="AV39" i="11"/>
  <c r="AX51" i="11"/>
  <c r="AV29" i="11"/>
  <c r="AV66" i="11"/>
  <c r="AR46" i="11"/>
  <c r="AR66" i="11"/>
  <c r="AU41" i="11"/>
  <c r="AV55" i="11"/>
  <c r="AQ52" i="11"/>
  <c r="AR32" i="11"/>
  <c r="AU86" i="11"/>
  <c r="AX74" i="11"/>
  <c r="AT34" i="11"/>
  <c r="AT87" i="11"/>
  <c r="AV87" i="11"/>
  <c r="AV57" i="11"/>
  <c r="AU68" i="11"/>
  <c r="AV21" i="11"/>
  <c r="AX34" i="11"/>
  <c r="AV86" i="11"/>
  <c r="AR18" i="11"/>
  <c r="AR77" i="11"/>
  <c r="AV90" i="11"/>
  <c r="AT62" i="11"/>
  <c r="AX33" i="11"/>
  <c r="AU77" i="11"/>
  <c r="AX7" i="11"/>
  <c r="AV56" i="11"/>
  <c r="AX11" i="11"/>
  <c r="AU61" i="11"/>
  <c r="AX52" i="11"/>
  <c r="AV12" i="11"/>
  <c r="AV27" i="11"/>
  <c r="AY99" i="11"/>
  <c r="AR31" i="11"/>
  <c r="AX26" i="11"/>
  <c r="AT91" i="11"/>
  <c r="AX36" i="11"/>
  <c r="AU12" i="11"/>
  <c r="AY67" i="11"/>
  <c r="I67" i="10"/>
  <c r="AQ14" i="11"/>
  <c r="AX42" i="11"/>
  <c r="AV26" i="11"/>
  <c r="AX45" i="11"/>
  <c r="AV93" i="11"/>
  <c r="AY85" i="11"/>
  <c r="I85" i="10"/>
  <c r="AU16" i="11"/>
  <c r="AT49" i="11"/>
  <c r="AT38" i="11"/>
  <c r="AT30" i="11"/>
  <c r="AT13" i="11"/>
  <c r="AQ71" i="11"/>
  <c r="AR72" i="11"/>
  <c r="AV25" i="11"/>
  <c r="AQ6" i="11"/>
  <c r="AV61" i="11"/>
  <c r="AY7" i="11"/>
  <c r="I7" i="10"/>
  <c r="AX15" i="11"/>
  <c r="AU17" i="11"/>
  <c r="AR84" i="11"/>
  <c r="AR86" i="11"/>
  <c r="AT52" i="11"/>
  <c r="AT89" i="11"/>
  <c r="AT50" i="11"/>
  <c r="I39" i="10"/>
  <c r="AY39" i="11"/>
  <c r="AX9" i="11"/>
  <c r="AR74" i="11"/>
  <c r="I41" i="10"/>
  <c r="AY41" i="11"/>
  <c r="AV75" i="11"/>
  <c r="AR13" i="11"/>
  <c r="AR36" i="11"/>
  <c r="AT29" i="11"/>
  <c r="AT92" i="11"/>
  <c r="AT24" i="11"/>
  <c r="AY82" i="11"/>
  <c r="I82" i="10"/>
  <c r="AR45" i="11"/>
  <c r="AY46" i="11"/>
  <c r="I46" i="10"/>
  <c r="AQ33" i="11"/>
  <c r="I15" i="10"/>
  <c r="AY15" i="11"/>
  <c r="AT79" i="11"/>
  <c r="AT53" i="11"/>
  <c r="AV19" i="11"/>
  <c r="AU76" i="11"/>
  <c r="AX49" i="11"/>
  <c r="AY68" i="11"/>
  <c r="I68" i="10"/>
  <c r="AQ63" i="11"/>
  <c r="AX67" i="11"/>
  <c r="AR28" i="11"/>
  <c r="AT51" i="11"/>
  <c r="AQ74" i="11"/>
  <c r="AU28" i="11"/>
  <c r="AR6" i="11"/>
  <c r="AQ89" i="11"/>
  <c r="AV44" i="11"/>
  <c r="AU22" i="11"/>
  <c r="AR88" i="11"/>
  <c r="AY65" i="11"/>
  <c r="I65" i="10"/>
  <c r="AQ12" i="11"/>
  <c r="AT28" i="11"/>
  <c r="AT65" i="11"/>
  <c r="AV23" i="11"/>
  <c r="AV7" i="11"/>
  <c r="AX62" i="11"/>
  <c r="AY60" i="11"/>
  <c r="I60" i="10"/>
  <c r="AX78" i="11"/>
  <c r="AT6" i="11"/>
  <c r="AU40" i="11"/>
  <c r="AV49" i="11"/>
  <c r="AQ16" i="11"/>
  <c r="AT27" i="11"/>
  <c r="AR41" i="11"/>
  <c r="AY31" i="11"/>
  <c r="I31" i="10"/>
  <c r="AR49" i="11"/>
  <c r="AR35" i="11"/>
  <c r="AQ57" i="11"/>
  <c r="AR85" i="11"/>
  <c r="AR80" i="11"/>
  <c r="AQ26" i="11"/>
  <c r="AT63" i="11"/>
  <c r="AT8" i="11"/>
  <c r="AQ84" i="11"/>
  <c r="AR38" i="11"/>
  <c r="AX21" i="11"/>
  <c r="AR69" i="11"/>
  <c r="AV82" i="11"/>
  <c r="AR93" i="11"/>
  <c r="AR21" i="11"/>
  <c r="AX44" i="11"/>
  <c r="I75" i="10"/>
  <c r="AY75" i="11"/>
  <c r="AX27" i="11"/>
  <c r="AR50" i="11"/>
  <c r="AX83" i="11"/>
  <c r="AU53" i="11"/>
  <c r="AQ30" i="11"/>
  <c r="AU65" i="11"/>
  <c r="AY22" i="11"/>
  <c r="I22" i="10"/>
  <c r="AR68" i="11"/>
  <c r="AP19" i="11"/>
  <c r="AP32" i="11"/>
  <c r="AP14" i="11"/>
  <c r="AR25" i="11"/>
  <c r="AQ83" i="11"/>
  <c r="AQ36" i="11"/>
  <c r="AR64" i="11"/>
  <c r="AX95" i="11"/>
  <c r="AX75" i="11"/>
  <c r="AR33" i="11"/>
  <c r="AQ73" i="11"/>
  <c r="AX23" i="11"/>
  <c r="AU25" i="11"/>
  <c r="AT88" i="11"/>
  <c r="AQ29" i="11"/>
  <c r="AR10" i="11"/>
  <c r="AY28" i="11"/>
  <c r="I28" i="10"/>
  <c r="AV70" i="11"/>
  <c r="AQ27" i="11"/>
  <c r="AQ44" i="11"/>
  <c r="AV96" i="11"/>
  <c r="AT11" i="11"/>
  <c r="AT22" i="11"/>
  <c r="AU19" i="11"/>
  <c r="AX55" i="11"/>
  <c r="AV17" i="11"/>
  <c r="AQ49" i="11"/>
  <c r="AU55" i="11"/>
  <c r="AV67" i="11"/>
  <c r="AX37" i="11"/>
  <c r="I25" i="10"/>
  <c r="AY25" i="11"/>
  <c r="AV8" i="11"/>
  <c r="AY59" i="11"/>
  <c r="I59" i="10"/>
  <c r="AQ48" i="11"/>
  <c r="AX13" i="11"/>
  <c r="AV62" i="11"/>
  <c r="AU39" i="11"/>
  <c r="AX48" i="11"/>
  <c r="AR23" i="11"/>
  <c r="AV60" i="11"/>
  <c r="AR11" i="11"/>
  <c r="AT83" i="11"/>
  <c r="AT70" i="11"/>
  <c r="AT69" i="11"/>
  <c r="AX61" i="11"/>
  <c r="AU46" i="11"/>
  <c r="AX84" i="11"/>
  <c r="AU72" i="11"/>
  <c r="AV20" i="11"/>
  <c r="AV34" i="11"/>
  <c r="AR90" i="11"/>
  <c r="AX88" i="11"/>
  <c r="AU78" i="11"/>
  <c r="AV38" i="11"/>
  <c r="AV9" i="11"/>
  <c r="AX79" i="11"/>
  <c r="AX72" i="11"/>
  <c r="AT76" i="11"/>
  <c r="AY93" i="11"/>
  <c r="AX17" i="11"/>
  <c r="AR44" i="11"/>
  <c r="AR78" i="11"/>
  <c r="AP11" i="11"/>
  <c r="AV89" i="11"/>
  <c r="AT75" i="11"/>
  <c r="AQ90" i="11"/>
  <c r="I21" i="10"/>
  <c r="AY21" i="11"/>
  <c r="AY38" i="11"/>
  <c r="I38" i="10"/>
  <c r="AT86" i="11"/>
  <c r="AX39" i="11"/>
  <c r="AU49" i="11"/>
  <c r="AX90" i="11"/>
  <c r="AT64" i="11"/>
  <c r="AR9" i="11"/>
  <c r="I83" i="10"/>
  <c r="AY83" i="11"/>
  <c r="AX38" i="11"/>
  <c r="AR54" i="11"/>
  <c r="AX86" i="11"/>
  <c r="AR7" i="11"/>
  <c r="AX30" i="11"/>
  <c r="AX10" i="11"/>
  <c r="AU11" i="11"/>
  <c r="AX53" i="11"/>
  <c r="AT41" i="11"/>
  <c r="AT42" i="11"/>
  <c r="AU62" i="11"/>
  <c r="AV15" i="11"/>
  <c r="AQ39" i="11"/>
  <c r="AU80" i="11"/>
  <c r="AU81" i="11"/>
  <c r="AQ41" i="11"/>
  <c r="AU15" i="11"/>
  <c r="AX40" i="11"/>
  <c r="AT7" i="11"/>
  <c r="AT15" i="11"/>
  <c r="AR30" i="11"/>
  <c r="AQ82" i="11"/>
  <c r="AV80" i="11"/>
  <c r="AQ46" i="11"/>
  <c r="AV53" i="11"/>
  <c r="AV69" i="11"/>
  <c r="AR15" i="11"/>
  <c r="AT45" i="11"/>
  <c r="AT19" i="11"/>
  <c r="AU8" i="11"/>
  <c r="AV16" i="11"/>
  <c r="AV76" i="11"/>
  <c r="AQ68" i="11"/>
  <c r="AX43" i="11"/>
  <c r="AX57" i="11"/>
  <c r="AY30" i="11"/>
  <c r="I30" i="10"/>
  <c r="AX76" i="11"/>
  <c r="AT58" i="11"/>
  <c r="H23" i="10"/>
  <c r="AX18" i="11"/>
  <c r="AR14" i="11"/>
  <c r="AV84" i="11"/>
  <c r="AV71" i="11"/>
  <c r="AR20" i="11"/>
  <c r="AQ65" i="11"/>
  <c r="AU48" i="11"/>
  <c r="AU27" i="11"/>
  <c r="AT78" i="11"/>
  <c r="AR22" i="11"/>
  <c r="AY79" i="11"/>
  <c r="I79" i="10"/>
  <c r="I51" i="10"/>
  <c r="AY51" i="11"/>
  <c r="AR48" i="11"/>
  <c r="AQ60" i="11"/>
  <c r="AU23" i="11"/>
  <c r="AT85" i="11"/>
  <c r="AT36" i="11"/>
  <c r="AU47" i="11"/>
  <c r="AQ47" i="11"/>
  <c r="I18" i="10"/>
  <c r="AY18" i="11"/>
  <c r="AU7" i="11"/>
  <c r="AQ31" i="11"/>
  <c r="AT68" i="11"/>
  <c r="AV43" i="11"/>
  <c r="AX6" i="11"/>
  <c r="AU73" i="11"/>
  <c r="AU71" i="11"/>
  <c r="AU36" i="11"/>
  <c r="AU50" i="11"/>
  <c r="AX71" i="11"/>
  <c r="AX16" i="11"/>
  <c r="AT80" i="11"/>
  <c r="AR82" i="11"/>
  <c r="AT61" i="11"/>
  <c r="AU42" i="11"/>
  <c r="AV6" i="11"/>
  <c r="AX70" i="11"/>
  <c r="AR40" i="11"/>
  <c r="AU26" i="11"/>
  <c r="AT59" i="11"/>
  <c r="AT67" i="11"/>
  <c r="AV64" i="11"/>
  <c r="AP37" i="11"/>
  <c r="AP9" i="11"/>
  <c r="AX89" i="11"/>
  <c r="AR43" i="11"/>
  <c r="I34" i="10"/>
  <c r="AY34" i="11"/>
  <c r="AV10" i="11"/>
  <c r="AR65" i="11"/>
  <c r="AR70" i="11"/>
  <c r="AQ67" i="11"/>
  <c r="AU38" i="11"/>
  <c r="AU33" i="11"/>
  <c r="AR26" i="11"/>
  <c r="AQ20" i="11"/>
  <c r="AU96" i="11"/>
  <c r="AU45" i="11"/>
  <c r="AQ28" i="11"/>
  <c r="AX20" i="11"/>
  <c r="AX31" i="11"/>
  <c r="AQ93" i="11"/>
  <c r="AX56" i="11"/>
  <c r="AT40" i="11"/>
  <c r="AT77" i="11"/>
  <c r="AT20" i="11"/>
  <c r="AY92" i="11"/>
  <c r="I92" i="10"/>
  <c r="AX68" i="11"/>
  <c r="AU69" i="11"/>
  <c r="AR37" i="11"/>
  <c r="AX12" i="11"/>
  <c r="AX82" i="11"/>
  <c r="AV40" i="11"/>
  <c r="AQ79" i="11"/>
  <c r="AQ25" i="11"/>
  <c r="I54" i="10"/>
  <c r="AY54" i="11"/>
  <c r="AQ59" i="11"/>
  <c r="AV28" i="11"/>
  <c r="AX66" i="11"/>
  <c r="AU44" i="11"/>
  <c r="AX69" i="11"/>
  <c r="AX47" i="11"/>
  <c r="AX50" i="11"/>
  <c r="AV42" i="11"/>
  <c r="AR67" i="11"/>
  <c r="AT44" i="11"/>
  <c r="AT73" i="11"/>
  <c r="AY43" i="11"/>
  <c r="I43" i="10"/>
  <c r="AR81" i="11"/>
  <c r="AU29" i="11"/>
  <c r="AV48" i="11"/>
  <c r="AX77" i="11"/>
  <c r="AV72" i="11"/>
  <c r="AT16" i="11"/>
  <c r="AV85" i="11"/>
  <c r="AT43" i="11"/>
  <c r="AV47" i="11"/>
  <c r="AU9" i="11"/>
  <c r="AV81" i="11"/>
  <c r="AV45" i="11"/>
  <c r="AX91" i="11"/>
  <c r="AY35" i="11"/>
  <c r="I35" i="10"/>
  <c r="AR24" i="11"/>
  <c r="AR53" i="11"/>
  <c r="AX85" i="11"/>
  <c r="AV36" i="11"/>
  <c r="AU21" i="11"/>
  <c r="AQ94" i="11"/>
  <c r="AQ96" i="11"/>
  <c r="AU99" i="11"/>
  <c r="AR98" i="11"/>
  <c r="I99" i="10"/>
  <c r="AY96" i="11"/>
  <c r="I96" i="10"/>
  <c r="P29" i="14"/>
  <c r="P28" i="14"/>
  <c r="I94" i="10"/>
  <c r="AY94" i="11"/>
  <c r="AU94" i="11"/>
  <c r="AR94" i="11"/>
  <c r="AX98" i="11"/>
  <c r="AY97" i="11"/>
  <c r="I97" i="10"/>
  <c r="AV94" i="11"/>
  <c r="AV98" i="11"/>
  <c r="AY95" i="11"/>
  <c r="I95" i="10"/>
  <c r="AQ97" i="11"/>
  <c r="I98" i="10"/>
  <c r="AY98" i="11"/>
  <c r="AT95" i="11"/>
  <c r="AT96" i="11"/>
  <c r="AU98" i="11"/>
  <c r="AT94" i="11"/>
  <c r="AX94" i="11"/>
  <c r="AT99" i="11"/>
  <c r="AQ98" i="11"/>
  <c r="AT98" i="11"/>
  <c r="AR99" i="11"/>
  <c r="J8" i="17"/>
  <c r="J47" i="17"/>
  <c r="J45" i="17"/>
  <c r="J46" i="17"/>
  <c r="D24" i="5"/>
  <c r="H73" i="5"/>
  <c r="H74" i="5"/>
  <c r="H71" i="5"/>
  <c r="H72" i="5"/>
  <c r="J38" i="17"/>
  <c r="J29" i="17"/>
  <c r="J35" i="17"/>
  <c r="J22" i="17"/>
  <c r="J12" i="17"/>
  <c r="J27" i="17"/>
  <c r="J18" i="17"/>
  <c r="J24" i="17"/>
  <c r="J14" i="17"/>
  <c r="J21" i="17"/>
  <c r="J11" i="17"/>
  <c r="J42" i="17"/>
  <c r="J40" i="17"/>
  <c r="J26" i="17"/>
  <c r="J17" i="17"/>
  <c r="K6" i="17"/>
  <c r="J41" i="17"/>
  <c r="J39" i="17"/>
  <c r="J37" i="17"/>
  <c r="J23" i="17"/>
  <c r="J13" i="17"/>
  <c r="J30" i="17"/>
  <c r="J34" i="17"/>
  <c r="J20" i="17"/>
  <c r="J10" i="17"/>
  <c r="J16" i="17"/>
  <c r="J36" i="17"/>
  <c r="J32" i="17"/>
  <c r="J25" i="17"/>
  <c r="J33" i="17"/>
  <c r="J28" i="17"/>
  <c r="J29" i="19"/>
  <c r="J17" i="19"/>
  <c r="K8" i="19"/>
  <c r="J30" i="19"/>
  <c r="J27" i="19"/>
  <c r="J22" i="19"/>
  <c r="J23" i="19"/>
  <c r="J20" i="19"/>
  <c r="J15" i="19"/>
  <c r="J10" i="19"/>
  <c r="J35" i="19"/>
  <c r="J34" i="19"/>
  <c r="J13" i="19"/>
  <c r="J24" i="19"/>
  <c r="J36" i="19"/>
  <c r="J21" i="19"/>
  <c r="J16" i="19"/>
  <c r="J33" i="19"/>
  <c r="J28" i="19"/>
  <c r="J14" i="19"/>
  <c r="G12" i="5"/>
  <c r="H12" i="5"/>
  <c r="I25" i="5"/>
  <c r="C31" i="5"/>
  <c r="B12" i="6"/>
  <c r="I12" i="8"/>
  <c r="F12" i="5"/>
  <c r="I22" i="8"/>
  <c r="G12" i="6"/>
  <c r="I22" i="5"/>
  <c r="I10" i="5"/>
  <c r="C12" i="6"/>
  <c r="I12" i="6"/>
  <c r="I19" i="5"/>
  <c r="I24" i="5"/>
  <c r="E12" i="5"/>
  <c r="I7" i="8"/>
  <c r="I15" i="5"/>
  <c r="F12" i="6"/>
  <c r="B31" i="5"/>
  <c r="I10" i="8"/>
  <c r="I21" i="8"/>
  <c r="I20" i="5"/>
  <c r="E12" i="6"/>
  <c r="I8" i="5"/>
  <c r="I11" i="8"/>
  <c r="I5" i="8"/>
  <c r="I16" i="5"/>
  <c r="I17" i="8"/>
  <c r="I30" i="5"/>
  <c r="I9" i="8"/>
  <c r="I20" i="8"/>
  <c r="I8" i="8"/>
  <c r="I15" i="8"/>
  <c r="I28" i="5"/>
  <c r="I12" i="5"/>
  <c r="I18" i="5"/>
  <c r="I6" i="8"/>
  <c r="I13" i="8"/>
  <c r="I14" i="5"/>
  <c r="I27" i="5"/>
  <c r="I14" i="8"/>
  <c r="I33" i="5"/>
  <c r="I18" i="8"/>
  <c r="I31" i="5"/>
  <c r="I16" i="8"/>
  <c r="I9" i="5"/>
  <c r="I21" i="5"/>
  <c r="I23" i="5"/>
  <c r="I7" i="5"/>
  <c r="I29" i="5"/>
  <c r="I19" i="8"/>
  <c r="I17" i="5"/>
  <c r="I26" i="5"/>
  <c r="I13" i="5"/>
  <c r="I6" i="5"/>
  <c r="I5" i="5"/>
  <c r="I32" i="5"/>
  <c r="I8" i="9" l="1"/>
  <c r="AP48" i="11"/>
  <c r="AP63" i="11"/>
  <c r="AP50" i="11"/>
  <c r="AP77" i="11"/>
  <c r="AP56" i="11"/>
  <c r="AP61" i="11"/>
  <c r="AP69" i="11"/>
  <c r="AP70" i="11"/>
  <c r="AP66" i="11"/>
  <c r="AP72" i="11"/>
  <c r="AP74" i="11"/>
  <c r="AP64" i="11"/>
  <c r="AP53" i="11"/>
  <c r="AP55" i="11"/>
  <c r="I10" i="9"/>
  <c r="AP90" i="11"/>
  <c r="AP86" i="11"/>
  <c r="AP80" i="11"/>
  <c r="AP88" i="11"/>
  <c r="I7" i="9"/>
  <c r="I13" i="9"/>
  <c r="AP81" i="11"/>
  <c r="AP58" i="11"/>
  <c r="I21" i="9"/>
  <c r="I11" i="9"/>
  <c r="I6" i="9"/>
  <c r="I12" i="9"/>
  <c r="AP71" i="11"/>
  <c r="AP99" i="11"/>
  <c r="I16" i="9"/>
  <c r="I22" i="9"/>
  <c r="I24" i="9"/>
  <c r="I18" i="9"/>
  <c r="I23" i="9"/>
  <c r="I27" i="9"/>
  <c r="I20" i="9"/>
  <c r="H14" i="10"/>
  <c r="AP91" i="11"/>
  <c r="AP38" i="11"/>
  <c r="AP59" i="11"/>
  <c r="AP15" i="11"/>
  <c r="AP39" i="11"/>
  <c r="AP84" i="11"/>
  <c r="AP26" i="11"/>
  <c r="AP87" i="11"/>
  <c r="AP62" i="11"/>
  <c r="AP44" i="11"/>
  <c r="AP13" i="11"/>
  <c r="I19" i="9"/>
  <c r="AP43" i="11"/>
  <c r="AP54" i="11"/>
  <c r="I15" i="9"/>
  <c r="AP79" i="11"/>
  <c r="I14" i="9"/>
  <c r="H32" i="10"/>
  <c r="H19" i="10"/>
  <c r="AP22" i="11"/>
  <c r="AP41" i="11"/>
  <c r="AP76" i="11"/>
  <c r="AP73" i="11"/>
  <c r="AP42" i="11"/>
  <c r="AP21" i="11"/>
  <c r="AP28" i="11"/>
  <c r="I25" i="9"/>
  <c r="AP7" i="11"/>
  <c r="H27" i="10"/>
  <c r="I9" i="9"/>
  <c r="H17" i="10"/>
  <c r="AP78" i="11"/>
  <c r="H16" i="10"/>
  <c r="AP34" i="11"/>
  <c r="H45" i="10"/>
  <c r="H47" i="10"/>
  <c r="H29" i="10"/>
  <c r="AP65" i="11"/>
  <c r="AP82" i="11"/>
  <c r="AP89" i="11"/>
  <c r="AP75" i="11"/>
  <c r="I17" i="9"/>
  <c r="AP35" i="11"/>
  <c r="AP18" i="11"/>
  <c r="H11" i="10"/>
  <c r="AP93" i="11"/>
  <c r="AP25" i="11"/>
  <c r="AP31" i="11"/>
  <c r="AP68" i="11"/>
  <c r="AP67" i="11"/>
  <c r="AP49" i="11"/>
  <c r="H6" i="10"/>
  <c r="H9" i="10"/>
  <c r="AP46" i="11"/>
  <c r="AP85" i="11"/>
  <c r="AP12" i="11"/>
  <c r="I26" i="9"/>
  <c r="H24" i="10"/>
  <c r="H37" i="10"/>
  <c r="AP51" i="11"/>
  <c r="H8" i="10"/>
  <c r="H40" i="10"/>
  <c r="AP60" i="11"/>
  <c r="AP33" i="11"/>
  <c r="AP52" i="11"/>
  <c r="AP30" i="11"/>
  <c r="AP96" i="11"/>
  <c r="AP92" i="11"/>
  <c r="AP83" i="11"/>
  <c r="AP36" i="11"/>
  <c r="AP57" i="11"/>
  <c r="AP10" i="11"/>
  <c r="AP20" i="11"/>
  <c r="AP94" i="11"/>
  <c r="I28" i="9"/>
  <c r="I29" i="9"/>
  <c r="AP98" i="11"/>
  <c r="AP95" i="11"/>
  <c r="AP97" i="11"/>
  <c r="K8" i="17"/>
  <c r="K46" i="17"/>
  <c r="K45" i="17"/>
  <c r="K47" i="17"/>
  <c r="I72" i="5"/>
  <c r="I73" i="5"/>
  <c r="I74" i="5"/>
  <c r="I71" i="5"/>
  <c r="K36" i="19"/>
  <c r="K24" i="19"/>
  <c r="K14" i="19"/>
  <c r="L8" i="19"/>
  <c r="K27" i="19"/>
  <c r="K22" i="19"/>
  <c r="K17" i="19"/>
  <c r="K20" i="19"/>
  <c r="K15" i="19"/>
  <c r="K34" i="19"/>
  <c r="K10" i="19"/>
  <c r="K29" i="19"/>
  <c r="K30" i="19"/>
  <c r="K28" i="19"/>
  <c r="K23" i="19"/>
  <c r="K35" i="19"/>
  <c r="K21" i="19"/>
  <c r="K16" i="19"/>
  <c r="K13" i="19"/>
  <c r="K33" i="19"/>
  <c r="K35" i="17"/>
  <c r="K40" i="17"/>
  <c r="K32" i="17"/>
  <c r="K27" i="17"/>
  <c r="K18" i="17"/>
  <c r="K24" i="17"/>
  <c r="K14" i="17"/>
  <c r="K21" i="17"/>
  <c r="K11" i="17"/>
  <c r="K42" i="17"/>
  <c r="K26" i="17"/>
  <c r="K17" i="17"/>
  <c r="L6" i="17"/>
  <c r="K41" i="17"/>
  <c r="K39" i="17"/>
  <c r="K37" i="17"/>
  <c r="K23" i="17"/>
  <c r="K13" i="17"/>
  <c r="K38" i="17"/>
  <c r="K36" i="17"/>
  <c r="K34" i="17"/>
  <c r="K20" i="17"/>
  <c r="K10" i="17"/>
  <c r="K30" i="17"/>
  <c r="K29" i="17"/>
  <c r="K16" i="17"/>
  <c r="K33" i="17"/>
  <c r="K28" i="17"/>
  <c r="K25" i="17"/>
  <c r="K22" i="17"/>
  <c r="K12" i="17"/>
  <c r="J25" i="5"/>
  <c r="J14" i="8"/>
  <c r="J9" i="8"/>
  <c r="J7" i="8"/>
  <c r="J8" i="8"/>
  <c r="J21" i="8"/>
  <c r="J31" i="5"/>
  <c r="J23" i="5"/>
  <c r="J15" i="5"/>
  <c r="C12" i="5"/>
  <c r="J22" i="8"/>
  <c r="J15" i="8"/>
  <c r="B12" i="5"/>
  <c r="J11" i="8"/>
  <c r="J21" i="5"/>
  <c r="J13" i="8"/>
  <c r="J27" i="5"/>
  <c r="J33" i="5"/>
  <c r="J8" i="5"/>
  <c r="J6" i="8"/>
  <c r="J5" i="8"/>
  <c r="J12" i="8"/>
  <c r="J18" i="5"/>
  <c r="J10" i="8"/>
  <c r="J30" i="5"/>
  <c r="J18" i="8"/>
  <c r="J16" i="5"/>
  <c r="J10" i="5"/>
  <c r="J6" i="5"/>
  <c r="J20" i="8"/>
  <c r="J19" i="5"/>
  <c r="J22" i="5"/>
  <c r="J19" i="8"/>
  <c r="J32" i="5"/>
  <c r="J24" i="5"/>
  <c r="J7" i="5"/>
  <c r="J12" i="5"/>
  <c r="J17" i="8"/>
  <c r="J9" i="5"/>
  <c r="J16" i="8"/>
  <c r="J29" i="5"/>
  <c r="J17" i="5"/>
  <c r="J13" i="5"/>
  <c r="J5" i="5"/>
  <c r="J20" i="5"/>
  <c r="J28" i="5"/>
  <c r="J14" i="5"/>
  <c r="J26" i="5"/>
  <c r="H48" i="10" l="1"/>
  <c r="H77" i="10"/>
  <c r="H63" i="10"/>
  <c r="H50" i="10"/>
  <c r="H70" i="10"/>
  <c r="H64" i="10"/>
  <c r="H61" i="10"/>
  <c r="H72" i="10"/>
  <c r="H53" i="10"/>
  <c r="H66" i="10"/>
  <c r="H56" i="10"/>
  <c r="H69" i="10"/>
  <c r="H74" i="10"/>
  <c r="H55" i="10"/>
  <c r="H71" i="10"/>
  <c r="H58" i="10"/>
  <c r="H86" i="10"/>
  <c r="H80" i="10"/>
  <c r="H90" i="10"/>
  <c r="H88" i="10"/>
  <c r="H81" i="10"/>
  <c r="H99" i="10"/>
  <c r="H42" i="10"/>
  <c r="H96" i="10"/>
  <c r="H57" i="10"/>
  <c r="H92" i="10"/>
  <c r="H60" i="10"/>
  <c r="H75" i="10"/>
  <c r="H82" i="10"/>
  <c r="H78" i="10"/>
  <c r="H44" i="10"/>
  <c r="H26" i="10"/>
  <c r="H59" i="10"/>
  <c r="H85" i="10"/>
  <c r="H7" i="10"/>
  <c r="H41" i="10"/>
  <c r="H46" i="10"/>
  <c r="H31" i="10"/>
  <c r="H18" i="10"/>
  <c r="H73" i="10"/>
  <c r="H22" i="10"/>
  <c r="H54" i="10"/>
  <c r="H20" i="10"/>
  <c r="H51" i="10"/>
  <c r="H65" i="10"/>
  <c r="H34" i="10"/>
  <c r="H79" i="10"/>
  <c r="H84" i="10"/>
  <c r="H38" i="10"/>
  <c r="H68" i="10"/>
  <c r="H49" i="10"/>
  <c r="H25" i="10"/>
  <c r="H35" i="10"/>
  <c r="H28" i="10"/>
  <c r="H76" i="10"/>
  <c r="H43" i="10"/>
  <c r="H36" i="10"/>
  <c r="H52" i="10"/>
  <c r="H62" i="10"/>
  <c r="H39" i="10"/>
  <c r="H91" i="10"/>
  <c r="H94" i="10"/>
  <c r="H12" i="10"/>
  <c r="H67" i="10"/>
  <c r="H93" i="10"/>
  <c r="H21" i="10"/>
  <c r="H10" i="10"/>
  <c r="H83" i="10"/>
  <c r="H30" i="10"/>
  <c r="H33" i="10"/>
  <c r="H89" i="10"/>
  <c r="H13" i="10"/>
  <c r="H87" i="10"/>
  <c r="H15" i="10"/>
  <c r="D12" i="5"/>
  <c r="H95" i="10"/>
  <c r="H97" i="10"/>
  <c r="H98" i="10"/>
  <c r="L8" i="17"/>
  <c r="L45" i="17"/>
  <c r="L47" i="17"/>
  <c r="L46" i="17"/>
  <c r="J72" i="5"/>
  <c r="J73" i="5"/>
  <c r="J74" i="5"/>
  <c r="J71" i="5"/>
  <c r="L36" i="19"/>
  <c r="L33" i="19"/>
  <c r="L21" i="19"/>
  <c r="M8" i="19"/>
  <c r="L22" i="19"/>
  <c r="L17" i="19"/>
  <c r="L14" i="19"/>
  <c r="L15" i="19"/>
  <c r="L34" i="19"/>
  <c r="L10" i="19"/>
  <c r="L29" i="19"/>
  <c r="L27" i="19"/>
  <c r="L24" i="19"/>
  <c r="L30" i="19"/>
  <c r="L16" i="19"/>
  <c r="L13" i="19"/>
  <c r="L28" i="19"/>
  <c r="L23" i="19"/>
  <c r="L20" i="19"/>
  <c r="L35" i="19"/>
  <c r="L40" i="17"/>
  <c r="L32" i="17"/>
  <c r="L37" i="17"/>
  <c r="L28" i="17"/>
  <c r="L24" i="17"/>
  <c r="L14" i="17"/>
  <c r="L21" i="17"/>
  <c r="L11" i="17"/>
  <c r="L42" i="17"/>
  <c r="L26" i="17"/>
  <c r="L17" i="17"/>
  <c r="M6" i="17"/>
  <c r="L41" i="17"/>
  <c r="L39" i="17"/>
  <c r="L23" i="17"/>
  <c r="L13" i="17"/>
  <c r="L38" i="17"/>
  <c r="L36" i="17"/>
  <c r="L34" i="17"/>
  <c r="L20" i="17"/>
  <c r="L10" i="17"/>
  <c r="L35" i="17"/>
  <c r="L33" i="17"/>
  <c r="L30" i="17"/>
  <c r="L25" i="17"/>
  <c r="L16" i="17"/>
  <c r="L29" i="17"/>
  <c r="L22" i="17"/>
  <c r="L12" i="17"/>
  <c r="L18" i="17"/>
  <c r="L27" i="17"/>
  <c r="I11" i="5"/>
  <c r="K25" i="5"/>
  <c r="H11" i="5"/>
  <c r="K10" i="8"/>
  <c r="K5" i="8"/>
  <c r="K30" i="5"/>
  <c r="K14" i="8"/>
  <c r="K13" i="5"/>
  <c r="K8" i="8"/>
  <c r="K22" i="8"/>
  <c r="F11" i="5"/>
  <c r="K15" i="5"/>
  <c r="G11" i="5"/>
  <c r="K13" i="8"/>
  <c r="K19" i="5"/>
  <c r="K10" i="5"/>
  <c r="K9" i="5"/>
  <c r="K18" i="8"/>
  <c r="K9" i="8"/>
  <c r="K12" i="8"/>
  <c r="K15" i="8"/>
  <c r="K22" i="5"/>
  <c r="K27" i="5"/>
  <c r="K19" i="8"/>
  <c r="E11" i="5"/>
  <c r="K14" i="5"/>
  <c r="K18" i="5"/>
  <c r="J11" i="5"/>
  <c r="K6" i="5"/>
  <c r="K23" i="5"/>
  <c r="K21" i="8"/>
  <c r="K16" i="8"/>
  <c r="K5" i="5"/>
  <c r="K6" i="8"/>
  <c r="K20" i="8"/>
  <c r="K28" i="5"/>
  <c r="K11" i="8"/>
  <c r="K24" i="5"/>
  <c r="K20" i="5"/>
  <c r="K32" i="5"/>
  <c r="K26" i="5"/>
  <c r="K16" i="5"/>
  <c r="K7" i="8"/>
  <c r="K11" i="5"/>
  <c r="K31" i="5"/>
  <c r="K8" i="5"/>
  <c r="K33" i="5"/>
  <c r="K21" i="5"/>
  <c r="K17" i="8"/>
  <c r="K7" i="5"/>
  <c r="K29" i="5"/>
  <c r="K12" i="5"/>
  <c r="K17" i="5"/>
  <c r="H15" i="9" l="1"/>
  <c r="H16" i="9"/>
  <c r="H8" i="9"/>
  <c r="H26" i="9"/>
  <c r="H19" i="9"/>
  <c r="H23" i="9"/>
  <c r="H13" i="9"/>
  <c r="H27" i="9"/>
  <c r="H7" i="9"/>
  <c r="H11" i="9"/>
  <c r="H25" i="9"/>
  <c r="H14" i="9"/>
  <c r="H18" i="9"/>
  <c r="H21" i="9"/>
  <c r="H17" i="9"/>
  <c r="H6" i="9"/>
  <c r="H20" i="9"/>
  <c r="H9" i="9"/>
  <c r="H24" i="9"/>
  <c r="H10" i="9"/>
  <c r="H12" i="9"/>
  <c r="H22" i="9"/>
  <c r="H28" i="9"/>
  <c r="H29" i="9"/>
  <c r="M8" i="17"/>
  <c r="M47" i="17"/>
  <c r="M46" i="17"/>
  <c r="M45" i="17"/>
  <c r="K71" i="5"/>
  <c r="K74" i="5"/>
  <c r="K72" i="5"/>
  <c r="K73" i="5"/>
  <c r="M28" i="19"/>
  <c r="M16" i="19"/>
  <c r="M17" i="19"/>
  <c r="M14" i="19"/>
  <c r="M36" i="19"/>
  <c r="M33" i="19"/>
  <c r="M34" i="19"/>
  <c r="M10" i="19"/>
  <c r="M29" i="19"/>
  <c r="M24" i="19"/>
  <c r="M22" i="19"/>
  <c r="M21" i="19"/>
  <c r="N8" i="19"/>
  <c r="M20" i="19"/>
  <c r="M15" i="19"/>
  <c r="M35" i="19"/>
  <c r="M30" i="19"/>
  <c r="M27" i="19"/>
  <c r="M13" i="19"/>
  <c r="M23" i="19"/>
  <c r="M37" i="17"/>
  <c r="M28" i="17"/>
  <c r="M42" i="17"/>
  <c r="M34" i="17"/>
  <c r="M21" i="17"/>
  <c r="M11" i="17"/>
  <c r="M26" i="17"/>
  <c r="M17" i="17"/>
  <c r="N6" i="17"/>
  <c r="M41" i="17"/>
  <c r="M39" i="17"/>
  <c r="M23" i="17"/>
  <c r="M13" i="17"/>
  <c r="M40" i="17"/>
  <c r="M38" i="17"/>
  <c r="M36" i="17"/>
  <c r="M20" i="17"/>
  <c r="M10" i="17"/>
  <c r="M35" i="17"/>
  <c r="M33" i="17"/>
  <c r="M30" i="17"/>
  <c r="M25" i="17"/>
  <c r="M16" i="17"/>
  <c r="M32" i="17"/>
  <c r="M29" i="17"/>
  <c r="M22" i="17"/>
  <c r="M12" i="17"/>
  <c r="M27" i="17"/>
  <c r="M18" i="17"/>
  <c r="M24" i="17"/>
  <c r="M14" i="17"/>
  <c r="L27" i="5"/>
  <c r="L12" i="8"/>
  <c r="L15" i="5"/>
  <c r="L14" i="5"/>
  <c r="L24" i="5"/>
  <c r="L6" i="5"/>
  <c r="L18" i="8"/>
  <c r="L7" i="8"/>
  <c r="L26" i="5"/>
  <c r="L16" i="8"/>
  <c r="L7" i="5"/>
  <c r="L19" i="8"/>
  <c r="L31" i="5"/>
  <c r="L23" i="5"/>
  <c r="L19" i="5"/>
  <c r="L11" i="8"/>
  <c r="L8" i="8"/>
  <c r="L21" i="8"/>
  <c r="L11" i="5"/>
  <c r="L9" i="8"/>
  <c r="L13" i="8"/>
  <c r="L25" i="5"/>
  <c r="C11" i="5"/>
  <c r="L5" i="5"/>
  <c r="B11" i="5"/>
  <c r="L22" i="5"/>
  <c r="L15" i="8"/>
  <c r="L10" i="5"/>
  <c r="L18" i="5"/>
  <c r="L10" i="8"/>
  <c r="L20" i="8"/>
  <c r="L12" i="5"/>
  <c r="L17" i="8"/>
  <c r="L6" i="8"/>
  <c r="L28" i="5"/>
  <c r="L22" i="8"/>
  <c r="L16" i="5"/>
  <c r="L8" i="5"/>
  <c r="L20" i="5"/>
  <c r="L29" i="5"/>
  <c r="L33" i="5"/>
  <c r="L32" i="5"/>
  <c r="L30" i="5"/>
  <c r="L9" i="5"/>
  <c r="L14" i="8"/>
  <c r="L5" i="8"/>
  <c r="L21" i="5"/>
  <c r="L17" i="5"/>
  <c r="L13" i="5"/>
  <c r="N8" i="17" l="1"/>
  <c r="N45" i="17"/>
  <c r="N47" i="17"/>
  <c r="N46" i="17"/>
  <c r="L71" i="5"/>
  <c r="L72" i="5"/>
  <c r="L74" i="5"/>
  <c r="L73" i="5"/>
  <c r="N35" i="19"/>
  <c r="N23" i="19"/>
  <c r="N13" i="19"/>
  <c r="N14" i="19"/>
  <c r="N36" i="19"/>
  <c r="N33" i="19"/>
  <c r="N28" i="19"/>
  <c r="N29" i="19"/>
  <c r="N24" i="19"/>
  <c r="N21" i="19"/>
  <c r="N16" i="19"/>
  <c r="N17" i="19"/>
  <c r="N22" i="19"/>
  <c r="N34" i="19"/>
  <c r="N20" i="19"/>
  <c r="N15" i="19"/>
  <c r="N10" i="19"/>
  <c r="N30" i="19"/>
  <c r="N27" i="19"/>
  <c r="N42" i="17"/>
  <c r="N34" i="17"/>
  <c r="N39" i="17"/>
  <c r="N30" i="17"/>
  <c r="N26" i="17"/>
  <c r="N17" i="17"/>
  <c r="N41" i="17"/>
  <c r="N23" i="17"/>
  <c r="N13" i="17"/>
  <c r="N40" i="17"/>
  <c r="N38" i="17"/>
  <c r="N36" i="17"/>
  <c r="N20" i="17"/>
  <c r="N10" i="17"/>
  <c r="N37" i="17"/>
  <c r="N35" i="17"/>
  <c r="N33" i="17"/>
  <c r="N25" i="17"/>
  <c r="N16" i="17"/>
  <c r="N32" i="17"/>
  <c r="N29" i="17"/>
  <c r="N22" i="17"/>
  <c r="N12" i="17"/>
  <c r="N28" i="17"/>
  <c r="N27" i="17"/>
  <c r="N18" i="17"/>
  <c r="N21" i="17"/>
  <c r="N11" i="17"/>
  <c r="N24" i="17"/>
  <c r="N14" i="17"/>
  <c r="M11" i="5"/>
  <c r="M26" i="5"/>
  <c r="M31" i="5"/>
  <c r="M18" i="8"/>
  <c r="M14" i="5"/>
  <c r="M27" i="5"/>
  <c r="M30" i="5"/>
  <c r="M24" i="5"/>
  <c r="M14" i="8"/>
  <c r="M17" i="8"/>
  <c r="M17" i="5"/>
  <c r="M13" i="5"/>
  <c r="M11" i="8"/>
  <c r="M19" i="5"/>
  <c r="M19" i="8"/>
  <c r="M7" i="5"/>
  <c r="M16" i="8"/>
  <c r="M10" i="5"/>
  <c r="M23" i="5"/>
  <c r="M21" i="5"/>
  <c r="M10" i="8"/>
  <c r="M9" i="5"/>
  <c r="M20" i="8"/>
  <c r="M15" i="5"/>
  <c r="M21" i="8"/>
  <c r="M32" i="5"/>
  <c r="M9" i="8"/>
  <c r="M22" i="5"/>
  <c r="M8" i="8"/>
  <c r="M12" i="8"/>
  <c r="M33" i="5"/>
  <c r="M5" i="8"/>
  <c r="M8" i="5"/>
  <c r="M12" i="5"/>
  <c r="M15" i="8"/>
  <c r="M25" i="5"/>
  <c r="M7" i="8"/>
  <c r="M18" i="5"/>
  <c r="M13" i="8"/>
  <c r="M6" i="5"/>
  <c r="M16" i="5"/>
  <c r="M28" i="5"/>
  <c r="M6" i="8"/>
  <c r="M5" i="5"/>
  <c r="M20" i="5"/>
  <c r="M22" i="8"/>
  <c r="M29" i="5"/>
  <c r="N30" i="5" l="1"/>
  <c r="N28" i="5"/>
  <c r="N29" i="5"/>
  <c r="N26" i="5"/>
  <c r="N27" i="5"/>
  <c r="N25" i="5"/>
  <c r="N24" i="5"/>
  <c r="N23" i="5"/>
  <c r="N22" i="5"/>
  <c r="N21" i="5"/>
  <c r="N20" i="5"/>
  <c r="N19" i="5"/>
  <c r="N18" i="5"/>
  <c r="N17" i="5"/>
  <c r="N16" i="5"/>
  <c r="N15" i="5"/>
  <c r="N14" i="5"/>
  <c r="N12" i="5"/>
  <c r="N10" i="5"/>
  <c r="N6" i="5"/>
  <c r="N5" i="5"/>
  <c r="N7" i="5"/>
  <c r="N8" i="5"/>
  <c r="N9" i="5"/>
  <c r="M70" i="5"/>
  <c r="N19" i="8"/>
  <c r="M73" i="5"/>
  <c r="N9" i="8"/>
  <c r="N22" i="8"/>
  <c r="M71" i="5"/>
  <c r="N15" i="8"/>
  <c r="N8" i="8"/>
  <c r="N6" i="8"/>
  <c r="N10" i="8"/>
  <c r="M72" i="5"/>
  <c r="N20" i="8"/>
  <c r="N18" i="8"/>
  <c r="N11" i="8"/>
  <c r="N5" i="8"/>
  <c r="N14" i="8"/>
  <c r="N13" i="8"/>
  <c r="N7" i="8"/>
  <c r="N17" i="8"/>
  <c r="N21" i="8"/>
  <c r="N16" i="8"/>
  <c r="N12" i="8"/>
</calcChain>
</file>

<file path=xl/sharedStrings.xml><?xml version="1.0" encoding="utf-8"?>
<sst xmlns="http://schemas.openxmlformats.org/spreadsheetml/2006/main" count="1502" uniqueCount="541">
  <si>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</si>
  <si>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</si>
  <si>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</si>
  <si>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</si>
  <si>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</si>
  <si>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</si>
  <si>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</si>
  <si>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</si>
  <si>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</si>
  <si>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</si>
  <si>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</si>
  <si>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</si>
  <si>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</si>
  <si>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</si>
  <si>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</si>
  <si>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</si>
  <si>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</si>
  <si>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</si>
  <si>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</si>
  <si>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</si>
  <si>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</si>
  <si>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</si>
  <si>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</si>
  <si>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</si>
  <si>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</si>
  <si>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</si>
  <si>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</si>
  <si>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</si>
  <si>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</si>
  <si>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</si>
  <si>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</si>
  <si>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 xml:space="preserve">In the latest quarter </t>
  </si>
  <si>
    <t>SUPPLY</t>
  </si>
  <si>
    <t xml:space="preserve">   Imports</t>
  </si>
  <si>
    <t xml:space="preserve">   Exports</t>
  </si>
  <si>
    <t xml:space="preserve">   Marine bunkers</t>
  </si>
  <si>
    <t>Primary supply</t>
  </si>
  <si>
    <t xml:space="preserve">Primary demand </t>
  </si>
  <si>
    <t>TRANSFORMATION</t>
  </si>
  <si>
    <t xml:space="preserve">   Electricity generation</t>
  </si>
  <si>
    <t xml:space="preserve">   Heat generation</t>
  </si>
  <si>
    <t xml:space="preserve">   Petroleum refineries</t>
  </si>
  <si>
    <t xml:space="preserve">   Coke manufacture</t>
  </si>
  <si>
    <t xml:space="preserve">   Blast furnaces</t>
  </si>
  <si>
    <t xml:space="preserve">   Patent fuel manufacture</t>
  </si>
  <si>
    <t>Energy industry use</t>
  </si>
  <si>
    <t>Losses</t>
  </si>
  <si>
    <t>FINAL CONSUMPTION</t>
  </si>
  <si>
    <t xml:space="preserve">   Iron &amp; steel</t>
  </si>
  <si>
    <t xml:space="preserve">   Other industries</t>
  </si>
  <si>
    <t xml:space="preserve">   Transport</t>
  </si>
  <si>
    <t xml:space="preserve">   Domestic</t>
  </si>
  <si>
    <t xml:space="preserve">   Non energy use</t>
  </si>
  <si>
    <t xml:space="preserve">   Net import dependency</t>
  </si>
  <si>
    <t xml:space="preserve">   Fossil fuel dependency</t>
  </si>
  <si>
    <t xml:space="preserve">   Low carbon share</t>
  </si>
  <si>
    <t>Coal</t>
  </si>
  <si>
    <t>Primary oil</t>
  </si>
  <si>
    <t>Primary electricity</t>
  </si>
  <si>
    <t>Electricity</t>
  </si>
  <si>
    <t>Heat sold</t>
  </si>
  <si>
    <t xml:space="preserve">   Other final users</t>
  </si>
  <si>
    <t>Total</t>
  </si>
  <si>
    <t>Industry</t>
  </si>
  <si>
    <t>Transport</t>
  </si>
  <si>
    <t>Domestic</t>
  </si>
  <si>
    <t>Other final users</t>
  </si>
  <si>
    <t>Gas</t>
  </si>
  <si>
    <t xml:space="preserve">Other  </t>
  </si>
  <si>
    <t>Year</t>
  </si>
  <si>
    <t>Imports</t>
  </si>
  <si>
    <t>Exports</t>
  </si>
  <si>
    <t>Marine bunkers</t>
  </si>
  <si>
    <t>Transfers</t>
  </si>
  <si>
    <t>Heat generation</t>
  </si>
  <si>
    <t>Petroleum refineries</t>
  </si>
  <si>
    <t>Coke manufacture</t>
  </si>
  <si>
    <t>Blast furnaces</t>
  </si>
  <si>
    <t>Patent fuel manufacture</t>
  </si>
  <si>
    <t>Other</t>
  </si>
  <si>
    <t>Iron &amp; steel</t>
  </si>
  <si>
    <t>Other industries</t>
  </si>
  <si>
    <t>Other Final Users</t>
  </si>
  <si>
    <t>Public administration</t>
  </si>
  <si>
    <t>Commercial</t>
  </si>
  <si>
    <t>Agriculture</t>
  </si>
  <si>
    <t>Miscellaneous</t>
  </si>
  <si>
    <t>Non energy use</t>
  </si>
  <si>
    <t>Quarter</t>
  </si>
  <si>
    <t xml:space="preserve">Coal </t>
  </si>
  <si>
    <t>Petroleum</t>
  </si>
  <si>
    <t>Electricity generation</t>
  </si>
  <si>
    <t>Total energy consumption</t>
  </si>
  <si>
    <t>Fossil fuel primary consumption</t>
  </si>
  <si>
    <t>Fossil fuel non-energy use</t>
  </si>
  <si>
    <t>Fossil fuel energy consumption</t>
  </si>
  <si>
    <t>Electricity net imports</t>
  </si>
  <si>
    <t>Non bio-degradable wastes</t>
  </si>
  <si>
    <t>Net imports (+) net exports (-)</t>
  </si>
  <si>
    <t>Denominator</t>
  </si>
  <si>
    <t>Final Consumption (unadjusted) by sector</t>
  </si>
  <si>
    <t>Final Consumption (Seasonally and temperature adjusted) by sector</t>
  </si>
  <si>
    <t>Final Consumption (unadjusted) by fuel</t>
  </si>
  <si>
    <t>Final Consumption (Seasonally and temperature adjusted) by fuel</t>
  </si>
  <si>
    <t xml:space="preserve">   Indigenous Production</t>
  </si>
  <si>
    <t xml:space="preserve">   Stock change</t>
  </si>
  <si>
    <t xml:space="preserve">Statistical difference </t>
  </si>
  <si>
    <t xml:space="preserve">   Other</t>
  </si>
  <si>
    <t xml:space="preserve">   Public administration</t>
  </si>
  <si>
    <t xml:space="preserve">   Commercial</t>
  </si>
  <si>
    <t xml:space="preserve">   Agriculture</t>
  </si>
  <si>
    <t xml:space="preserve">   Miscellaneous</t>
  </si>
  <si>
    <t>DEPENDENCY</t>
  </si>
  <si>
    <t>Man Fuel</t>
  </si>
  <si>
    <t>Primary Oil</t>
  </si>
  <si>
    <t>Pet Prods</t>
  </si>
  <si>
    <t>Nat Gas</t>
  </si>
  <si>
    <t>Renew</t>
  </si>
  <si>
    <t>Prim Elec</t>
  </si>
  <si>
    <t>Elec</t>
  </si>
  <si>
    <t>Col</t>
  </si>
  <si>
    <t>Year/Quarter</t>
  </si>
  <si>
    <t xml:space="preserve">   Stock change </t>
  </si>
  <si>
    <r>
      <t xml:space="preserve">   Stock change </t>
    </r>
    <r>
      <rPr>
        <vertAlign val="superscript"/>
        <sz val="10"/>
        <rFont val="Arial"/>
        <family val="2"/>
      </rPr>
      <t>2</t>
    </r>
  </si>
  <si>
    <r>
      <t xml:space="preserve">Statistical difference </t>
    </r>
    <r>
      <rPr>
        <vertAlign val="superscript"/>
        <sz val="10"/>
        <rFont val="Arial"/>
        <family val="2"/>
      </rPr>
      <t>3</t>
    </r>
  </si>
  <si>
    <r>
      <t>Transfers</t>
    </r>
    <r>
      <rPr>
        <vertAlign val="superscript"/>
        <sz val="10"/>
        <rFont val="Arial"/>
        <family val="2"/>
      </rPr>
      <t>4</t>
    </r>
  </si>
  <si>
    <r>
      <t>Losses</t>
    </r>
    <r>
      <rPr>
        <vertAlign val="superscript"/>
        <sz val="10"/>
        <rFont val="Arial"/>
        <family val="2"/>
      </rPr>
      <t>8</t>
    </r>
  </si>
  <si>
    <t>Supply and use of fuels and seasonally adjusted and temperature corrected final energy consumption</t>
  </si>
  <si>
    <t>Data sources and methodology for energy balances (opens in a new window)</t>
  </si>
  <si>
    <t>Kevin Harris</t>
  </si>
  <si>
    <t>Supply and use of fuels, thousand tonnes of oil equivalent, quarterly data table</t>
  </si>
  <si>
    <t>Supply and use of fuels, thousand tonnes of oil equivalent, annual data table by fuel</t>
  </si>
  <si>
    <t>Seasonally adjusted and temperature corrected final energy consumption, thousand tonnes of oil equivalent, quarterly data table</t>
  </si>
  <si>
    <t>Supply and use of fuels, thousand tonnes of oil equivalent, annual data</t>
  </si>
  <si>
    <t>Supply and use of fuels, thousand tonnes of oil equivalent, quarterly data</t>
  </si>
  <si>
    <t>Supply and use of fuels, thousand tonnes of oil equivalent, quarterly supply data</t>
  </si>
  <si>
    <t>Supply and use of fuels, thousand tonnes of oil equivalent, quarterly demand data</t>
  </si>
  <si>
    <t>Supply and use of fuels, thousand tonnes of oil equivalent, quarterly final consumption data</t>
  </si>
  <si>
    <t>Fossil fuel dependency and low carbon share of total energy consumption, import dependency of primary supply, quarterly data</t>
  </si>
  <si>
    <t>Seasonally adjusted and temperature corrected final energy consumption, thousand tonnes of oil equivalent, annual data</t>
  </si>
  <si>
    <t>Seasonally adjusted and temperature corrected final energy consumption, thousand tonnes of oil equivalent, quarterly data</t>
  </si>
  <si>
    <t>Annual SeasTempAdj</t>
  </si>
  <si>
    <t>Quarter SeasTempAdj</t>
  </si>
  <si>
    <t xml:space="preserve">This table contains supplementary information supporting supply and use of fuels and seasonally adjusted and temperature corrected final energy consumption data which are referred to in the data presented in this workbook </t>
  </si>
  <si>
    <t>Note 5</t>
  </si>
  <si>
    <t>Note 6</t>
  </si>
  <si>
    <t>Note 7</t>
  </si>
  <si>
    <t>Primary supply minus primary demand.</t>
  </si>
  <si>
    <t>Annual transfers should ideally be zero.  For manufactured fuels differences occur in the rescreening of coke to breeze. For oil and petroleum products differences arise due to small variations in the calorific values used.</t>
  </si>
  <si>
    <t>Back-flows from the petrochemical industry, see article in the June 2016 edition of Energy Trends (opens in a new window).</t>
  </si>
  <si>
    <t>Note 8</t>
  </si>
  <si>
    <t>Note 9</t>
  </si>
  <si>
    <t>Note 10</t>
  </si>
  <si>
    <t>Includes all manufactured solid fuels, benzole, tars, coke oven gas and blast furnace gas.</t>
  </si>
  <si>
    <t xml:space="preserve">Includes geothermal, solar heat and biofuels for transport; wind and wave electricity included in primary electricity figures. </t>
  </si>
  <si>
    <t>For an explanation of dependency ratios and low carbon share, see article in the December 2010 edition of Energy Trends (opens in a new window).</t>
  </si>
  <si>
    <t>Supply</t>
  </si>
  <si>
    <t>Dependency and low carbon share</t>
  </si>
  <si>
    <t>Some cells refer to notes which can be found on the notes worksheet</t>
  </si>
  <si>
    <t>Freeze panes are active on this sheet, to turn off freeze panes select 'view' then 'freeze panes' then 'unfreeze panes' or use [Alt W, F] </t>
  </si>
  <si>
    <t>Table 1.3 Supply and use of fuels, thousand tonnes of oil equivalent, annual data</t>
  </si>
  <si>
    <t>Indigenous production</t>
  </si>
  <si>
    <t>Primary demand</t>
  </si>
  <si>
    <t>Transformation</t>
  </si>
  <si>
    <t>Final consumption</t>
  </si>
  <si>
    <t>Stock change, positive = stock draw, negative = stock build.</t>
  </si>
  <si>
    <t>Stock change [note 2]</t>
  </si>
  <si>
    <t>Statistical difference [note 3]</t>
  </si>
  <si>
    <t>Transfers [note 4]</t>
  </si>
  <si>
    <t>Other [note 5]</t>
  </si>
  <si>
    <t>Table 1.3 Supply and use of fuels, thousand tonnes of oil equivalent, quarterly data</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</si>
  <si>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</si>
  <si>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</si>
  <si>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</si>
  <si>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</si>
  <si>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</si>
  <si>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</si>
  <si>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</si>
  <si>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</si>
  <si>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</si>
  <si>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</si>
  <si>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</si>
  <si>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</si>
  <si>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</si>
  <si>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</si>
  <si>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</si>
  <si>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</si>
  <si>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</si>
  <si>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</si>
  <si>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</si>
  <si>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</si>
  <si>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</si>
  <si>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</si>
  <si>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</si>
  <si>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</si>
  <si>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</si>
  <si>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</si>
  <si>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</si>
  <si>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</si>
  <si>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</si>
  <si>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</si>
  <si>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</si>
  <si>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</si>
  <si>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</si>
  <si>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</si>
  <si>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</si>
  <si>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</si>
  <si>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</si>
  <si>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</si>
  <si>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</si>
  <si>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</si>
  <si>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</si>
  <si>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</si>
  <si>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</si>
  <si>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</si>
  <si>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</si>
  <si>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</si>
  <si>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</si>
  <si>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</si>
  <si>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</si>
  <si>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</si>
  <si>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</si>
  <si>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</si>
  <si>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</si>
  <si>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</si>
  <si>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</si>
  <si>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</si>
  <si>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</si>
  <si>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</si>
  <si>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</si>
  <si>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</si>
  <si>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</si>
  <si>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</si>
  <si>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</si>
  <si>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</si>
  <si>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</si>
  <si>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</si>
  <si>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</si>
  <si>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</si>
  <si>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</si>
  <si>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</si>
  <si>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</si>
  <si>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</si>
  <si>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</si>
  <si>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</si>
  <si>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</si>
  <si>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</si>
  <si>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</si>
  <si>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</si>
  <si>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</si>
  <si>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</si>
  <si>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</si>
  <si>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</si>
  <si>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</si>
  <si>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</si>
  <si>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</si>
  <si>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</si>
  <si>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</si>
  <si>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</si>
  <si>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</si>
  <si>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</si>
  <si>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</si>
  <si>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</si>
  <si>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</si>
  <si>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</si>
  <si>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Includes colliery methane.</t>
  </si>
  <si>
    <t>Annual supply and use of fuels</t>
  </si>
  <si>
    <t>Quarter supply and use of fuels</t>
  </si>
  <si>
    <t>Quarter supply</t>
  </si>
  <si>
    <t>Quarter demand</t>
  </si>
  <si>
    <t>Quarter final consumption</t>
  </si>
  <si>
    <t>Table 1.3 Supply and use of fuels, thousand tonnes of oil equivalent, quarterly supply data</t>
  </si>
  <si>
    <t>Total indigenous production</t>
  </si>
  <si>
    <t>Total imports</t>
  </si>
  <si>
    <t>Total exports</t>
  </si>
  <si>
    <t>Total marine bunkers</t>
  </si>
  <si>
    <t>Total primary supply</t>
  </si>
  <si>
    <t>Total primary demand</t>
  </si>
  <si>
    <t xml:space="preserve">Coal    </t>
  </si>
  <si>
    <t xml:space="preserve">Primary oil </t>
  </si>
  <si>
    <t xml:space="preserve">Manufactured fuels    </t>
  </si>
  <si>
    <t xml:space="preserve">Primary oil   </t>
  </si>
  <si>
    <t xml:space="preserve">Petroleum   </t>
  </si>
  <si>
    <t xml:space="preserve">Electricity   </t>
  </si>
  <si>
    <t xml:space="preserve">Petroleum    </t>
  </si>
  <si>
    <t xml:space="preserve">Coal      </t>
  </si>
  <si>
    <t xml:space="preserve">Primary oil     </t>
  </si>
  <si>
    <t xml:space="preserve">Petroleum  </t>
  </si>
  <si>
    <t xml:space="preserve">Coal   </t>
  </si>
  <si>
    <t xml:space="preserve">Primary oil      </t>
  </si>
  <si>
    <t xml:space="preserve">Petroleum       </t>
  </si>
  <si>
    <t xml:space="preserve">Primary electricity      </t>
  </si>
  <si>
    <t xml:space="preserve">Electricity      </t>
  </si>
  <si>
    <t xml:space="preserve">Coal     </t>
  </si>
  <si>
    <t xml:space="preserve">Manufactured fuels           </t>
  </si>
  <si>
    <t xml:space="preserve">Primary oil        </t>
  </si>
  <si>
    <t xml:space="preserve">Petroleum           </t>
  </si>
  <si>
    <t xml:space="preserve">Primary electricity          </t>
  </si>
  <si>
    <t xml:space="preserve">Electricity            </t>
  </si>
  <si>
    <t xml:space="preserve">Coal              </t>
  </si>
  <si>
    <t xml:space="preserve">Manufactured fuels             </t>
  </si>
  <si>
    <t xml:space="preserve">Primary oil              </t>
  </si>
  <si>
    <t xml:space="preserve">Petroleum            </t>
  </si>
  <si>
    <t xml:space="preserve">Electricity                </t>
  </si>
  <si>
    <t xml:space="preserve">Natural gas </t>
  </si>
  <si>
    <t xml:space="preserve">Bioenergy and waste </t>
  </si>
  <si>
    <t xml:space="preserve">Natural gas            </t>
  </si>
  <si>
    <t xml:space="preserve">Bioenergy and waste           </t>
  </si>
  <si>
    <t xml:space="preserve">Bioenergy and waste               </t>
  </si>
  <si>
    <t xml:space="preserve">Primary electricity             </t>
  </si>
  <si>
    <t>Total stock change [note 2]</t>
  </si>
  <si>
    <t>Total statistical difference [note 3]</t>
  </si>
  <si>
    <t>Bioenergy and waste [note 9]</t>
  </si>
  <si>
    <t>Natural gas [note 8]</t>
  </si>
  <si>
    <t>Manufactured fuels [note 7]</t>
  </si>
  <si>
    <t xml:space="preserve">Natural gas [note 8] </t>
  </si>
  <si>
    <t xml:space="preserve">Bioenergy and waste [note 9] </t>
  </si>
  <si>
    <t xml:space="preserve">Manufactured fuels [note 7] </t>
  </si>
  <si>
    <t xml:space="preserve">Natural gas [note 8]  </t>
  </si>
  <si>
    <t xml:space="preserve">Bioenergy and waste [note 9]   </t>
  </si>
  <si>
    <t xml:space="preserve">Manufactured fuels [note 7]   </t>
  </si>
  <si>
    <t xml:space="preserve">Natural gas [note 8]    </t>
  </si>
  <si>
    <t xml:space="preserve">Bioenergy and waste [note 9]    </t>
  </si>
  <si>
    <t xml:space="preserve">Manufactured fuels [note 7]    </t>
  </si>
  <si>
    <t xml:space="preserve">Natural gas [note 8]     </t>
  </si>
  <si>
    <t xml:space="preserve">Bioenergy and waste [note 9]     </t>
  </si>
  <si>
    <t xml:space="preserve">Manufactured fuels [note 7]     </t>
  </si>
  <si>
    <t xml:space="preserve">Natural gas [note 8]      </t>
  </si>
  <si>
    <t xml:space="preserve">Bioenergy and waste [note 9]      </t>
  </si>
  <si>
    <t>Table 1.3 Supply and use of fuels, thousand tonnes of oil equivalent, quarterly demand data</t>
  </si>
  <si>
    <t>Total transformation</t>
  </si>
  <si>
    <t>Total electricity generation</t>
  </si>
  <si>
    <t>Total heat generation</t>
  </si>
  <si>
    <t>Total petroleum refineries</t>
  </si>
  <si>
    <t>Total coke manufacture</t>
  </si>
  <si>
    <t>Total blast furnaces</t>
  </si>
  <si>
    <t>Total patent fuel manufacture</t>
  </si>
  <si>
    <t>Total energy industry use</t>
  </si>
  <si>
    <t>Total losses</t>
  </si>
  <si>
    <t>Total final consumption</t>
  </si>
  <si>
    <t>Petroleum products</t>
  </si>
  <si>
    <t>Total transfers [note 4]</t>
  </si>
  <si>
    <t xml:space="preserve">Manufactured fuels </t>
  </si>
  <si>
    <t xml:space="preserve">Primary oil  </t>
  </si>
  <si>
    <t xml:space="preserve">Primary electricity </t>
  </si>
  <si>
    <t xml:space="preserve">Electricity </t>
  </si>
  <si>
    <t xml:space="preserve">Primary oil    </t>
  </si>
  <si>
    <t xml:space="preserve">Natural gas    </t>
  </si>
  <si>
    <t xml:space="preserve">Bioenergy and waste     </t>
  </si>
  <si>
    <t xml:space="preserve">Primary electricity  </t>
  </si>
  <si>
    <t xml:space="preserve">Coal           </t>
  </si>
  <si>
    <t xml:space="preserve">Manufactured fuels       </t>
  </si>
  <si>
    <t xml:space="preserve">Petroleum      </t>
  </si>
  <si>
    <t xml:space="preserve">Natural gas      </t>
  </si>
  <si>
    <t xml:space="preserve">Bioenergy and waste        </t>
  </si>
  <si>
    <t xml:space="preserve">Primary electricity    </t>
  </si>
  <si>
    <t xml:space="preserve">Electricity    </t>
  </si>
  <si>
    <t xml:space="preserve">Natural gas               </t>
  </si>
  <si>
    <t xml:space="preserve">Bioenergy and waste         </t>
  </si>
  <si>
    <t xml:space="preserve">Heat sold          </t>
  </si>
  <si>
    <t xml:space="preserve">Manufactured fuels               </t>
  </si>
  <si>
    <t xml:space="preserve">Coal                       </t>
  </si>
  <si>
    <t xml:space="preserve">Manufactured fuels                          </t>
  </si>
  <si>
    <t xml:space="preserve">Petroleum                           </t>
  </si>
  <si>
    <t>Total other [note 5]</t>
  </si>
  <si>
    <t xml:space="preserve">Primary oil                          </t>
  </si>
  <si>
    <t xml:space="preserve">Petroleum                          </t>
  </si>
  <si>
    <t xml:space="preserve">Coal                             </t>
  </si>
  <si>
    <t xml:space="preserve">Manufactured fuels                                      </t>
  </si>
  <si>
    <t xml:space="preserve">Primary oil                         </t>
  </si>
  <si>
    <t xml:space="preserve">Petroleum                       </t>
  </si>
  <si>
    <t xml:space="preserve">Natural gas                              </t>
  </si>
  <si>
    <t xml:space="preserve">Bioenergy and waste                                   </t>
  </si>
  <si>
    <t xml:space="preserve">Electricity                    </t>
  </si>
  <si>
    <t xml:space="preserve">Heat sold                       </t>
  </si>
  <si>
    <t xml:space="preserve">Coal                                     </t>
  </si>
  <si>
    <t xml:space="preserve">Manufactured fuels                            </t>
  </si>
  <si>
    <t xml:space="preserve">Primary oil                           </t>
  </si>
  <si>
    <t xml:space="preserve">Petroleum                                      </t>
  </si>
  <si>
    <t xml:space="preserve">Natural gas                      </t>
  </si>
  <si>
    <t xml:space="preserve">Bioenergy and waste                                         </t>
  </si>
  <si>
    <t xml:space="preserve">Electricity                            </t>
  </si>
  <si>
    <t xml:space="preserve">Coal                                  </t>
  </si>
  <si>
    <t xml:space="preserve">Manufactured fuels                              </t>
  </si>
  <si>
    <t xml:space="preserve">Natural gas                       </t>
  </si>
  <si>
    <t xml:space="preserve">Bioenergy and waste                               </t>
  </si>
  <si>
    <t xml:space="preserve">Electricity                                 </t>
  </si>
  <si>
    <t xml:space="preserve">Heat sold                                 </t>
  </si>
  <si>
    <t>Table 1.3 Supply and use of fuels, thousand tonnes of oil equivalent, quarterly final consumption data</t>
  </si>
  <si>
    <t>Total iron &amp; steel</t>
  </si>
  <si>
    <t>Total other industries</t>
  </si>
  <si>
    <t>Total transport</t>
  </si>
  <si>
    <t>Total domestic</t>
  </si>
  <si>
    <t>Total other final users</t>
  </si>
  <si>
    <t>Total public administration</t>
  </si>
  <si>
    <t>Total commercial</t>
  </si>
  <si>
    <t>Total agriculture</t>
  </si>
  <si>
    <t>Total miscellaneous</t>
  </si>
  <si>
    <t>Total non energy use</t>
  </si>
  <si>
    <t xml:space="preserve">Petroleum products    </t>
  </si>
  <si>
    <t xml:space="preserve">Heat sold      </t>
  </si>
  <si>
    <t xml:space="preserve">Petroleum products          </t>
  </si>
  <si>
    <t xml:space="preserve">Heat sold                 </t>
  </si>
  <si>
    <t xml:space="preserve">Petroleum products              </t>
  </si>
  <si>
    <t xml:space="preserve">Petroleum products               </t>
  </si>
  <si>
    <t xml:space="preserve">Petroleum products             </t>
  </si>
  <si>
    <t xml:space="preserve">Natural gas                   </t>
  </si>
  <si>
    <t xml:space="preserve">Electricity                   </t>
  </si>
  <si>
    <t xml:space="preserve">Heat sold                              </t>
  </si>
  <si>
    <t xml:space="preserve">Petroleum products                      </t>
  </si>
  <si>
    <t xml:space="preserve">Natural gas              </t>
  </si>
  <si>
    <t xml:space="preserve">Bioenergy and waste                                </t>
  </si>
  <si>
    <t xml:space="preserve">Electricity                        </t>
  </si>
  <si>
    <t xml:space="preserve">Heat sold                      </t>
  </si>
  <si>
    <t xml:space="preserve">Coal                                    </t>
  </si>
  <si>
    <t xml:space="preserve">Manufactured fuels                           </t>
  </si>
  <si>
    <t xml:space="preserve">Petroleum products                             </t>
  </si>
  <si>
    <t xml:space="preserve">Natural gas                        </t>
  </si>
  <si>
    <t xml:space="preserve">Bioenergy and waste                      </t>
  </si>
  <si>
    <t xml:space="preserve">Electricity                              </t>
  </si>
  <si>
    <t xml:space="preserve">Heat sold                     </t>
  </si>
  <si>
    <t xml:space="preserve">Coal                                          </t>
  </si>
  <si>
    <t xml:space="preserve">Petroleum products                                  </t>
  </si>
  <si>
    <t xml:space="preserve">Bioenergy and waste                     </t>
  </si>
  <si>
    <t xml:space="preserve">Heat sold                                   </t>
  </si>
  <si>
    <t xml:space="preserve">Coal                     </t>
  </si>
  <si>
    <t xml:space="preserve">Manufactured fuels                       </t>
  </si>
  <si>
    <t xml:space="preserve">Petroleum products                     </t>
  </si>
  <si>
    <t xml:space="preserve">Natural gas             </t>
  </si>
  <si>
    <t xml:space="preserve">Bioenergy and waste                       </t>
  </si>
  <si>
    <t xml:space="preserve">Electricity                                </t>
  </si>
  <si>
    <t xml:space="preserve">Heat sold                         </t>
  </si>
  <si>
    <t xml:space="preserve">Manufactured fuels                         </t>
  </si>
  <si>
    <t xml:space="preserve">Petroleum products                                       </t>
  </si>
  <si>
    <t>Table 1.3a</t>
  </si>
  <si>
    <t>Table 1.3b</t>
  </si>
  <si>
    <t>Supply and use of fuels, thousand tonnes of oil equivalent, quarterly data table by fuel</t>
  </si>
  <si>
    <t>Fossil fuel dependency and low carbon share of total energy consumption, import dependency of primary supply, annual data</t>
  </si>
  <si>
    <t>Annual dependency and low carbon share</t>
  </si>
  <si>
    <t>Quarter dependency and low carbon share</t>
  </si>
  <si>
    <t>Fossil fuel dependency [note 6]</t>
  </si>
  <si>
    <t>Low carbon share [note 6]</t>
  </si>
  <si>
    <t>Import dependency [note 6]</t>
  </si>
  <si>
    <t>Table 1.3 Fossil fuel dependency and low carbon share of total energy consumption, import dependency of primary supply, quarterly data (%)</t>
  </si>
  <si>
    <t>Table 1.3 Fossil fuel dependency and low carbon share of total energy consumption, import dependency of primary supply, annual data (%)</t>
  </si>
  <si>
    <t>Table 1.3 Seasonally adjusted and temperature corrected final energy consumption, thousand tonnes of oil equivalent, quarterly data</t>
  </si>
  <si>
    <t>Total final energy consumption (unadjusted) by sector</t>
  </si>
  <si>
    <t>Total final energy consumption (unadjusted) by fuel</t>
  </si>
  <si>
    <t>Domestic energy consumption (unadjusted) by fuel</t>
  </si>
  <si>
    <t xml:space="preserve">Industry      </t>
  </si>
  <si>
    <t xml:space="preserve">Transport      </t>
  </si>
  <si>
    <t xml:space="preserve">Domestic          </t>
  </si>
  <si>
    <t xml:space="preserve">Other final users               </t>
  </si>
  <si>
    <t xml:space="preserve">Gas                  </t>
  </si>
  <si>
    <t xml:space="preserve">Other                 </t>
  </si>
  <si>
    <t xml:space="preserve">Gas                 </t>
  </si>
  <si>
    <t xml:space="preserve">Electricity                 </t>
  </si>
  <si>
    <t xml:space="preserve">Other                                    </t>
  </si>
  <si>
    <t xml:space="preserve">Gas                            </t>
  </si>
  <si>
    <t xml:space="preserve">Electricity               </t>
  </si>
  <si>
    <t xml:space="preserve">Other               </t>
  </si>
  <si>
    <t>Total final energy consumption (seasonally and temperature adjusted) by sector [note 10]</t>
  </si>
  <si>
    <t>Total final energy consumption (seasonally and temperature adjusted) by fuel [note 10]</t>
  </si>
  <si>
    <t>Domestic energy consumption (seasonally and temperature adjusted) by fuel [note 10]</t>
  </si>
  <si>
    <t>Table 1.3 Seasonally adjusted and temperature corrected final energy consumption, thousand tonnes of oil equivalent, annual data</t>
  </si>
  <si>
    <t>Table 1.3c</t>
  </si>
  <si>
    <t>Total final Consumption (unadjusted)</t>
  </si>
  <si>
    <t>Table 1.3c Seasonally adjusted and temperature corrected final energy consumption data, thousand tonnes of oil equivalent</t>
  </si>
  <si>
    <t>Total final Consumption (seasonally and temperature adjusted) [note 10]</t>
  </si>
  <si>
    <t>Table 1.3b Supply and use of fuels, annual data, thousand tonnes of oil equivalent</t>
  </si>
  <si>
    <t>Components of supply and demand</t>
  </si>
  <si>
    <t>Bioenergy &amp; waste [note 9]</t>
  </si>
  <si>
    <t xml:space="preserve">Petroleum products     </t>
  </si>
  <si>
    <t xml:space="preserve">Bioenergy &amp; waste [note 9]     </t>
  </si>
  <si>
    <t xml:space="preserve">Heat sold </t>
  </si>
  <si>
    <t>Table 1.3b Supply and use of fuels, quarterly data, thousand tonnes of oil equivalent</t>
  </si>
  <si>
    <t>Table 1.3a Supply and use of fuels, quarterly data, thousand tonnes of oil equivalent</t>
  </si>
  <si>
    <t>Net import dependency [note 6]</t>
  </si>
  <si>
    <t>Annual per cent change</t>
  </si>
  <si>
    <t>Quarter per cent change [note 1]</t>
  </si>
  <si>
    <t>Table 1.3b quarterly by fuel</t>
  </si>
  <si>
    <t>Table 1.3b annual by fuel</t>
  </si>
  <si>
    <t>Note 11</t>
  </si>
  <si>
    <t>Heat generation [note 11]</t>
  </si>
  <si>
    <t xml:space="preserve">Petroleum products </t>
  </si>
  <si>
    <t xml:space="preserve">Bioenergy &amp; waste [note 9] </t>
  </si>
  <si>
    <t xml:space="preserve">Total </t>
  </si>
  <si>
    <t>Final energy consumption by sector and fuel</t>
  </si>
  <si>
    <t>Quarter 3 2021</t>
  </si>
  <si>
    <t>Quarter 4 2021</t>
  </si>
  <si>
    <t>0747 135 8194</t>
  </si>
  <si>
    <t>Glossary and acronyms, DUKES Annex B (opens in a new window)</t>
  </si>
  <si>
    <t>Quarter 1 2022</t>
  </si>
  <si>
    <t>Quarter 2 2022</t>
  </si>
  <si>
    <t xml:space="preserve">Quarter 2 2022 </t>
  </si>
  <si>
    <t>For seasonally and temperature adjusted methodology, see articles in the June and September 2011 editions of Energy Trends (available on request from DESNZ)</t>
  </si>
  <si>
    <t>Quarter 3 2022</t>
  </si>
  <si>
    <t>newsdesk@energysecurity.gov.uk</t>
  </si>
  <si>
    <t>Quarter 4 2022</t>
  </si>
  <si>
    <t xml:space="preserve">Quarter 4 2022 </t>
  </si>
  <si>
    <t>energy.stats@energysecurity.gov.uk</t>
  </si>
  <si>
    <t>Quarter 1 2023</t>
  </si>
  <si>
    <t xml:space="preserve">Quarter 1 2023 </t>
  </si>
  <si>
    <t xml:space="preserve">Quarter 2 2023 </t>
  </si>
  <si>
    <t>Quarter 2 2023</t>
  </si>
  <si>
    <t xml:space="preserve">Seasonally adjusted and temperature corrected final energy consumption </t>
  </si>
  <si>
    <t>Quarter 3 2023</t>
  </si>
  <si>
    <t xml:space="preserve">Quarter 3 2023 </t>
  </si>
  <si>
    <t>Quarter 4 2023</t>
  </si>
  <si>
    <t>Quarter 1 2024</t>
  </si>
  <si>
    <t xml:space="preserve">Quarter 1 2024 </t>
  </si>
  <si>
    <t>Quarter 2 2024</t>
  </si>
  <si>
    <t>Quarter 3 2024</t>
  </si>
  <si>
    <t xml:space="preserve">Quarter 3 2024 </t>
  </si>
  <si>
    <t>Quarter 4 2024</t>
  </si>
  <si>
    <t>For heat generation, the 2025 figures currently shown are the 2024 figures carried forward - these will be updated in June 2026.</t>
  </si>
  <si>
    <t>2024</t>
  </si>
  <si>
    <t>Quarter 1 2025</t>
  </si>
  <si>
    <t xml:space="preserve">This spreadsheet forms part of the Accredited Official Statistics publication Energy Trends produced by the Department for Energy Security &amp; Net Zero (DESNZ).
The data presented is on UK supply and use of fuels and seasonally adjusted and temperature corrected final energy consumption; quarterly data are published in arrears in thousand tonnes of oil equivalent (ktoe). </t>
  </si>
  <si>
    <t>Percentage change between the most recent quarter and the same quarter a year earlier; (+) represents a positive percentage change greater than 100%, (-) represents a negative percentage change greater than 100%.</t>
  </si>
  <si>
    <t>Quarter 2 2025</t>
  </si>
  <si>
    <t>In the latest year</t>
  </si>
  <si>
    <t>Quarter 3 2025</t>
  </si>
  <si>
    <t>Quarter 4 2025 [provisional]</t>
  </si>
  <si>
    <t>2025 [provisional]</t>
  </si>
  <si>
    <t>2025 {provisional]</t>
  </si>
  <si>
    <t>This spreadsheet contains quarterly data including new data for Q4 (October to December) 2025.</t>
  </si>
  <si>
    <t xml:space="preserve">The revisions period is Q1 2024 to Q3 2025. Seasonally adjusted and temperature corrected final energy consumption series revised from Q1 2008 to Q3 2025.
Revisions are due to updates from data suppliers or the receipt of data replacing estimates unless otherwise stated.                                                                                                                                                                                                                                                                                                                                                                                                                                                                                                                                                                                                                                                                                        </t>
  </si>
  <si>
    <t>Primary energy production at a record low, with record lows for gas and nuclear, but a record high for wind, solar and hydro.</t>
  </si>
  <si>
    <t>Final consumption down, with a record low for industrial consumption.</t>
  </si>
  <si>
    <t>Seasonally adjusted and temperature corrected final energy consumption down in comparison with last year.</t>
  </si>
  <si>
    <t>Fossil fuel dependency remains at near record low share, with little change in import dependency and low carbon shares.</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</si>
  <si>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</si>
  <si>
    <t xml:space="preserve">In 2025 indigenous production fell by 1.0 per cent to a record low in these published data of 94.0 million tonnes of oil equivalent. Production levels for all fuels except coal, oil and wind, solar and hydro are down on 2024, with gas and nuclear output at record low levels but wind, solar and hydro at a record high level. A fall in imports of 2.0 per cent and a fall in exports of 1.7 per cent (a record low in these published data) resulted in a fall in primary supply of 1.6 per cent in 2025 compared to 2024. </t>
  </si>
  <si>
    <t>In 2025 dependency on fossil fuels was 75.2 per cent matching last year's record low share in these published data. Net import dependency was 43.5 per cent in 2025, down 0.3 percentage points on 2024. Low carbon share was 21.8 per cent in 2025, broadly similar to 2024.</t>
  </si>
  <si>
    <t>In 2025 final energy consumption on a seasonally adjusted and temperature corrected basis fell by 0.5 per cent when compared to 2024 (on an unadjusted basis final energy consumption excluding non-energy use fell by 0.1 per cent). By sector, domestic consumption fell by 2.3 per cent, industrial consumption fell by 6.4 per cent, other final users consumption fell by 0.6 per cent, whilst transport consumption rose by 2.8 per cent.</t>
  </si>
  <si>
    <t>In 2025 final consumption was down by 0.4 per cent compared to 2024, with average temperatures in 2025 at a record high. Domestic consumption fell by 0.7 per cent, other final users consumption fell by 0.3 per cent, whilst transport consumption rose by 2.4 per cent. Industrial consumption fell by 6.1 per cent to a record low in these published data.</t>
  </si>
  <si>
    <t xml:space="preserve">Quarter 4 2025 indigenous production fell by 2.3 per cent compared with the same quarter in 2024. Imports fell by 4.9 per cent whilst exports fell by 10 per cent, resulting in primary supply falling by 2.8 per cent compared to the same quarter in 2024. </t>
  </si>
  <si>
    <t>Quarter 4 2025 final consumption fell by 0.6 per cent compared with the same quarter in 2024. Average temperatures were broadly similar to the same period a year earlier, with  domestic consumption falling by 0.1 per cent and transport consumption rising by 1.3 per cent. Consumption by other final users fell by 2.1 per cent and industrial consumption fell by 6.4 per cent.</t>
  </si>
  <si>
    <t>In the fourth quarter of 2025 dependency on fossil fuels was 76.3 per cent, down 0.4 percentage points on the same quarter of 2024, net import dependency was 47.1 per cent, up 0.6 percentage points on the same quarter of 2024. The low carbon share was 21.2 per cent, up 0.5 percentage points on the same quarter of 2024.</t>
  </si>
  <si>
    <t>In the fourth quarter of 2025 final energy consumption on a seasonally adjusted and temperature corrected basis fell by 0.3 per cent compared to the corresponding quarter of 2024 (on an unadjusted basis final energy consumption excluding non-energy use fell by 0.8 per cent). By sector, industrial consumption fell by 5.6 per cent and services consumption fell by 1.9 per cent, whilst transport consumption rose by 1.5 per cent and domestic consumption rose by 0.8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</si>
</sst>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General\r"/>
    <numFmt numFmtId="165" formatCode="0\ \p;;;@&quot; p&quot;"/>
    <numFmt numFmtId="166" formatCode="#,##0.0\ "/>
    <numFmt numFmtId="167" formatCode="\+#,##0.0\ ;\-#,##0.0\ "/>
    <numFmt numFmtId="168" formatCode="#,##0.0\r"/>
    <numFmt numFmtId="169" formatCode="\+#,##0.0;\-#,##0.0"/>
    <numFmt numFmtId="170" formatCode="#,##0.00\ "/>
    <numFmt numFmtId="171" formatCode="0.0%"/>
    <numFmt numFmtId="172" formatCode="0.0%\r"/>
    <numFmt numFmtId="173" formatCode="0;;;@"/>
    <numFmt numFmtId="174" formatCode="\+#,##0;\-#,##0"/>
    <numFmt numFmtId="175" formatCode="#,##0.000\ "/>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Arial"/>
      <family val="2"/>
    </font>
    <font>
      <b/>
      <sz val="14"/>
      <name val="Arial"/>
      <family val="2"/>
    </font>
    <font>
      <b/>
      <sz val="10"/>
      <name val="Arial"/>
      <family val="2"/>
    </font>
    <font>
      <u/>
      <sz val="10"/>
      <color theme="10"/>
      <name val="Arial"/>
      <family val="2"/>
    </font>
    <font>
      <u/>
      <sz val="10"/>
      <color indexed="12"/>
      <name val="MS Sans Serif"/>
      <family val="2"/>
    </font>
    <font>
      <sz val="8"/>
      <name val="Arial"/>
      <family val="2"/>
    </font>
    <font>
      <b/>
      <sz val="10"/>
      <name val="MS Sans Serif"/>
      <family val="2"/>
    </font>
    <font>
      <vertAlign val="superscript"/>
      <sz val="10"/>
      <name val="Arial"/>
      <family val="2"/>
    </font>
    <font>
      <sz val="8"/>
      <name val="Calibri"/>
      <family val="2"/>
      <scheme val="minor"/>
    </font>
    <font>
      <sz val="12"/>
      <color rgb="FFFF0000"/>
      <name val="Calibri"/>
      <family val="2"/>
      <scheme val="minor"/>
    </font>
    <font>
      <sz val="12"/>
      <name val="Calibri"/>
      <family val="2"/>
      <scheme val="minor"/>
    </font>
    <font>
      <b/>
      <sz val="8"/>
      <name val="Arial"/>
      <family val="2"/>
    </font>
    <font>
      <b/>
      <sz val="12"/>
      <name val="Calibri"/>
      <family val="2"/>
      <scheme val="minor"/>
    </font>
    <font>
      <i/>
      <sz val="12"/>
      <name val="Calibri"/>
      <family val="2"/>
      <scheme val="minor"/>
    </font>
    <font>
      <b/>
      <i/>
      <sz val="12"/>
      <name val="Calibri"/>
      <family val="2"/>
      <scheme val="minor"/>
    </font>
    <font>
      <sz val="11"/>
      <color theme="1"/>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10"/>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9" fontId="8"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9" fontId="24" fillId="0" borderId="0" applyFont="0" applyFill="0" applyBorder="0" applyAlignment="0" applyProtection="0"/>
    <xf numFmtId="0" fontId="25" fillId="0" borderId="0" applyNumberFormat="0" applyFill="0" applyBorder="0" applyAlignment="0" applyProtection="0"/>
  </cellStyleXfs>
  <cellXfs count="244">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2" borderId="0" xfId="7" applyFill="1"/>
    <xf numFmtId="0" fontId="10" fillId="2" borderId="0" xfId="7" applyFont="1" applyFill="1"/>
    <xf numFmtId="0" fontId="11" fillId="2" borderId="0" xfId="7" applyFont="1" applyFill="1"/>
    <xf numFmtId="0" fontId="9" fillId="2" borderId="0" xfId="7" applyFill="1" applyAlignment="1">
      <alignment horizontal="center"/>
    </xf>
    <xf numFmtId="0" fontId="14" fillId="0" borderId="0" xfId="6" applyFont="1"/>
    <xf numFmtId="0" fontId="9" fillId="0" borderId="0" xfId="7"/>
    <xf numFmtId="0" fontId="11" fillId="0" borderId="0" xfId="7" applyFont="1"/>
    <xf numFmtId="0" fontId="8" fillId="0" borderId="0" xfId="7" applyFont="1"/>
    <xf numFmtId="0" fontId="9" fillId="0" borderId="0" xfId="7" applyAlignment="1">
      <alignment wrapText="1"/>
    </xf>
    <xf numFmtId="0" fontId="15" fillId="4" borderId="4" xfId="7" applyFont="1" applyFill="1" applyBorder="1"/>
    <xf numFmtId="0" fontId="15" fillId="4" borderId="5" xfId="7" applyFont="1" applyFill="1" applyBorder="1"/>
    <xf numFmtId="0" fontId="15" fillId="4" borderId="6" xfId="7" applyFont="1" applyFill="1" applyBorder="1"/>
    <xf numFmtId="0" fontId="15" fillId="4" borderId="7" xfId="7" applyFont="1" applyFill="1" applyBorder="1"/>
    <xf numFmtId="0" fontId="11" fillId="0" borderId="0" xfId="7" applyFont="1" applyAlignment="1">
      <alignment horizontal="left"/>
    </xf>
    <xf numFmtId="3" fontId="8" fillId="0" borderId="0" xfId="7" applyNumberFormat="1" applyFont="1" applyAlignment="1">
      <alignment horizontal="left"/>
    </xf>
    <xf numFmtId="3" fontId="11" fillId="0" borderId="0" xfId="7" applyNumberFormat="1" applyFont="1" applyAlignment="1">
      <alignment horizontal="left"/>
    </xf>
    <xf numFmtId="0" fontId="11" fillId="5" borderId="0" xfId="7" applyFont="1" applyFill="1"/>
    <xf numFmtId="0" fontId="9" fillId="0" borderId="0" xfId="7" quotePrefix="1"/>
    <xf numFmtId="3" fontId="11" fillId="0" borderId="3" xfId="7" applyNumberFormat="1" applyFont="1" applyBorder="1" applyAlignment="1">
      <alignment horizontal="left"/>
    </xf>
    <xf numFmtId="3" fontId="11" fillId="0" borderId="1" xfId="7" applyNumberFormat="1" applyFont="1" applyBorder="1" applyAlignment="1">
      <alignment horizontal="left"/>
    </xf>
    <xf numFmtId="3" fontId="8" fillId="0" borderId="3" xfId="7" applyNumberFormat="1" applyFont="1" applyBorder="1" applyAlignment="1">
      <alignment horizontal="left"/>
    </xf>
    <xf numFmtId="3" fontId="8" fillId="0" borderId="1" xfId="7" applyNumberFormat="1" applyFont="1" applyBorder="1" applyAlignment="1">
      <alignment horizontal="left"/>
    </xf>
    <xf numFmtId="3" fontId="8" fillId="0" borderId="2" xfId="7" applyNumberFormat="1" applyFont="1" applyBorder="1" applyAlignment="1">
      <alignment horizontal="left"/>
    </xf>
    <xf numFmtId="0" fontId="11" fillId="2" borderId="0" xfId="6" applyFont="1" applyFill="1" applyAlignment="1">
      <alignment wrapText="1"/>
    </xf>
    <xf numFmtId="0" fontId="1" fillId="0" borderId="0" xfId="1" applyAlignment="1">
      <alignment horizontal="left" vertical="center"/>
    </xf>
    <xf numFmtId="0" fontId="19" fillId="0" borderId="0" xfId="7" applyFont="1"/>
    <xf numFmtId="173" fontId="19" fillId="0" borderId="11" xfId="7" applyNumberFormat="1" applyFont="1" applyBorder="1" applyAlignment="1">
      <alignment horizontal="left"/>
    </xf>
    <xf numFmtId="173" fontId="19" fillId="0" borderId="12" xfId="7" applyNumberFormat="1" applyFont="1" applyBorder="1" applyAlignment="1">
      <alignment horizontal="left"/>
    </xf>
    <xf numFmtId="3" fontId="19" fillId="0" borderId="0" xfId="7" applyNumberFormat="1" applyFont="1" applyAlignment="1">
      <alignment horizontal="right"/>
    </xf>
    <xf numFmtId="3" fontId="19" fillId="0" borderId="0" xfId="7" applyNumberFormat="1" applyFont="1"/>
    <xf numFmtId="0" fontId="19" fillId="0" borderId="0" xfId="5" applyFont="1" applyAlignment="1">
      <alignment vertical="center"/>
    </xf>
    <xf numFmtId="175" fontId="19" fillId="0" borderId="1" xfId="7" applyNumberFormat="1" applyFont="1" applyBorder="1" applyAlignment="1">
      <alignment horizontal="center" vertical="center" wrapText="1"/>
    </xf>
    <xf numFmtId="166" fontId="19" fillId="0" borderId="1" xfId="7" applyNumberFormat="1" applyFont="1" applyBorder="1" applyAlignment="1">
      <alignment horizontal="center" vertical="center" wrapText="1"/>
    </xf>
    <xf numFmtId="3" fontId="19" fillId="0" borderId="11" xfId="7" applyNumberFormat="1" applyFont="1" applyBorder="1" applyAlignment="1">
      <alignment horizontal="right"/>
    </xf>
    <xf numFmtId="3" fontId="19" fillId="0" borderId="12" xfId="7" applyNumberFormat="1" applyFont="1" applyBorder="1" applyAlignment="1">
      <alignment horizontal="right"/>
    </xf>
    <xf numFmtId="0" fontId="2" fillId="0" borderId="0" xfId="0" applyFont="1"/>
    <xf numFmtId="0" fontId="2" fillId="0" borderId="12" xfId="5" applyBorder="1" applyAlignment="1">
      <alignment horizontal="left" vertical="center" wrapText="1"/>
    </xf>
    <xf numFmtId="3" fontId="2" fillId="0" borderId="0" xfId="0" applyNumberFormat="1" applyFont="1" applyAlignment="1">
      <alignment horizontal="right"/>
    </xf>
    <xf numFmtId="3" fontId="19" fillId="3" borderId="0" xfId="7" applyNumberFormat="1" applyFont="1" applyFill="1"/>
    <xf numFmtId="3" fontId="19" fillId="0" borderId="11" xfId="7" applyNumberFormat="1" applyFont="1" applyBorder="1"/>
    <xf numFmtId="3" fontId="19" fillId="0" borderId="12" xfId="7" applyNumberFormat="1" applyFont="1" applyBorder="1"/>
    <xf numFmtId="175" fontId="19" fillId="0" borderId="13" xfId="7" applyNumberFormat="1" applyFont="1" applyBorder="1" applyAlignment="1">
      <alignment horizontal="left" vertical="center" wrapText="1"/>
    </xf>
    <xf numFmtId="3" fontId="19" fillId="3" borderId="0" xfId="7" applyNumberFormat="1" applyFont="1" applyFill="1" applyAlignment="1">
      <alignment horizontal="right"/>
    </xf>
    <xf numFmtId="175" fontId="19" fillId="0" borderId="10" xfId="0" applyNumberFormat="1" applyFont="1" applyBorder="1" applyAlignment="1">
      <alignment horizontal="left" vertical="center" wrapText="1"/>
    </xf>
    <xf numFmtId="37" fontId="19" fillId="0" borderId="0" xfId="7" applyNumberFormat="1" applyFont="1"/>
    <xf numFmtId="37" fontId="19" fillId="3" borderId="0" xfId="7" applyNumberFormat="1" applyFont="1" applyFill="1"/>
    <xf numFmtId="0" fontId="2" fillId="0" borderId="11" xfId="5" applyBorder="1" applyAlignment="1">
      <alignment horizontal="left" vertical="center" wrapText="1"/>
    </xf>
    <xf numFmtId="37" fontId="19" fillId="3" borderId="0" xfId="7" applyNumberFormat="1" applyFont="1" applyFill="1" applyAlignment="1">
      <alignment horizontal="right"/>
    </xf>
    <xf numFmtId="175" fontId="19" fillId="0" borderId="1" xfId="7" applyNumberFormat="1" applyFont="1" applyBorder="1" applyAlignment="1">
      <alignment horizontal="right" vertical="center" wrapText="1"/>
    </xf>
    <xf numFmtId="166" fontId="19" fillId="0" borderId="1" xfId="7" applyNumberFormat="1" applyFont="1" applyBorder="1" applyAlignment="1">
      <alignment horizontal="right" vertical="center" wrapText="1"/>
    </xf>
    <xf numFmtId="175" fontId="19" fillId="0" borderId="14" xfId="7" applyNumberFormat="1" applyFont="1" applyBorder="1" applyAlignment="1">
      <alignment horizontal="right" vertical="center" wrapText="1"/>
    </xf>
    <xf numFmtId="175" fontId="19" fillId="0" borderId="8" xfId="0" applyNumberFormat="1" applyFont="1" applyBorder="1" applyAlignment="1">
      <alignment horizontal="right" vertical="center" wrapText="1"/>
    </xf>
    <xf numFmtId="175" fontId="19" fillId="0" borderId="2" xfId="0" applyNumberFormat="1" applyFont="1" applyBorder="1" applyAlignment="1">
      <alignment horizontal="right" vertical="center" wrapText="1"/>
    </xf>
    <xf numFmtId="166" fontId="19" fillId="0" borderId="2" xfId="0" applyNumberFormat="1" applyFont="1" applyBorder="1" applyAlignment="1">
      <alignment horizontal="right" vertical="center" wrapText="1"/>
    </xf>
    <xf numFmtId="175" fontId="19" fillId="0" borderId="9" xfId="0" applyNumberFormat="1" applyFont="1" applyBorder="1" applyAlignment="1">
      <alignment horizontal="right" vertical="center" wrapText="1"/>
    </xf>
    <xf numFmtId="175" fontId="19" fillId="0" borderId="15" xfId="0" applyNumberFormat="1" applyFont="1" applyBorder="1" applyAlignment="1">
      <alignment horizontal="left" vertical="center" wrapText="1"/>
    </xf>
    <xf numFmtId="37" fontId="19" fillId="0" borderId="11" xfId="7" applyNumberFormat="1" applyFont="1" applyBorder="1"/>
    <xf numFmtId="37" fontId="19" fillId="0" borderId="12" xfId="7" applyNumberFormat="1" applyFont="1" applyBorder="1"/>
    <xf numFmtId="166" fontId="19" fillId="0" borderId="9" xfId="0" applyNumberFormat="1" applyFont="1" applyBorder="1" applyAlignment="1">
      <alignment horizontal="right" vertical="center" wrapText="1"/>
    </xf>
    <xf numFmtId="37" fontId="19" fillId="3" borderId="11" xfId="7" applyNumberFormat="1" applyFont="1" applyFill="1" applyBorder="1"/>
    <xf numFmtId="37" fontId="19" fillId="3" borderId="12" xfId="7" applyNumberFormat="1" applyFont="1" applyFill="1" applyBorder="1"/>
    <xf numFmtId="0" fontId="9" fillId="5" borderId="0" xfId="7" applyFill="1"/>
    <xf numFmtId="0" fontId="15" fillId="0" borderId="4" xfId="7" applyFont="1" applyBorder="1"/>
    <xf numFmtId="0" fontId="15" fillId="0" borderId="5" xfId="7" applyFont="1" applyBorder="1"/>
    <xf numFmtId="0" fontId="15" fillId="0" borderId="6" xfId="7" applyFont="1" applyBorder="1"/>
    <xf numFmtId="171" fontId="19" fillId="0" borderId="0" xfId="7" applyNumberFormat="1" applyFont="1"/>
    <xf numFmtId="3" fontId="19" fillId="0" borderId="0" xfId="7" applyNumberFormat="1" applyFont="1" applyAlignment="1">
      <alignment horizontal="center"/>
    </xf>
    <xf numFmtId="171" fontId="19" fillId="0" borderId="0" xfId="7" applyNumberFormat="1" applyFont="1" applyAlignment="1">
      <alignment horizontal="center"/>
    </xf>
    <xf numFmtId="0" fontId="19" fillId="0" borderId="0" xfId="7" applyFont="1" applyAlignment="1">
      <alignment horizontal="center"/>
    </xf>
    <xf numFmtId="174" fontId="19" fillId="0" borderId="0" xfId="7" applyNumberFormat="1" applyFont="1" applyAlignment="1">
      <alignment horizontal="center"/>
    </xf>
    <xf numFmtId="171" fontId="19" fillId="0" borderId="11" xfId="7" applyNumberFormat="1" applyFont="1" applyBorder="1" applyAlignment="1">
      <alignment horizontal="center"/>
    </xf>
    <xf numFmtId="171" fontId="19" fillId="0" borderId="12" xfId="7" applyNumberFormat="1" applyFont="1" applyBorder="1" applyAlignment="1">
      <alignment horizontal="center"/>
    </xf>
    <xf numFmtId="0" fontId="19" fillId="0" borderId="8" xfId="7" applyFont="1" applyBorder="1" applyAlignment="1">
      <alignment horizontal="center" vertical="center" wrapText="1"/>
    </xf>
    <xf numFmtId="0" fontId="19" fillId="0" borderId="2" xfId="7" applyFont="1" applyBorder="1" applyAlignment="1">
      <alignment horizontal="center" vertical="center" wrapText="1"/>
    </xf>
    <xf numFmtId="0" fontId="19" fillId="0" borderId="9" xfId="7" applyFont="1" applyBorder="1" applyAlignment="1">
      <alignment horizontal="center" vertical="center" wrapText="1"/>
    </xf>
    <xf numFmtId="0" fontId="19" fillId="0" borderId="11" xfId="7" applyFont="1" applyBorder="1" applyAlignment="1">
      <alignment horizontal="left"/>
    </xf>
    <xf numFmtId="0" fontId="19" fillId="0" borderId="12" xfId="7" applyFont="1" applyBorder="1" applyAlignment="1">
      <alignment horizontal="left"/>
    </xf>
    <xf numFmtId="0" fontId="19" fillId="0" borderId="10" xfId="7" applyFont="1" applyBorder="1" applyAlignment="1">
      <alignment horizontal="left" vertical="center" wrapText="1"/>
    </xf>
    <xf numFmtId="0" fontId="19" fillId="0" borderId="0" xfId="6" applyFont="1"/>
    <xf numFmtId="3" fontId="19" fillId="0" borderId="0" xfId="6" applyNumberFormat="1" applyFont="1"/>
    <xf numFmtId="38" fontId="19" fillId="0" borderId="0" xfId="6" applyNumberFormat="1" applyFont="1"/>
    <xf numFmtId="38" fontId="19" fillId="3" borderId="0" xfId="6" applyNumberFormat="1" applyFont="1" applyFill="1"/>
    <xf numFmtId="38" fontId="19" fillId="3" borderId="11" xfId="6" applyNumberFormat="1" applyFont="1" applyFill="1" applyBorder="1"/>
    <xf numFmtId="38" fontId="19" fillId="3" borderId="12" xfId="6" applyNumberFormat="1" applyFont="1" applyFill="1" applyBorder="1"/>
    <xf numFmtId="0" fontId="19" fillId="0" borderId="8" xfId="7" applyFont="1" applyBorder="1" applyAlignment="1">
      <alignment horizontal="right" vertical="center" wrapText="1"/>
    </xf>
    <xf numFmtId="0" fontId="19" fillId="0" borderId="2" xfId="7" applyFont="1" applyBorder="1" applyAlignment="1">
      <alignment horizontal="right" vertical="center" wrapText="1"/>
    </xf>
    <xf numFmtId="0" fontId="19" fillId="0" borderId="9" xfId="7" applyFont="1" applyBorder="1" applyAlignment="1">
      <alignment horizontal="right" vertical="center" wrapText="1"/>
    </xf>
    <xf numFmtId="175" fontId="19" fillId="0" borderId="13" xfId="0" applyNumberFormat="1" applyFont="1" applyBorder="1" applyAlignment="1">
      <alignment horizontal="left" vertical="center" wrapText="1"/>
    </xf>
    <xf numFmtId="0" fontId="19" fillId="0" borderId="15" xfId="7" applyFont="1" applyBorder="1" applyAlignment="1">
      <alignment horizontal="right" vertical="center" wrapText="1"/>
    </xf>
    <xf numFmtId="0" fontId="19" fillId="0" borderId="1" xfId="7" applyFont="1" applyBorder="1" applyAlignment="1">
      <alignment horizontal="right" vertical="center" wrapText="1"/>
    </xf>
    <xf numFmtId="0" fontId="19" fillId="0" borderId="14" xfId="7" applyFont="1" applyBorder="1" applyAlignment="1">
      <alignment horizontal="right" vertical="center" wrapText="1"/>
    </xf>
    <xf numFmtId="0" fontId="8" fillId="2" borderId="0" xfId="6" applyFill="1" applyAlignment="1">
      <alignment horizontal="right"/>
    </xf>
    <xf numFmtId="0" fontId="8" fillId="0" borderId="0" xfId="6" applyAlignment="1">
      <alignment horizontal="right"/>
    </xf>
    <xf numFmtId="0" fontId="11" fillId="0" borderId="0" xfId="6" applyFont="1"/>
    <xf numFmtId="0" fontId="20" fillId="0" borderId="0" xfId="6" applyFont="1"/>
    <xf numFmtId="0" fontId="19" fillId="2" borderId="16" xfId="6" applyFont="1" applyFill="1" applyBorder="1"/>
    <xf numFmtId="3" fontId="19" fillId="2" borderId="3" xfId="6" applyNumberFormat="1" applyFont="1" applyFill="1" applyBorder="1" applyAlignment="1">
      <alignment horizontal="right"/>
    </xf>
    <xf numFmtId="169" fontId="22" fillId="0" borderId="3" xfId="6" applyNumberFormat="1" applyFont="1" applyBorder="1" applyAlignment="1">
      <alignment horizontal="right"/>
    </xf>
    <xf numFmtId="169" fontId="22" fillId="0" borderId="11" xfId="6" applyNumberFormat="1" applyFont="1" applyBorder="1" applyAlignment="1">
      <alignment horizontal="right"/>
    </xf>
    <xf numFmtId="0" fontId="19" fillId="2" borderId="17" xfId="6" applyFont="1" applyFill="1" applyBorder="1"/>
    <xf numFmtId="3" fontId="19" fillId="2" borderId="0" xfId="6" applyNumberFormat="1" applyFont="1" applyFill="1" applyAlignment="1">
      <alignment horizontal="right"/>
    </xf>
    <xf numFmtId="169" fontId="22" fillId="0" borderId="0" xfId="6" applyNumberFormat="1" applyFont="1" applyAlignment="1">
      <alignment horizontal="right"/>
    </xf>
    <xf numFmtId="169" fontId="22" fillId="0" borderId="12" xfId="6" applyNumberFormat="1" applyFont="1" applyBorder="1" applyAlignment="1">
      <alignment horizontal="right"/>
    </xf>
    <xf numFmtId="0" fontId="21" fillId="2" borderId="15" xfId="6" applyFont="1" applyFill="1" applyBorder="1"/>
    <xf numFmtId="3" fontId="21" fillId="2" borderId="1" xfId="6" applyNumberFormat="1" applyFont="1" applyFill="1" applyBorder="1" applyAlignment="1">
      <alignment horizontal="right"/>
    </xf>
    <xf numFmtId="169" fontId="23" fillId="0" borderId="1" xfId="6" applyNumberFormat="1" applyFont="1" applyBorder="1" applyAlignment="1">
      <alignment horizontal="right"/>
    </xf>
    <xf numFmtId="169" fontId="23" fillId="0" borderId="14" xfId="6" applyNumberFormat="1" applyFont="1" applyBorder="1" applyAlignment="1">
      <alignment horizontal="right"/>
    </xf>
    <xf numFmtId="0" fontId="19" fillId="2" borderId="0" xfId="6" applyFont="1" applyFill="1"/>
    <xf numFmtId="169" fontId="23" fillId="0" borderId="0" xfId="6" applyNumberFormat="1" applyFont="1" applyAlignment="1">
      <alignment horizontal="right"/>
    </xf>
    <xf numFmtId="0" fontId="19" fillId="2" borderId="0" xfId="7" applyFont="1" applyFill="1"/>
    <xf numFmtId="37" fontId="19" fillId="2" borderId="0" xfId="7" applyNumberFormat="1" applyFont="1" applyFill="1"/>
    <xf numFmtId="37" fontId="19" fillId="0" borderId="0" xfId="7" applyNumberFormat="1" applyFont="1" applyAlignment="1">
      <alignment horizontal="right"/>
    </xf>
    <xf numFmtId="37" fontId="19" fillId="2" borderId="0" xfId="7" applyNumberFormat="1" applyFont="1" applyFill="1" applyAlignment="1">
      <alignment horizontal="right"/>
    </xf>
    <xf numFmtId="37" fontId="21" fillId="2" borderId="0" xfId="7" applyNumberFormat="1" applyFont="1" applyFill="1"/>
    <xf numFmtId="37" fontId="21" fillId="2" borderId="0" xfId="7" applyNumberFormat="1" applyFont="1" applyFill="1" applyAlignment="1">
      <alignment horizontal="right"/>
    </xf>
    <xf numFmtId="3" fontId="19" fillId="2" borderId="0" xfId="7" applyNumberFormat="1" applyFont="1" applyFill="1"/>
    <xf numFmtId="3" fontId="21" fillId="2" borderId="0" xfId="7" applyNumberFormat="1" applyFont="1" applyFill="1"/>
    <xf numFmtId="0" fontId="21" fillId="0" borderId="14" xfId="5" applyFont="1" applyBorder="1" applyAlignment="1">
      <alignment horizontal="left" vertical="center" wrapText="1"/>
    </xf>
    <xf numFmtId="3" fontId="19" fillId="2" borderId="18" xfId="7" applyNumberFormat="1" applyFont="1" applyFill="1" applyBorder="1"/>
    <xf numFmtId="3" fontId="19" fillId="2" borderId="19" xfId="7" applyNumberFormat="1" applyFont="1" applyFill="1" applyBorder="1"/>
    <xf numFmtId="3" fontId="21" fillId="2" borderId="19" xfId="7" applyNumberFormat="1" applyFont="1" applyFill="1" applyBorder="1"/>
    <xf numFmtId="3" fontId="19" fillId="2" borderId="13" xfId="7" applyNumberFormat="1" applyFont="1" applyFill="1" applyBorder="1"/>
    <xf numFmtId="0" fontId="21" fillId="2" borderId="8" xfId="7" applyFont="1" applyFill="1" applyBorder="1" applyAlignment="1">
      <alignment horizontal="right" vertical="center"/>
    </xf>
    <xf numFmtId="0" fontId="21" fillId="2" borderId="2" xfId="7" applyFont="1" applyFill="1" applyBorder="1" applyAlignment="1">
      <alignment horizontal="center" vertical="center" wrapText="1"/>
    </xf>
    <xf numFmtId="0" fontId="21" fillId="2" borderId="2" xfId="7" applyFont="1" applyFill="1" applyBorder="1" applyAlignment="1">
      <alignment horizontal="right" vertical="center"/>
    </xf>
    <xf numFmtId="0" fontId="21" fillId="2" borderId="9" xfId="7" applyFont="1" applyFill="1" applyBorder="1" applyAlignment="1">
      <alignment horizontal="right" vertical="center"/>
    </xf>
    <xf numFmtId="3" fontId="19" fillId="2" borderId="11" xfId="7" applyNumberFormat="1" applyFont="1" applyFill="1" applyBorder="1"/>
    <xf numFmtId="3" fontId="19" fillId="2" borderId="12" xfId="7" applyNumberFormat="1" applyFont="1" applyFill="1" applyBorder="1"/>
    <xf numFmtId="3" fontId="21" fillId="2" borderId="12" xfId="7" applyNumberFormat="1" applyFont="1" applyFill="1" applyBorder="1"/>
    <xf numFmtId="3" fontId="19" fillId="2" borderId="14" xfId="7" applyNumberFormat="1" applyFont="1" applyFill="1" applyBorder="1"/>
    <xf numFmtId="0" fontId="21" fillId="2" borderId="15" xfId="7" applyFont="1" applyFill="1" applyBorder="1" applyAlignment="1">
      <alignment horizontal="right" vertical="center"/>
    </xf>
    <xf numFmtId="0" fontId="21" fillId="2" borderId="1" xfId="7" applyFont="1" applyFill="1" applyBorder="1" applyAlignment="1">
      <alignment horizontal="center" vertical="center" wrapText="1"/>
    </xf>
    <xf numFmtId="0" fontId="21" fillId="2" borderId="1" xfId="7" applyFont="1" applyFill="1" applyBorder="1" applyAlignment="1">
      <alignment horizontal="right" vertical="center"/>
    </xf>
    <xf numFmtId="37" fontId="21" fillId="2" borderId="8" xfId="7" applyNumberFormat="1" applyFont="1" applyFill="1" applyBorder="1"/>
    <xf numFmtId="173" fontId="21" fillId="2" borderId="2" xfId="7" applyNumberFormat="1" applyFont="1" applyFill="1" applyBorder="1" applyAlignment="1">
      <alignment horizontal="center"/>
    </xf>
    <xf numFmtId="0" fontId="9" fillId="2" borderId="2" xfId="7" applyFill="1" applyBorder="1"/>
    <xf numFmtId="173" fontId="21" fillId="2" borderId="9" xfId="7" applyNumberFormat="1" applyFont="1" applyFill="1" applyBorder="1" applyAlignment="1">
      <alignment horizontal="center"/>
    </xf>
    <xf numFmtId="165" fontId="21" fillId="2" borderId="2" xfId="7" applyNumberFormat="1" applyFont="1" applyFill="1" applyBorder="1" applyAlignment="1">
      <alignment horizontal="center"/>
    </xf>
    <xf numFmtId="165" fontId="21" fillId="2" borderId="9" xfId="7" applyNumberFormat="1" applyFont="1" applyFill="1" applyBorder="1" applyAlignment="1">
      <alignment horizontal="center"/>
    </xf>
    <xf numFmtId="0" fontId="21" fillId="2" borderId="9" xfId="7" applyFont="1" applyFill="1" applyBorder="1" applyAlignment="1">
      <alignment horizontal="center" vertical="center" wrapText="1"/>
    </xf>
    <xf numFmtId="37" fontId="19" fillId="2" borderId="16" xfId="7" applyNumberFormat="1" applyFont="1" applyFill="1" applyBorder="1" applyAlignment="1">
      <alignment horizontal="right"/>
    </xf>
    <xf numFmtId="37" fontId="19" fillId="2" borderId="3" xfId="7" applyNumberFormat="1" applyFont="1" applyFill="1" applyBorder="1" applyAlignment="1">
      <alignment horizontal="right"/>
    </xf>
    <xf numFmtId="37" fontId="19" fillId="2" borderId="3" xfId="7" applyNumberFormat="1" applyFont="1" applyFill="1" applyBorder="1"/>
    <xf numFmtId="37" fontId="19" fillId="2" borderId="11" xfId="7" applyNumberFormat="1" applyFont="1" applyFill="1" applyBorder="1" applyAlignment="1">
      <alignment horizontal="right"/>
    </xf>
    <xf numFmtId="37" fontId="19" fillId="2" borderId="17" xfId="7" applyNumberFormat="1" applyFont="1" applyFill="1" applyBorder="1" applyAlignment="1">
      <alignment horizontal="right"/>
    </xf>
    <xf numFmtId="37" fontId="19" fillId="2" borderId="12" xfId="7" applyNumberFormat="1" applyFont="1" applyFill="1" applyBorder="1" applyAlignment="1">
      <alignment horizontal="right"/>
    </xf>
    <xf numFmtId="37" fontId="21" fillId="2" borderId="17" xfId="7" applyNumberFormat="1" applyFont="1" applyFill="1" applyBorder="1"/>
    <xf numFmtId="37" fontId="21" fillId="2" borderId="12" xfId="7" applyNumberFormat="1" applyFont="1" applyFill="1" applyBorder="1" applyAlignment="1">
      <alignment horizontal="right"/>
    </xf>
    <xf numFmtId="37" fontId="19" fillId="0" borderId="17" xfId="7" applyNumberFormat="1" applyFont="1" applyBorder="1" applyAlignment="1">
      <alignment horizontal="right"/>
    </xf>
    <xf numFmtId="37" fontId="21" fillId="2" borderId="12" xfId="7" applyNumberFormat="1" applyFont="1" applyFill="1" applyBorder="1"/>
    <xf numFmtId="37" fontId="19" fillId="0" borderId="17" xfId="7" applyNumberFormat="1" applyFont="1" applyBorder="1"/>
    <xf numFmtId="37" fontId="19" fillId="0" borderId="12" xfId="7" applyNumberFormat="1" applyFont="1" applyBorder="1" applyAlignment="1">
      <alignment horizontal="right"/>
    </xf>
    <xf numFmtId="37" fontId="19" fillId="2" borderId="17" xfId="7" applyNumberFormat="1" applyFont="1" applyFill="1" applyBorder="1"/>
    <xf numFmtId="37" fontId="19" fillId="2" borderId="12" xfId="7" applyNumberFormat="1" applyFont="1" applyFill="1" applyBorder="1"/>
    <xf numFmtId="37" fontId="19" fillId="2" borderId="15" xfId="7" applyNumberFormat="1" applyFont="1" applyFill="1" applyBorder="1" applyAlignment="1">
      <alignment horizontal="right"/>
    </xf>
    <xf numFmtId="37" fontId="19" fillId="2" borderId="1" xfId="7" applyNumberFormat="1" applyFont="1" applyFill="1" applyBorder="1" applyAlignment="1">
      <alignment horizontal="right"/>
    </xf>
    <xf numFmtId="37" fontId="19" fillId="2" borderId="14" xfId="7" applyNumberFormat="1" applyFont="1" applyFill="1" applyBorder="1" applyAlignment="1">
      <alignment horizontal="right"/>
    </xf>
    <xf numFmtId="37" fontId="19" fillId="2" borderId="16" xfId="7" applyNumberFormat="1" applyFont="1" applyFill="1" applyBorder="1"/>
    <xf numFmtId="37" fontId="19" fillId="0" borderId="3" xfId="7" applyNumberFormat="1" applyFont="1" applyBorder="1" applyAlignment="1">
      <alignment horizontal="right"/>
    </xf>
    <xf numFmtId="37" fontId="21" fillId="2" borderId="17" xfId="7" applyNumberFormat="1" applyFont="1" applyFill="1" applyBorder="1" applyAlignment="1">
      <alignment horizontal="right"/>
    </xf>
    <xf numFmtId="0" fontId="21" fillId="2" borderId="0" xfId="7" applyFont="1" applyFill="1"/>
    <xf numFmtId="0" fontId="21" fillId="0" borderId="10" xfId="5" applyFont="1" applyBorder="1" applyAlignment="1">
      <alignment horizontal="left" vertical="center" wrapText="1"/>
    </xf>
    <xf numFmtId="37" fontId="21" fillId="0" borderId="0" xfId="7" applyNumberFormat="1" applyFont="1" applyAlignment="1">
      <alignment horizontal="right"/>
    </xf>
    <xf numFmtId="3" fontId="19" fillId="0" borderId="18" xfId="7" applyNumberFormat="1" applyFont="1" applyBorder="1" applyAlignment="1">
      <alignment horizontal="left"/>
    </xf>
    <xf numFmtId="3" fontId="19" fillId="0" borderId="19" xfId="7" applyNumberFormat="1" applyFont="1" applyBorder="1" applyAlignment="1">
      <alignment horizontal="left"/>
    </xf>
    <xf numFmtId="3" fontId="19" fillId="0" borderId="13" xfId="7" applyNumberFormat="1" applyFont="1" applyBorder="1" applyAlignment="1">
      <alignment horizontal="left"/>
    </xf>
    <xf numFmtId="166" fontId="19" fillId="0" borderId="12" xfId="7" applyNumberFormat="1" applyFont="1" applyBorder="1" applyAlignment="1">
      <alignment horizontal="right"/>
    </xf>
    <xf numFmtId="37" fontId="21" fillId="0" borderId="17" xfId="7" applyNumberFormat="1" applyFont="1" applyBorder="1" applyAlignment="1">
      <alignment horizontal="right"/>
    </xf>
    <xf numFmtId="168" fontId="21" fillId="0" borderId="12" xfId="7" applyNumberFormat="1" applyFont="1" applyBorder="1" applyAlignment="1">
      <alignment horizontal="right"/>
    </xf>
    <xf numFmtId="166" fontId="21" fillId="0" borderId="12" xfId="7" applyNumberFormat="1" applyFont="1" applyBorder="1" applyAlignment="1">
      <alignment horizontal="right"/>
    </xf>
    <xf numFmtId="168" fontId="19" fillId="0" borderId="12" xfId="7" applyNumberFormat="1" applyFont="1" applyBorder="1" applyAlignment="1">
      <alignment horizontal="right"/>
    </xf>
    <xf numFmtId="170" fontId="19" fillId="0" borderId="12" xfId="7" applyNumberFormat="1" applyFont="1" applyBorder="1" applyAlignment="1">
      <alignment horizontal="right"/>
    </xf>
    <xf numFmtId="171" fontId="19" fillId="0" borderId="17" xfId="7" applyNumberFormat="1" applyFont="1" applyBorder="1"/>
    <xf numFmtId="172" fontId="19" fillId="0" borderId="12" xfId="7" applyNumberFormat="1" applyFont="1" applyBorder="1"/>
    <xf numFmtId="171" fontId="19" fillId="0" borderId="15" xfId="7" applyNumberFormat="1" applyFont="1" applyBorder="1"/>
    <xf numFmtId="171" fontId="19" fillId="0" borderId="1" xfId="7" applyNumberFormat="1" applyFont="1" applyBorder="1"/>
    <xf numFmtId="0" fontId="19" fillId="0" borderId="14" xfId="7" applyFont="1" applyBorder="1"/>
    <xf numFmtId="167" fontId="19" fillId="0" borderId="12" xfId="7" applyNumberFormat="1" applyFont="1" applyBorder="1" applyAlignment="1">
      <alignment horizontal="right"/>
    </xf>
    <xf numFmtId="171" fontId="19" fillId="0" borderId="16" xfId="7" applyNumberFormat="1" applyFont="1" applyBorder="1"/>
    <xf numFmtId="171" fontId="19" fillId="0" borderId="3" xfId="7" applyNumberFormat="1" applyFont="1" applyBorder="1"/>
    <xf numFmtId="171" fontId="19" fillId="0" borderId="11" xfId="7" applyNumberFormat="1" applyFont="1" applyBorder="1"/>
    <xf numFmtId="0" fontId="21" fillId="0" borderId="2" xfId="7" applyFont="1" applyBorder="1" applyAlignment="1">
      <alignment horizontal="right" vertical="center" wrapText="1"/>
    </xf>
    <xf numFmtId="0" fontId="21" fillId="0" borderId="9" xfId="7" applyFont="1" applyBorder="1" applyAlignment="1">
      <alignment horizontal="right" vertical="center" wrapText="1"/>
    </xf>
    <xf numFmtId="0" fontId="21" fillId="2" borderId="8" xfId="6" applyFont="1" applyFill="1" applyBorder="1" applyAlignment="1">
      <alignment horizontal="left" vertical="center"/>
    </xf>
    <xf numFmtId="164" fontId="21" fillId="0" borderId="2" xfId="7" applyNumberFormat="1" applyFont="1" applyBorder="1" applyAlignment="1">
      <alignment horizontal="right" vertical="center" wrapText="1"/>
    </xf>
    <xf numFmtId="164" fontId="21" fillId="0" borderId="9" xfId="7" applyNumberFormat="1" applyFont="1" applyBorder="1" applyAlignment="1">
      <alignment horizontal="right" vertical="center" wrapText="1"/>
    </xf>
    <xf numFmtId="0" fontId="19" fillId="0" borderId="2" xfId="5" applyFont="1" applyBorder="1" applyAlignment="1">
      <alignment vertical="center"/>
    </xf>
    <xf numFmtId="0" fontId="19" fillId="0" borderId="9" xfId="5" applyFont="1" applyBorder="1" applyAlignment="1">
      <alignment vertical="center"/>
    </xf>
    <xf numFmtId="0" fontId="8" fillId="2" borderId="2" xfId="6" applyFill="1" applyBorder="1" applyAlignment="1">
      <alignment horizontal="right"/>
    </xf>
    <xf numFmtId="0" fontId="8" fillId="0" borderId="2" xfId="6" applyBorder="1" applyAlignment="1">
      <alignment horizontal="right"/>
    </xf>
    <xf numFmtId="0" fontId="8" fillId="0" borderId="9" xfId="6" applyBorder="1" applyAlignment="1">
      <alignment horizontal="right"/>
    </xf>
    <xf numFmtId="0" fontId="21" fillId="2" borderId="8" xfId="7" applyFont="1" applyFill="1" applyBorder="1" applyAlignment="1">
      <alignment horizontal="right" vertical="center" wrapText="1"/>
    </xf>
    <xf numFmtId="0" fontId="21" fillId="2" borderId="2" xfId="7" applyFont="1" applyFill="1" applyBorder="1" applyAlignment="1">
      <alignment horizontal="right" vertical="center" wrapText="1"/>
    </xf>
    <xf numFmtId="0" fontId="21" fillId="2" borderId="9" xfId="7" applyFont="1" applyFill="1" applyBorder="1" applyAlignment="1">
      <alignment horizontal="right" vertical="center" wrapText="1"/>
    </xf>
    <xf numFmtId="3" fontId="19" fillId="2" borderId="16" xfId="7" applyNumberFormat="1" applyFont="1" applyFill="1" applyBorder="1"/>
    <xf numFmtId="3" fontId="19" fillId="2" borderId="3" xfId="7" applyNumberFormat="1" applyFont="1" applyFill="1" applyBorder="1"/>
    <xf numFmtId="3" fontId="19" fillId="2" borderId="17" xfId="7" applyNumberFormat="1" applyFont="1" applyFill="1" applyBorder="1"/>
    <xf numFmtId="3" fontId="21" fillId="2" borderId="17" xfId="7" applyNumberFormat="1" applyFont="1" applyFill="1" applyBorder="1"/>
    <xf numFmtId="3" fontId="19" fillId="2" borderId="15" xfId="7" applyNumberFormat="1" applyFont="1" applyFill="1" applyBorder="1"/>
    <xf numFmtId="3" fontId="19" fillId="2" borderId="1" xfId="7" applyNumberFormat="1" applyFont="1" applyFill="1" applyBorder="1"/>
    <xf numFmtId="0" fontId="21" fillId="0" borderId="8" xfId="5" applyFont="1" applyBorder="1" applyAlignment="1">
      <alignment horizontal="left" vertical="center"/>
    </xf>
    <xf numFmtId="0" fontId="8" fillId="2" borderId="1" xfId="6" applyFill="1" applyBorder="1" applyAlignment="1">
      <alignment horizontal="right"/>
    </xf>
    <xf numFmtId="0" fontId="18" fillId="0" borderId="0" xfId="5" applyFont="1">
      <alignment vertical="center" wrapText="1"/>
    </xf>
    <xf numFmtId="0" fontId="7" fillId="0" borderId="0" xfId="3" applyAlignment="1">
      <alignment wrapText="1"/>
    </xf>
    <xf numFmtId="0" fontId="19" fillId="0" borderId="0" xfId="5" applyFont="1">
      <alignment vertical="center" wrapText="1"/>
    </xf>
    <xf numFmtId="3" fontId="19" fillId="0" borderId="11" xfId="6" applyNumberFormat="1" applyFont="1" applyBorder="1"/>
    <xf numFmtId="3" fontId="19" fillId="0" borderId="12" xfId="6" applyNumberFormat="1" applyFont="1" applyBorder="1"/>
    <xf numFmtId="164" fontId="21" fillId="0" borderId="1" xfId="7" applyNumberFormat="1" applyFont="1" applyBorder="1" applyAlignment="1">
      <alignment horizontal="right" vertical="center" wrapText="1"/>
    </xf>
    <xf numFmtId="3" fontId="19" fillId="0" borderId="3" xfId="6" applyNumberFormat="1" applyFont="1" applyBorder="1" applyAlignment="1">
      <alignment horizontal="right"/>
    </xf>
    <xf numFmtId="3" fontId="19" fillId="0" borderId="0" xfId="6" applyNumberFormat="1" applyFont="1" applyAlignment="1">
      <alignment horizontal="right"/>
    </xf>
    <xf numFmtId="3" fontId="21" fillId="0" borderId="1" xfId="6" applyNumberFormat="1" applyFont="1" applyBorder="1" applyAlignment="1">
      <alignment horizontal="right"/>
    </xf>
    <xf numFmtId="3" fontId="21" fillId="0" borderId="0" xfId="6" applyNumberFormat="1" applyFont="1" applyAlignment="1">
      <alignment horizontal="right"/>
    </xf>
    <xf numFmtId="9" fontId="8" fillId="0" borderId="0" xfId="11" applyFont="1" applyAlignment="1">
      <alignment horizontal="right"/>
    </xf>
    <xf numFmtId="0" fontId="25" fillId="6" borderId="0" xfId="12" applyFill="1" applyAlignment="1">
      <alignment vertical="center" wrapText="1"/>
    </xf>
    <xf numFmtId="0" fontId="15" fillId="5" borderId="7" xfId="7" applyFont="1" applyFill="1" applyBorder="1"/>
    <xf numFmtId="0" fontId="21" fillId="2" borderId="2" xfId="6" applyFont="1" applyFill="1" applyBorder="1" applyAlignment="1">
      <alignment horizontal="right" vertical="center" wrapText="1"/>
    </xf>
    <xf numFmtId="166" fontId="19" fillId="0" borderId="14" xfId="7" applyNumberFormat="1" applyFont="1" applyBorder="1" applyAlignment="1">
      <alignment horizontal="right"/>
    </xf>
    <xf numFmtId="9" fontId="9" fillId="0" borderId="0" xfId="11" applyFont="1"/>
    <xf numFmtId="175" fontId="19" fillId="0" borderId="12" xfId="7" applyNumberFormat="1" applyFont="1" applyBorder="1" applyAlignment="1">
      <alignment horizontal="right"/>
    </xf>
    <xf numFmtId="9" fontId="2" fillId="0" borderId="0" xfId="11" applyFont="1"/>
    <xf numFmtId="171" fontId="19" fillId="2" borderId="0" xfId="7" applyNumberFormat="1" applyFont="1" applyFill="1"/>
    <xf numFmtId="171" fontId="2" fillId="0" borderId="0" xfId="11" applyNumberFormat="1" applyFont="1"/>
    <xf numFmtId="171" fontId="19" fillId="2" borderId="0" xfId="11" applyNumberFormat="1" applyFont="1" applyFill="1"/>
    <xf numFmtId="0" fontId="3" fillId="0" borderId="0" xfId="0" applyFont="1"/>
    <xf numFmtId="0" fontId="19" fillId="0" borderId="0" xfId="0" applyFont="1" applyAlignment="1">
      <alignment vertical="center" wrapText="1"/>
    </xf>
    <xf numFmtId="0" fontId="7" fillId="0" borderId="0" xfId="0" applyFont="1" applyAlignment="1">
      <alignment wrapText="1"/>
    </xf>
    <xf numFmtId="0" fontId="19" fillId="0" borderId="0" xfId="0" applyFont="1" applyAlignment="1">
      <alignment vertical="top" wrapText="1"/>
    </xf>
    <xf numFmtId="9" fontId="19" fillId="2" borderId="0" xfId="11" applyFont="1" applyFill="1"/>
    <xf numFmtId="0" fontId="11" fillId="2" borderId="0" xfId="6" applyFont="1" applyFill="1" applyAlignment="1">
      <alignment vertical="top" wrapText="1"/>
    </xf>
    <xf numFmtId="0" fontId="9" fillId="0" borderId="0" xfId="7" applyAlignment="1">
      <alignment vertical="top" wrapText="1"/>
    </xf>
  </cellXfs>
  <cellStyles count="13">
    <cellStyle name="Heading 1" xfId="1" builtinId="16"/>
    <cellStyle name="Heading 2" xfId="2" builtinId="17"/>
    <cellStyle name="Heading 3" xfId="3" builtinId="18"/>
    <cellStyle name="Hyperlink" xfId="4" builtinId="8"/>
    <cellStyle name="Hyperlink 2" xfId="9" xr:uid="{DBECDAC3-5B14-46F9-856F-30157DBB2EF2}"/>
    <cellStyle name="Hyperlink 2 2" xfId="10" xr:uid="{C37850F2-2AD5-4A35-AE21-78D7ECA7B170}"/>
    <cellStyle name="Hyperlink 2 3" xfId="12" xr:uid="{FAEC1EEC-54AD-4D31-9775-4AA5324703B1}"/>
    <cellStyle name="Normal" xfId="0" builtinId="0"/>
    <cellStyle name="Normal 2" xfId="7" xr:uid="{E70D1288-F027-4317-8185-22ECF5838CA0}"/>
    <cellStyle name="Normal 2 2" xfId="6" xr:uid="{4FF81565-FFFD-4815-A0AF-DB77A1DF6839}"/>
    <cellStyle name="Normal 4" xfId="5" xr:uid="{65E9F626-8E6A-4D39-910D-057D52A7AA53}"/>
    <cellStyle name="Per cent" xfId="11" builtinId="5"/>
    <cellStyle name="Percent 2" xfId="8" xr:uid="{88B207AD-49E1-4CCB-B0A1-42EF721D3A10}"/>
  </cellStyles>
  <dxfs count="492">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6" formatCode="#,##0;[Red]\-#,##0"/>
    </dxf>
    <dxf>
      <alignment horizontal="lef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dxf>
    <dxf>
      <border>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border diagonalUp="0" diagonalDown="0" outline="0">
        <left/>
        <right style="thin">
          <color indexed="64"/>
        </right>
        <top/>
        <bottom/>
      </border>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indexed="64"/>
        </bottom>
      </border>
    </dxf>
    <dxf>
      <font>
        <b val="0"/>
        <i val="0"/>
        <strike val="0"/>
        <condense val="0"/>
        <extend val="0"/>
        <outline val="0"/>
        <shadow val="0"/>
        <u val="none"/>
        <vertAlign val="baseline"/>
        <sz val="12"/>
        <color auto="1"/>
        <name val="Calibri"/>
        <family val="2"/>
        <scheme val="minor"/>
      </font>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71"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alignment horizontal="left" vertical="center" textRotation="0" wrapText="1" indent="0"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fill>
        <patternFill patternType="none">
          <fgColor indexed="64"/>
          <bgColor indexed="65"/>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5" formatCode="#,##0;\-#,##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font>
        <b val="0"/>
        <i val="0"/>
        <strike val="0"/>
        <condense val="0"/>
        <extend val="0"/>
        <outline val="0"/>
        <shadow val="0"/>
        <u val="none"/>
        <vertAlign val="baseline"/>
        <sz val="12"/>
        <color auto="1"/>
        <name val="Calibri"/>
        <family val="2"/>
        <scheme val="minor"/>
      </font>
      <numFmt numFmtId="5" formatCode="#,##0;\-#,##0"/>
    </dxf>
    <dxf>
      <alignment horizontal="left" vertical="center" textRotation="0" wrapText="1" indent="0"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12"/>
        <color auto="1"/>
        <name val="Calibri"/>
        <family val="2"/>
        <scheme val="minor"/>
      </font>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3" formatCode="#,##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tint="-4.9989318521683403E-2"/>
        </patternFill>
      </fill>
    </dxf>
    <dxf>
      <font>
        <b val="0"/>
        <i val="0"/>
        <strike val="0"/>
        <condense val="0"/>
        <extend val="0"/>
        <outline val="0"/>
        <shadow val="0"/>
        <u val="none"/>
        <vertAlign val="baseline"/>
        <sz val="12"/>
        <color auto="1"/>
        <name val="Calibri"/>
        <family val="2"/>
        <scheme val="minor"/>
      </font>
      <numFmt numFmtId="3" formatCode="#,##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dxf>
    <dxf>
      <border>
        <bottom style="thin">
          <color indexed="64"/>
        </bottom>
      </border>
    </dxf>
    <dxf>
      <font>
        <b val="0"/>
        <i val="0"/>
        <strike val="0"/>
        <condense val="0"/>
        <extend val="0"/>
        <outline val="0"/>
        <shadow val="0"/>
        <u val="none"/>
        <vertAlign val="baseline"/>
        <sz val="12"/>
        <color auto="1"/>
        <name val="Calibri"/>
        <family val="2"/>
        <scheme val="minor"/>
      </font>
      <border diagonalUp="0" diagonalDown="0">
        <left/>
        <right/>
        <top/>
        <bottom/>
        <vertical/>
        <horizontal/>
      </border>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alignment horizontal="right" vertical="bottom" textRotation="0" wrapText="0" indent="0" justifyLastLine="0" shrinkToFit="0" readingOrder="0"/>
    </dxf>
    <dxf>
      <alignment horizontal="lef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3" formatCode="0;;;@"/>
      <alignment horizontal="left" vertical="bottom" textRotation="0" wrapText="0" indent="0"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75" formatCode="#,##0.000\ "/>
      <alignment horizontal="center" vertical="center" textRotation="0" wrapText="1" indent="0" justifyLastLine="0" shrinkToFit="0" readingOrder="0"/>
    </dxf>
    <dxf>
      <font>
        <b val="0"/>
        <i/>
        <strike val="0"/>
        <condense val="0"/>
        <extend val="0"/>
        <outline val="0"/>
        <shadow val="0"/>
        <u val="none"/>
        <vertAlign val="baseline"/>
        <sz val="12"/>
        <color auto="1"/>
        <name val="Calibri"/>
        <family val="2"/>
        <scheme val="minor"/>
      </font>
      <numFmt numFmtId="169"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Calibri"/>
        <family val="2"/>
        <scheme val="minor"/>
      </font>
      <numFmt numFmtId="169"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r\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4" formatCode="General\r"/>
      <fill>
        <patternFill patternType="none">
          <fgColor indexed="64"/>
          <bgColor indexed="65"/>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General\r"/>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top/>
        <bottom/>
        <vertical/>
        <horizontal/>
      </border>
    </dxf>
    <dxf>
      <border outline="0">
        <left style="thin">
          <color indexed="64"/>
        </left>
        <top style="thin">
          <color indexed="64"/>
        </top>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indexed="9"/>
        </patternFill>
      </fill>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indexed="9"/>
        </patternFill>
      </fill>
      <alignment horizontal="general" vertical="bottom" textRotation="0" wrapText="0"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rgb="FFFF0000"/>
        <name val="Calibri"/>
        <family val="2"/>
        <scheme val="minor"/>
      </font>
      <numFmt numFmtId="171" formatCode="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border diagonalUp="0" diagonalDown="0">
        <left style="thin">
          <color indexed="64"/>
        </left>
        <right/>
        <vertical/>
      </border>
    </dxf>
    <dxf>
      <font>
        <i val="0"/>
      </font>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border diagonalUp="0" diagonalDown="0">
        <left style="thin">
          <color indexed="64"/>
        </left>
        <right/>
        <vertical/>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bottom"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127714</xdr:rowOff>
    </xdr:to>
    <xdr:sp macro="" textlink="">
      <xdr:nvSpPr>
        <xdr:cNvPr id="3" name="Text Box 11">
          <a:extLst>
            <a:ext uri="{FF2B5EF4-FFF2-40B4-BE49-F238E27FC236}">
              <a16:creationId xmlns:a16="http://schemas.microsoft.com/office/drawing/2014/main" id="{0E7D0D30-FB28-4C70-A709-37C4759C080F}"/>
            </a:ext>
          </a:extLst>
        </xdr:cNvPr>
        <xdr:cNvSpPr txBox="1">
          <a:spLocks noChangeArrowheads="1"/>
        </xdr:cNvSpPr>
      </xdr:nvSpPr>
      <xdr:spPr bwMode="auto">
        <a:xfrm>
          <a:off x="0" y="4445"/>
          <a:ext cx="0" cy="993219"/>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ysClr val="windowText" lastClr="000000"/>
              </a:solidFill>
              <a:latin typeface="Arial"/>
              <a:cs typeface="Arial"/>
            </a:rPr>
            <a:t>March 2014</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55B30-F7A8-4529-A7AC-B09794AE7861}" name="Contents" displayName="Contents" ref="A4:B21" totalsRowShown="0" dataDxfId="491" headerRowCellStyle="Heading 2" dataCellStyle="Hyperlink">
  <tableColumns count="2">
    <tableColumn id="1" xr3:uid="{49253B62-BDC5-4E71-9F3E-2AD7AE280534}" name="Worksheet description" dataDxfId="490" dataCellStyle="Normal 4"/>
    <tableColumn id="2" xr3:uid="{5D1D252B-E756-45C5-952C-266BE9645F20}" name="Link" dataDxfId="489"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94A688-3B61-4391-A875-FD1E2D5E4CF5}" name="Table1.3_Supply_and_use_of_fuels_thousand_tonnes_of_oil_equivalent_quarterly_demand_data" displayName="Table1.3_Supply_and_use_of_fuels_thousand_tonnes_of_oil_equivalent_quarterly_demand_data" ref="A5:CI117" totalsRowShown="0" headerRowDxfId="274" dataDxfId="272" headerRowBorderDxfId="273" tableBorderDxfId="271" dataCellStyle="Normal 2">
  <autoFilter ref="A5:CI117" xr:uid="{4394A688-3B61-4391-A875-FD1E2D5E4CF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autoFilter>
  <tableColumns count="87">
    <tableColumn id="1" xr3:uid="{56FF25FA-C5E0-4581-801B-DBF2F6BB66DA}" name="Quarter" dataDxfId="270" dataCellStyle="Normal 4"/>
    <tableColumn id="2" xr3:uid="{2A50888B-A650-496C-A6F8-4970C86A5178}" name="Total primary demand" dataDxfId="269" dataCellStyle="Normal 2"/>
    <tableColumn id="3" xr3:uid="{6CECB9FB-F2AC-401E-858B-B297A0AE4AD1}" name="Coal" dataDxfId="268" dataCellStyle="Normal 2"/>
    <tableColumn id="4" xr3:uid="{DDB8CED9-6D08-45EB-95F5-E82F2F7B40D1}" name="Manufactured fuels [note 7] " dataDxfId="267" dataCellStyle="Normal 2"/>
    <tableColumn id="5" xr3:uid="{E8CB4574-79E7-474D-9F03-0027951809AB}" name="Primary oil " dataDxfId="266" dataCellStyle="Normal 2"/>
    <tableColumn id="6" xr3:uid="{296E5BA5-E421-44F0-82BF-024AB8BBCCCD}" name="Petroleum" dataDxfId="265" dataCellStyle="Normal 2"/>
    <tableColumn id="7" xr3:uid="{0FA2F13A-F66C-47DE-B4DE-CD6C6E528C12}" name="Natural gas [note 8]" dataDxfId="264" dataCellStyle="Normal 2"/>
    <tableColumn id="8" xr3:uid="{8C75983A-AE2F-41F3-8C13-49ADF5B63784}" name="Bioenergy and waste [note 9]" dataDxfId="263" dataCellStyle="Normal 2"/>
    <tableColumn id="9" xr3:uid="{164E2DBB-8194-4E1C-B9F1-B8CB379C0F92}" name="Primary electricity" dataDxfId="262" dataCellStyle="Normal 2"/>
    <tableColumn id="10" xr3:uid="{F4C41B7C-995D-4F4C-9D45-591ABBFA8F4D}" name="Electricity" dataDxfId="261" dataCellStyle="Normal 2"/>
    <tableColumn id="11" xr3:uid="{535998AD-682E-4036-AC52-25758865F448}" name="Total transfers [note 4]" dataDxfId="260" dataCellStyle="Normal 2"/>
    <tableColumn id="12" xr3:uid="{C0AD4073-2164-4B93-BF84-57A7157B16BD}" name="Coal " dataDxfId="259" dataCellStyle="Normal 2"/>
    <tableColumn id="13" xr3:uid="{3BDE90FB-D2DA-4625-AAF8-26A88033E12D}" name="Manufactured fuels " dataDxfId="258" dataCellStyle="Normal 2"/>
    <tableColumn id="14" xr3:uid="{599DA0E4-33C5-439C-A768-6294E6823744}" name="Primary oil  " dataDxfId="257" dataCellStyle="Normal 2"/>
    <tableColumn id="15" xr3:uid="{D220B340-6DC5-43AD-B221-F5C0802010C1}" name="Petroleum   " dataDxfId="256" dataCellStyle="Normal 2"/>
    <tableColumn id="16" xr3:uid="{13CDA6C0-6976-4512-9DE2-07BC7325D933}" name="Natural gas " dataDxfId="255" dataCellStyle="Normal 2"/>
    <tableColumn id="17" xr3:uid="{64035F64-BDDA-417C-B660-76077B39F3FF}" name="Bioenergy and waste " dataDxfId="254" dataCellStyle="Normal 2"/>
    <tableColumn id="18" xr3:uid="{AF873D70-C1F4-4DE8-96F0-35FED1E57423}" name="Primary electricity " dataDxfId="253" dataCellStyle="Normal 2"/>
    <tableColumn id="19" xr3:uid="{C9BB6D9E-FDB9-46A8-9F88-4BB0459D0C35}" name="Electricity " dataDxfId="252" dataCellStyle="Normal 2"/>
    <tableColumn id="20" xr3:uid="{90EED04A-91EA-46F7-A3B2-179EB981EA37}" name="Total transformation" dataDxfId="251" dataCellStyle="Normal 2"/>
    <tableColumn id="21" xr3:uid="{5F62E409-3CEC-418C-87AD-8691CFB980B9}" name="Coal    " dataDxfId="250" dataCellStyle="Normal 2"/>
    <tableColumn id="22" xr3:uid="{B3247114-9DD4-4DF8-83D2-C87FDD2CECC0}" name="Manufactured fuels    " dataDxfId="249" dataCellStyle="Normal 2"/>
    <tableColumn id="23" xr3:uid="{B5FEBBDB-28AF-493B-BDF8-745F5A4A3955}" name="Primary oil    " dataDxfId="248" dataCellStyle="Normal 2"/>
    <tableColumn id="24" xr3:uid="{DEDE8A58-8E52-4642-816D-57CA1955E5E3}" name="Petroleum    " dataDxfId="247" dataCellStyle="Normal 2"/>
    <tableColumn id="25" xr3:uid="{A11B9ECC-9A07-4C91-944D-0BEE1B476766}" name="Natural gas    " dataDxfId="246" dataCellStyle="Normal 2"/>
    <tableColumn id="26" xr3:uid="{012EE316-766A-4C7B-9AB7-0BFAE3184B6C}" name="Bioenergy and waste     " dataDxfId="245" dataCellStyle="Normal 2"/>
    <tableColumn id="27" xr3:uid="{84EAFBDA-94EA-43B8-9631-8BE77DAEE959}" name="Primary electricity  " dataDxfId="244" dataCellStyle="Normal 2"/>
    <tableColumn id="28" xr3:uid="{62E64B2C-6D18-49D4-B1A7-4D0CECE6CE10}" name="Electricity   " dataDxfId="243" dataCellStyle="Normal 2"/>
    <tableColumn id="29" xr3:uid="{FF1EC089-A28B-45FA-9022-75B8FB4640E2}" name="Heat sold" dataDxfId="242" dataCellStyle="Normal 2"/>
    <tableColumn id="30" xr3:uid="{6F39F182-FAB0-468C-A818-4191C4911BFD}" name="Total electricity generation" dataDxfId="241" dataCellStyle="Normal 2"/>
    <tableColumn id="31" xr3:uid="{563FD20D-CD71-479A-8CC8-D8AD8607AC35}" name="Coal           " dataDxfId="240" dataCellStyle="Normal 2"/>
    <tableColumn id="32" xr3:uid="{06CC28DC-AF13-46B8-84CA-616FBC8B9C20}" name="Manufactured fuels       " dataDxfId="239" dataCellStyle="Normal 2"/>
    <tableColumn id="33" xr3:uid="{C2E47A1A-6533-40C4-B632-AD576185A965}" name="Petroleum      " dataDxfId="238" dataCellStyle="Normal 2"/>
    <tableColumn id="34" xr3:uid="{F026947C-AEF5-43DD-AB58-9C69F7168B5C}" name="Natural gas      " dataDxfId="237" dataCellStyle="Normal 2"/>
    <tableColumn id="35" xr3:uid="{B6D38582-A57D-44E7-A19C-E73869D8487A}" name="Bioenergy and waste        " dataDxfId="236" dataCellStyle="Normal 2"/>
    <tableColumn id="36" xr3:uid="{26DD5DEB-D01A-4F55-847D-8E96C963DDA8}" name="Primary electricity    " dataDxfId="235" dataCellStyle="Normal 2"/>
    <tableColumn id="37" xr3:uid="{18A7416E-657F-465E-8357-3C4B7F311986}" name="Electricity    " dataDxfId="234" dataCellStyle="Normal 2"/>
    <tableColumn id="38" xr3:uid="{6B5D1DE2-2C05-4C3B-BC92-41A397DDF46B}" name="Total heat generation" dataDxfId="233" dataCellStyle="Normal 2"/>
    <tableColumn id="39" xr3:uid="{6E79931A-84E6-4BC0-AB48-BB73EC12AF6A}" name="Coal      " dataDxfId="232" dataCellStyle="Normal 2"/>
    <tableColumn id="40" xr3:uid="{23BEB907-9126-4411-A8DC-EEC6B6C39DA8}" name="Manufactured fuels             " dataDxfId="231" dataCellStyle="Normal 2"/>
    <tableColumn id="41" xr3:uid="{1ECA3032-084D-4FC2-A947-A665716AA1CE}" name="Petroleum  " dataDxfId="230" dataCellStyle="Normal 2"/>
    <tableColumn id="42" xr3:uid="{C0EDE563-0899-4497-8513-C99DD89A9F21}" name="Natural gas               " dataDxfId="229" dataCellStyle="Normal 2"/>
    <tableColumn id="43" xr3:uid="{9E208AD6-2C53-4208-A10B-E3927D35B345}" name="Bioenergy and waste         " dataDxfId="228" dataCellStyle="Normal 2"/>
    <tableColumn id="44" xr3:uid="{A10EC499-2413-49E7-9348-B4A50ABD6B96}" name="Heat sold          " dataDxfId="227" dataCellStyle="Normal 2"/>
    <tableColumn id="45" xr3:uid="{A3D88406-C5BD-4EE1-871D-65E4295BFDA6}" name="Total petroleum refineries" dataDxfId="226" dataCellStyle="Normal 2"/>
    <tableColumn id="46" xr3:uid="{3362CAF5-002A-4FA5-8B8D-12481E500F6E}" name="Primary oil      " dataDxfId="225" dataCellStyle="Normal 2"/>
    <tableColumn id="47" xr3:uid="{F2648ACD-6408-4CC6-9D72-A4276AA5E927}" name="Petroleum       " dataDxfId="224" dataCellStyle="Normal 2"/>
    <tableColumn id="48" xr3:uid="{D69F854F-77F7-4A33-A3F9-8706F97C7C18}" name="Total coke manufacture" dataDxfId="223" dataCellStyle="Normal 2"/>
    <tableColumn id="49" xr3:uid="{9941ED0C-0FC5-41B6-BCC4-8E32E9CF8988}" name="Coal     " dataDxfId="222" dataCellStyle="Normal 2"/>
    <tableColumn id="50" xr3:uid="{F0BF16C6-9CFC-46CA-820C-3E8DD90F7DA1}" name="Manufactured fuels           " dataDxfId="221" dataCellStyle="Normal 2"/>
    <tableColumn id="51" xr3:uid="{04E621B1-9B11-4D22-982F-29D973361821}" name="Petroleum           " dataDxfId="220" dataCellStyle="Normal 2"/>
    <tableColumn id="52" xr3:uid="{65899930-0A3C-4D9C-A3BC-EEE51D0B9135}" name="Total blast furnaces" dataDxfId="219" dataCellStyle="Normal 2"/>
    <tableColumn id="53" xr3:uid="{68B00933-F119-4B7F-9A93-16162FC25703}" name="Coal              " dataDxfId="218" dataCellStyle="Normal 2"/>
    <tableColumn id="54" xr3:uid="{ED590787-E4BA-455E-BB50-2924E6E0968F}" name="Manufactured fuels               " dataDxfId="217" dataCellStyle="Normal 2"/>
    <tableColumn id="55" xr3:uid="{312238FE-9C0B-4E2A-98AC-E4816670C6A5}" name="Petroleum            " dataDxfId="216" dataCellStyle="Normal 2"/>
    <tableColumn id="56" xr3:uid="{680176B7-A085-41A5-8F96-0F4F8CD689E7}" name="Total patent fuel manufacture" dataDxfId="215" dataCellStyle="Normal 2"/>
    <tableColumn id="57" xr3:uid="{E6964464-24C4-4F8C-AB2F-41D946D60C6A}" name="Coal                       " dataDxfId="214" dataCellStyle="Normal 2"/>
    <tableColumn id="58" xr3:uid="{B07E1A88-6899-4710-A7A8-DA55802E305C}" name="Manufactured fuels                          " dataDxfId="213" dataCellStyle="Normal 2"/>
    <tableColumn id="59" xr3:uid="{81005ECA-5F5D-4A59-A86C-18CBD80C0E41}" name="Petroleum                           " dataDxfId="212" dataCellStyle="Normal 2"/>
    <tableColumn id="60" xr3:uid="{5B084BE3-59D3-4830-839E-F9E5556C2204}" name="Total other [note 5]" dataDxfId="211" dataCellStyle="Normal 2"/>
    <tableColumn id="61" xr3:uid="{D1C16FC0-7B48-4F09-8B94-DA3FBE91215C}" name="Primary oil                          " dataDxfId="210" dataCellStyle="Normal 2"/>
    <tableColumn id="62" xr3:uid="{5B570473-D1F4-4AC0-84A9-9E35196ADECD}" name="Petroleum                          " dataDxfId="209" dataCellStyle="Normal 2"/>
    <tableColumn id="63" xr3:uid="{E14ABC3E-36D5-43EB-BA0C-02253DDB872C}" name="Total energy industry use" dataDxfId="208" dataCellStyle="Normal 2"/>
    <tableColumn id="64" xr3:uid="{6EF81B62-984D-424F-B805-2E18F6B34A5B}" name="Coal                             " dataDxfId="207" dataCellStyle="Normal 2"/>
    <tableColumn id="65" xr3:uid="{57285C77-74F2-4AB5-A824-9B9DD232B37E}" name="Manufactured fuels                                      " dataDxfId="206" dataCellStyle="Normal 2"/>
    <tableColumn id="66" xr3:uid="{CBEBFEA2-70CA-4B58-BD89-2043ED9A5D61}" name="Primary oil                         " dataDxfId="205" dataCellStyle="Normal 2"/>
    <tableColumn id="67" xr3:uid="{AA848E94-299F-460D-B446-66A1BF6CF007}" name="Petroleum                       " dataDxfId="204" dataCellStyle="Normal 2"/>
    <tableColumn id="68" xr3:uid="{582DB022-A253-412A-AD74-8B87D9EECA9C}" name="Natural gas                              " dataDxfId="203" dataCellStyle="Normal 2"/>
    <tableColumn id="69" xr3:uid="{359C16DB-1696-4B7B-9633-BB5BB0999DC8}" name="Bioenergy and waste                                   " dataDxfId="202" dataCellStyle="Normal 2"/>
    <tableColumn id="70" xr3:uid="{F6556E58-1E04-42C0-9718-86A33943DC58}" name="Electricity                    " dataDxfId="201" dataCellStyle="Normal 2"/>
    <tableColumn id="71" xr3:uid="{0DBEDCEA-739C-457D-AB7B-FF522529FA72}" name="Heat sold                       " dataDxfId="200" dataCellStyle="Normal 2"/>
    <tableColumn id="72" xr3:uid="{FCB31422-1110-4A77-AA63-93021B806C0B}" name="Total losses" dataDxfId="199" dataCellStyle="Normal 2"/>
    <tableColumn id="73" xr3:uid="{7FB48F97-6D8B-48E9-A576-C076F2C095AB}" name="Coal                                     " dataDxfId="198" dataCellStyle="Normal 2"/>
    <tableColumn id="74" xr3:uid="{61620581-E45F-4416-9187-781F66B57550}" name="Manufactured fuels                            " dataDxfId="197" dataCellStyle="Normal 2"/>
    <tableColumn id="75" xr3:uid="{80678529-942F-4E0A-BB9F-CD83148D7D9B}" name="Primary oil                           " dataDxfId="196" dataCellStyle="Normal 2"/>
    <tableColumn id="76" xr3:uid="{2B44F355-9C09-46E5-B13C-54982D8A260D}" name="Petroleum                                      " dataDxfId="195" dataCellStyle="Normal 2"/>
    <tableColumn id="77" xr3:uid="{FD62B3D6-B195-40B8-AA80-8610E8991EFC}" name="Natural gas                      " dataDxfId="194" dataCellStyle="Normal 2"/>
    <tableColumn id="78" xr3:uid="{87B8B116-27A5-4A20-9800-A359FF2E5093}" name="Bioenergy and waste                                         " dataDxfId="193" dataCellStyle="Normal 2"/>
    <tableColumn id="79" xr3:uid="{A5693C14-2BEF-4F8A-97AD-EB49681844DE}" name="Electricity                            " dataDxfId="192" dataCellStyle="Normal 2"/>
    <tableColumn id="80" xr3:uid="{E775247B-53D9-4773-A37D-B113778B3660}" name="Total final consumption" dataDxfId="191" dataCellStyle="Normal 2"/>
    <tableColumn id="81" xr3:uid="{462245C5-284E-4612-A206-67EA06C90AD5}" name="Coal                                  " dataDxfId="190" dataCellStyle="Normal 2"/>
    <tableColumn id="82" xr3:uid="{1CB5EC04-61BB-48B7-8447-AB6AE1D81621}" name="Manufactured fuels                              " dataDxfId="189" dataCellStyle="Normal 2"/>
    <tableColumn id="83" xr3:uid="{068F8212-E91C-4456-8D6E-7012DFC5F171}" name="Petroleum products" dataDxfId="188" dataCellStyle="Normal 2"/>
    <tableColumn id="84" xr3:uid="{497E70D4-7739-4276-92C3-1186FC144954}" name="Natural gas                       " dataDxfId="187" dataCellStyle="Normal 2"/>
    <tableColumn id="85" xr3:uid="{F15E1075-7F83-4FD3-AF39-E697FBB27A4D}" name="Bioenergy and waste                               " dataDxfId="186" dataCellStyle="Normal 2"/>
    <tableColumn id="86" xr3:uid="{6CFEB844-5764-4668-832D-82A53D34EDE9}" name="Electricity                                 " dataDxfId="185" dataCellStyle="Normal 2"/>
    <tableColumn id="87" xr3:uid="{0806E3A6-C1BE-43F2-91AC-A030A6A2B246}" name="Heat sold                                 " dataDxfId="184" dataCellStyle="Normal 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88B1850-F79E-475D-9F66-6E45BAD4108D}" name="Table1.3_Supply_and_use_of_fuels_thousand_tonnes_of_oil_equivalent_quarterly_final_consumption_data" displayName="Table1.3_Supply_and_use_of_fuels_thousand_tonnes_of_oil_equivalent_quarterly_final_consumption_data" ref="A5:CE117" totalsRowShown="0" headerRowDxfId="183" dataDxfId="181" headerRowBorderDxfId="182" tableBorderDxfId="180" dataCellStyle="Normal 2">
  <autoFilter ref="A5:CE117" xr:uid="{188B1850-F79E-475D-9F66-6E45BAD410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autoFilter>
  <tableColumns count="83">
    <tableColumn id="1" xr3:uid="{618179AE-84E3-4AB2-B2A3-D010AEB08FA2}" name="Quarter" dataDxfId="179" dataCellStyle="Normal 4"/>
    <tableColumn id="2" xr3:uid="{AB2AABC0-94B2-4148-BA6A-8A084B36473D}" name="Total final consumption" dataDxfId="178" dataCellStyle="Normal 2"/>
    <tableColumn id="3" xr3:uid="{A14C8820-F868-4A67-BFD2-CB93CBAE52C2}" name="Coal" dataDxfId="177" dataCellStyle="Normal 2"/>
    <tableColumn id="4" xr3:uid="{096C5ACF-3BE3-4677-A1A9-98807138F7ED}" name="Manufactured fuels [note 7] " dataDxfId="176" dataCellStyle="Normal 2"/>
    <tableColumn id="5" xr3:uid="{972E7604-A39E-41C8-A01C-8FAAB1F7B8C0}" name="Petroleum products" dataDxfId="175" dataCellStyle="Normal 2"/>
    <tableColumn id="6" xr3:uid="{67FE588E-37B5-43E2-9F0F-A7292CA59720}" name="Natural gas [note 8]" dataDxfId="174" dataCellStyle="Normal 2"/>
    <tableColumn id="7" xr3:uid="{C8BE9B33-7B7B-4383-8C03-AF596959D731}" name="Bioenergy and waste [note 9]" dataDxfId="173" dataCellStyle="Normal 2"/>
    <tableColumn id="8" xr3:uid="{99226A26-08B4-403D-A83E-F1719F40D887}" name="Electricity" dataDxfId="172" dataCellStyle="Normal 2"/>
    <tableColumn id="9" xr3:uid="{46F58269-E0C8-43B8-BE67-DECB17F7D656}" name="Heat sold" dataDxfId="171" dataCellStyle="Normal 2"/>
    <tableColumn id="10" xr3:uid="{E50A2B60-E44C-4C7C-9797-4657A54122A7}" name="Total iron &amp; steel" dataDxfId="170" dataCellStyle="Normal 2"/>
    <tableColumn id="11" xr3:uid="{A07DD56E-8132-45C0-B5DA-1F24AAEBD5F7}" name="Coal " dataDxfId="169" dataCellStyle="Normal 2"/>
    <tableColumn id="12" xr3:uid="{0ACA6AE7-59EC-40F1-AD28-5AC707E23264}" name="Manufactured fuels " dataDxfId="168" dataCellStyle="Normal 2"/>
    <tableColumn id="13" xr3:uid="{1675B04E-746D-4876-BBA8-B46E7056C7D6}" name="Petroleum products    " dataDxfId="167" dataCellStyle="Normal 2"/>
    <tableColumn id="14" xr3:uid="{D5F6FE4D-BDD3-4F57-860D-A294A50AA698}" name="Natural gas " dataDxfId="166" dataCellStyle="Normal 2"/>
    <tableColumn id="15" xr3:uid="{302561BF-2ADF-407A-AC1D-3DA0CBD83B60}" name="Bioenergy and waste " dataDxfId="165" dataCellStyle="Normal 2"/>
    <tableColumn id="16" xr3:uid="{A455114F-0FA6-4F10-B663-F9F69901B834}" name="Electricity " dataDxfId="164" dataCellStyle="Normal 2"/>
    <tableColumn id="17" xr3:uid="{B8FB3A5C-454B-49BA-9101-BC676E3EC964}" name="Heat sold      " dataDxfId="163" dataCellStyle="Normal 2"/>
    <tableColumn id="18" xr3:uid="{14129121-996E-4F0B-A87E-2354FE0A5BF4}" name="Total other industries" dataDxfId="162" dataCellStyle="Normal 2"/>
    <tableColumn id="19" xr3:uid="{4EFA117C-A8BC-4963-8F70-7B974D5BEFF5}" name="Coal    " dataDxfId="161" dataCellStyle="Normal 2"/>
    <tableColumn id="20" xr3:uid="{0E709DBE-E521-4086-86FE-A506EB254AB3}" name="Manufactured fuels    " dataDxfId="160" dataCellStyle="Normal 2"/>
    <tableColumn id="21" xr3:uid="{A15312B7-A3C7-49F6-9085-F5A3C16E0027}" name="Petroleum products          " dataDxfId="159" dataCellStyle="Normal 2"/>
    <tableColumn id="22" xr3:uid="{3C16F020-9F72-4B92-B9D3-1CE59425C4A0}" name="Natural gas    " dataDxfId="158" dataCellStyle="Normal 2"/>
    <tableColumn id="23" xr3:uid="{BCA78185-237C-49F2-83A9-D6C3719C6C0E}" name="Bioenergy and waste     " dataDxfId="157" dataCellStyle="Normal 2"/>
    <tableColumn id="24" xr3:uid="{8EBC8C64-2924-4BC0-B3FA-EEC20F129D04}" name="Electricity   " dataDxfId="156" dataCellStyle="Normal 2"/>
    <tableColumn id="25" xr3:uid="{18466187-F241-478F-8FE9-EB1ECA5CF449}" name="Heat sold                 " dataDxfId="155" dataCellStyle="Normal 2"/>
    <tableColumn id="26" xr3:uid="{78AFDED1-F2B9-4E31-A4FE-32CEB3C89412}" name="Total transport" dataDxfId="154" dataCellStyle="Normal 2"/>
    <tableColumn id="27" xr3:uid="{05D8AE32-35DF-467E-84FD-5D62D4F0270A}" name="Coal           " dataDxfId="153" dataCellStyle="Normal 2"/>
    <tableColumn id="28" xr3:uid="{C6B85B53-5163-4D30-B68F-A17DAF2502A8}" name="Petroleum products              " dataDxfId="152" dataCellStyle="Normal 2"/>
    <tableColumn id="29" xr3:uid="{745C0CFC-70EB-4328-9E9E-CB3D60BAD961}" name="Natural gas      " dataDxfId="151" dataCellStyle="Normal 2"/>
    <tableColumn id="30" xr3:uid="{6A6BD06A-D8E5-4F12-AEEE-184C3475FC4D}" name="Bioenergy and waste        " dataDxfId="150" dataCellStyle="Normal 2"/>
    <tableColumn id="31" xr3:uid="{F7C3BEDC-5A41-4FDD-98CA-11E2E2A6590D}" name="Electricity    " dataDxfId="149" dataCellStyle="Normal 2"/>
    <tableColumn id="32" xr3:uid="{6467AB40-DC96-4332-874A-A149D8B71539}" name="Total domestic" dataDxfId="148" dataCellStyle="Normal 2"/>
    <tableColumn id="33" xr3:uid="{A9A9BF0D-2015-444D-8684-2DC2CB47DD23}" name="Coal      " dataDxfId="147" dataCellStyle="Normal 2"/>
    <tableColumn id="34" xr3:uid="{806F9974-1FE4-46CE-B837-DC645158AF3D}" name="Manufactured fuels             " dataDxfId="146" dataCellStyle="Normal 2"/>
    <tableColumn id="35" xr3:uid="{A0A3EA80-C9EF-4FDB-A443-DA08649DAD7B}" name="Petroleum products               " dataDxfId="145" dataCellStyle="Normal 2"/>
    <tableColumn id="36" xr3:uid="{16755A51-94A0-453F-B57E-D4A93AB75DDA}" name="Natural gas               " dataDxfId="144" dataCellStyle="Normal 2"/>
    <tableColumn id="37" xr3:uid="{1F6E68A7-187C-4090-851A-96F49EBC8110}" name="Bioenergy and waste         " dataDxfId="143" dataCellStyle="Normal 2"/>
    <tableColumn id="38" xr3:uid="{64CAA673-715A-4537-BA7E-B32B608ABBCB}" name="Electricity                " dataDxfId="142" dataCellStyle="Normal 2"/>
    <tableColumn id="39" xr3:uid="{4FF9FAE3-638B-41CE-88F1-46EBA01FC899}" name="Heat sold          " dataDxfId="141" dataCellStyle="Normal 2"/>
    <tableColumn id="40" xr3:uid="{475991D2-4D5C-4742-A789-386A006662CD}" name="Total other final users" dataDxfId="140" dataCellStyle="Normal 2"/>
    <tableColumn id="41" xr3:uid="{815B54A2-75EC-4C31-867D-9FC9A3EFF917}" name="Coal     " dataDxfId="139" dataCellStyle="Normal 2"/>
    <tableColumn id="42" xr3:uid="{EF60B554-7515-4990-AA8A-42ED7C130272}" name="Manufactured fuels           " dataDxfId="138" dataCellStyle="Normal 2"/>
    <tableColumn id="43" xr3:uid="{BDA09C63-913B-4E37-8E25-2E97FC910D6C}" name="Petroleum products             " dataDxfId="137" dataCellStyle="Normal 2"/>
    <tableColumn id="44" xr3:uid="{E838B44F-51ED-4E3C-8233-E00DC30BF2F5}" name="Natural gas                   " dataDxfId="136" dataCellStyle="Normal 2"/>
    <tableColumn id="45" xr3:uid="{B42833AA-05D1-460B-9372-97CA6528010C}" name="Bioenergy and waste               " dataDxfId="135" dataCellStyle="Normal 2"/>
    <tableColumn id="46" xr3:uid="{8B5BD2FB-ED4E-4285-959D-E98A49F26770}" name="Electricity                   " dataDxfId="134" dataCellStyle="Normal 2"/>
    <tableColumn id="47" xr3:uid="{CFECF902-4D68-4346-9333-28DD4100CD3A}" name="Heat sold                              " dataDxfId="133" dataCellStyle="Normal 2"/>
    <tableColumn id="48" xr3:uid="{89891E35-EC18-4B7E-A115-369E3930A164}" name="Total public administration" dataDxfId="132" dataCellStyle="Normal 2"/>
    <tableColumn id="49" xr3:uid="{9AFAADE8-96C1-41C2-823C-04AE0F6D371F}" name="Coal                       " dataDxfId="131" dataCellStyle="Normal 2"/>
    <tableColumn id="50" xr3:uid="{B4EC215E-141A-4824-A531-6D32182F7A8E}" name="Manufactured fuels                          " dataDxfId="130" dataCellStyle="Normal 2"/>
    <tableColumn id="51" xr3:uid="{D6E7C2D3-43B2-4E7E-9FC0-30A63BC0C187}" name="Petroleum products                      " dataDxfId="129" dataCellStyle="Normal 2"/>
    <tableColumn id="52" xr3:uid="{F8A5A59B-0755-4F81-9ABA-4314B4489399}" name="Natural gas              " dataDxfId="128" dataCellStyle="Normal 2"/>
    <tableColumn id="53" xr3:uid="{73585D1A-B03D-46DF-91A0-F578AB450B8B}" name="Bioenergy and waste                                " dataDxfId="127" dataCellStyle="Normal 2"/>
    <tableColumn id="54" xr3:uid="{0A6534DB-05D4-41F3-B477-EDD87FD4E030}" name="Electricity                        " dataDxfId="126" dataCellStyle="Normal 2"/>
    <tableColumn id="55" xr3:uid="{AFC8D904-AA43-49C8-89F4-BEDD525BA018}" name="Heat sold                      " dataDxfId="125" dataCellStyle="Normal 2"/>
    <tableColumn id="56" xr3:uid="{29389884-9B24-4D29-BFFF-B2B616B04666}" name="Total commercial" dataDxfId="124" dataCellStyle="Normal 2"/>
    <tableColumn id="57" xr3:uid="{8AE0FC45-2268-47EB-8F8B-9B91878B1215}" name="Coal                                    " dataDxfId="123" dataCellStyle="Normal 2"/>
    <tableColumn id="58" xr3:uid="{3F8F79F2-164B-4B1E-BDB0-7887A31E809D}" name="Manufactured fuels                           " dataDxfId="122" dataCellStyle="Normal 2"/>
    <tableColumn id="59" xr3:uid="{9492D923-0FAA-4ED8-98F6-71060FFFC140}" name="Petroleum products                             " dataDxfId="121" dataCellStyle="Normal 2"/>
    <tableColumn id="60" xr3:uid="{9DD3AE3C-2DA5-439C-92F5-918B19B6E3D4}" name="Natural gas                        " dataDxfId="120" dataCellStyle="Normal 2"/>
    <tableColumn id="61" xr3:uid="{4E264FC7-5177-4263-9FEF-26F58B2212D9}" name="Bioenergy and waste                      " dataDxfId="119" dataCellStyle="Normal 2"/>
    <tableColumn id="62" xr3:uid="{C5190B94-E442-4982-AB60-560CD8314DC1}" name="Electricity                              " dataDxfId="118" dataCellStyle="Normal 2"/>
    <tableColumn id="63" xr3:uid="{9273A386-6B1C-4CD3-B74A-D3A462D25089}" name="Heat sold                     " dataDxfId="117" dataCellStyle="Normal 2"/>
    <tableColumn id="64" xr3:uid="{99235841-5365-410E-BFEA-247C1EA313C3}" name="Total agriculture" dataDxfId="116" dataCellStyle="Normal 2"/>
    <tableColumn id="65" xr3:uid="{BA49A633-7959-4FD7-9E87-8EB8992DD892}" name="Coal                                          " dataDxfId="115" dataCellStyle="Normal 2"/>
    <tableColumn id="66" xr3:uid="{4401DA6C-6506-41F1-ACFF-55A6813F05C3}" name="Manufactured fuels                                      " dataDxfId="114" dataCellStyle="Normal 2"/>
    <tableColumn id="67" xr3:uid="{B368DC64-A474-4BE0-92F8-D8B129EC9412}" name="Petroleum products                                  " dataDxfId="113" dataCellStyle="Normal 2"/>
    <tableColumn id="68" xr3:uid="{A7915CFC-77E0-4ACB-B404-9E17115A9C4B}" name="Natural gas                              " dataDxfId="112" dataCellStyle="Normal 2"/>
    <tableColumn id="69" xr3:uid="{9EF1E2A4-03A1-4856-9497-C25895E6F867}" name="Bioenergy and waste                     " dataDxfId="111" dataCellStyle="Normal 2"/>
    <tableColumn id="70" xr3:uid="{3D84965E-7075-468A-AFD1-5B508E6F879B}" name="Electricity                                 " dataDxfId="110" dataCellStyle="Normal 2"/>
    <tableColumn id="71" xr3:uid="{5AEA4FF5-8914-4D30-ADF2-F6AB9AA971E0}" name="Heat sold                                   " dataDxfId="109" dataCellStyle="Normal 2"/>
    <tableColumn id="72" xr3:uid="{50060BC2-C45F-4409-AF82-923AF55D177E}" name="Total miscellaneous" dataDxfId="108" dataCellStyle="Normal 2"/>
    <tableColumn id="73" xr3:uid="{3C8E3948-1FC7-4693-A958-C75F66F203C4}" name="Coal                     " dataDxfId="107" dataCellStyle="Normal 2"/>
    <tableColumn id="74" xr3:uid="{C63DBE65-E39C-46FC-A881-C11B34BFA578}" name="Manufactured fuels                       " dataDxfId="106" dataCellStyle="Normal 2"/>
    <tableColumn id="75" xr3:uid="{2B09FAAF-4633-40FF-ABA2-0876B363D259}" name="Petroleum products                     " dataDxfId="105" dataCellStyle="Normal 2"/>
    <tableColumn id="76" xr3:uid="{179A4546-3707-4ED0-8C6E-161A26B5CF9F}" name="Natural gas             " dataDxfId="104" dataCellStyle="Normal 2"/>
    <tableColumn id="77" xr3:uid="{C034ABBC-1E0F-4420-938E-A25ECC2F3879}" name="Bioenergy and waste                       " dataDxfId="103" dataCellStyle="Normal 2"/>
    <tableColumn id="78" xr3:uid="{115D4B89-71E7-423D-BD01-76AF4E0CD639}" name="Electricity                                " dataDxfId="102" dataCellStyle="Normal 2"/>
    <tableColumn id="79" xr3:uid="{67E1B051-A1C6-4B16-B283-9991EA7CDEE9}" name="Heat sold                         " dataDxfId="101" dataCellStyle="Normal 2"/>
    <tableColumn id="80" xr3:uid="{6353FA22-1E16-49F5-82EE-29F22E2EDFA9}" name="Total non energy use" dataDxfId="100" dataCellStyle="Normal 2">
      <calculatedColumnFormula>SUM(CC6:CE6)</calculatedColumnFormula>
    </tableColumn>
    <tableColumn id="81" xr3:uid="{EC13C9A7-0B80-4531-A1F1-2190012FC5BF}" name="Manufactured fuels                         " dataDxfId="99" dataCellStyle="Normal 2"/>
    <tableColumn id="82" xr3:uid="{834233EB-C6C8-462F-8A2D-04318356C6FB}" name="Petroleum products                                       " dataDxfId="98" dataCellStyle="Normal 2"/>
    <tableColumn id="83" xr3:uid="{59814A26-A0FC-490A-94DB-41A5440B0A27}" name="Natural gas            " dataDxfId="97" dataCellStyle="Normal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8022ED2-5DAE-4713-95FA-2FDB3B31EDCE}" name="Table1.3_Fossil_fuel_dependency_and_low_carbon_share_of_total_energy_consumption_import_dependency_of_primary_supply_annual_data" displayName="Table1.3_Fossil_fuel_dependency_and_low_carbon_share_of_total_energy_consumption_import_dependency_of_primary_supply_annual_data" ref="A5:P33" totalsRowShown="0" headerRowDxfId="96" dataDxfId="95" headerRowCellStyle="Normal 2" dataCellStyle="Normal 2">
  <autoFilter ref="A5:P33" xr:uid="{F8022ED2-5DAE-4713-95FA-2FDB3B31EDC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568CBD25-7348-4ED1-9C8A-5FB82015F916}" name="Year" dataDxfId="94" dataCellStyle="Normal 2"/>
    <tableColumn id="2" xr3:uid="{EF1EBD9B-452C-4A33-8652-96852DDF03C7}" name="Total energy consumption" dataDxfId="93" dataCellStyle="Normal 2"/>
    <tableColumn id="3" xr3:uid="{5B493D20-7796-49AB-A7E7-CD1950899554}" name="Fossil fuel primary consumption" dataDxfId="92" dataCellStyle="Normal 2"/>
    <tableColumn id="4" xr3:uid="{9AA539B7-3097-442D-ACF5-74B4AAF403A8}" name="Fossil fuel non-energy use" dataDxfId="91" dataCellStyle="Normal 2"/>
    <tableColumn id="5" xr3:uid="{8D2CE4CC-26C0-499B-B330-8359F50765C1}" name="Fossil fuel energy consumption" dataDxfId="90" dataCellStyle="Normal 2"/>
    <tableColumn id="6" xr3:uid="{6F01D3CA-4C00-4A7C-8020-66852E1E3CFC}" name="Electricity net imports" dataDxfId="89" dataCellStyle="Normal 2"/>
    <tableColumn id="7" xr3:uid="{26EC1BFF-D3BE-4B49-8BD7-EEA6C0CFE718}" name="Non bio-degradable wastes" dataDxfId="88" dataCellStyle="Normal 2"/>
    <tableColumn id="8" xr3:uid="{A1C619B8-6FFB-410F-87D3-C9F1BFA67273}" name="Fossil fuel dependency [note 6]" dataDxfId="87" dataCellStyle="Normal 2">
      <calculatedColumnFormula>SUM(E6/B6)</calculatedColumnFormula>
    </tableColumn>
    <tableColumn id="9" xr3:uid="{CE7ECBB2-0B92-4720-9F46-FAEB855F4A76}" name="Low carbon share [note 6]" dataDxfId="86" dataCellStyle="Normal 2">
      <calculatedColumnFormula>IF((F6+G6)&gt;0,1-(E6+F6+G6)/B6,1-H6)</calculatedColumnFormula>
    </tableColumn>
    <tableColumn id="10" xr3:uid="{4999F8B9-B7A0-4A5C-ADF1-13E6CBB7F4D1}" name="Primary supply" dataDxfId="85" dataCellStyle="Normal 2"/>
    <tableColumn id="11" xr3:uid="{392F5077-BC42-48DB-946C-CC8CEB2B7D68}" name="Imports" dataDxfId="84" dataCellStyle="Normal 2"/>
    <tableColumn id="12" xr3:uid="{4E4D3B0E-77CE-4529-B614-C75C11281BCF}" name="Exports" dataDxfId="83" dataCellStyle="Normal 2"/>
    <tableColumn id="13" xr3:uid="{EEC59448-3C5B-47D8-8FCF-D06EFCB5D9C6}" name="Net imports (+) net exports (-)" dataDxfId="82" dataCellStyle="Normal 2"/>
    <tableColumn id="14" xr3:uid="{CFAA0EE9-9C6F-49A0-89D8-26E127E14EB3}" name="Marine bunkers" dataDxfId="81" dataCellStyle="Normal 2"/>
    <tableColumn id="15" xr3:uid="{24DEA02D-14B9-4554-961D-26E63A7496B1}" name="Denominator" dataDxfId="80" dataCellStyle="Normal 2"/>
    <tableColumn id="16" xr3:uid="{68CA4E91-B9DF-417C-8D1D-2C39A268EB29}" name="Import dependency [note 6]" dataDxfId="79" dataCellStyle="Normal 2">
      <calculatedColumnFormula>SUM(M6/O6)</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5C943AF-6728-4C2A-88F5-D35F95A9C40F}" name="Table1.3_Fossil_fuel_dependency_and_low_carbon_share_of_total_energy_consumption_import_dependency_of_primary_supply_quarterly_data" displayName="Table1.3_Fossil_fuel_dependency_and_low_carbon_share_of_total_energy_consumption_import_dependency_of_primary_supply_quarterly_data" ref="A5:P117" totalsRowShown="0" headerRowDxfId="78" dataDxfId="77" headerRowCellStyle="Normal 2" dataCellStyle="Normal 2">
  <autoFilter ref="A5:P117" xr:uid="{45C943AF-6728-4C2A-88F5-D35F95A9C4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3179F7A6-D37E-4B0F-9471-CBD2E0B7F2E7}" name="Quarter" dataDxfId="76" dataCellStyle="Normal 4"/>
    <tableColumn id="2" xr3:uid="{0C0E4C5D-ECE8-4582-A4A1-5B94DFC0D09D}" name="Total energy consumption" dataDxfId="75" dataCellStyle="Normal 2"/>
    <tableColumn id="3" xr3:uid="{A37518BB-1BD7-4722-A42B-E624AF318A8A}" name="Fossil fuel primary consumption" dataDxfId="74" dataCellStyle="Normal 2"/>
    <tableColumn id="4" xr3:uid="{98C780AF-8AF8-451D-A8ED-7ED8FB588956}" name="Fossil fuel non-energy use" dataDxfId="73" dataCellStyle="Normal 2"/>
    <tableColumn id="5" xr3:uid="{90EA0562-1442-4E6B-A12C-234795AF3641}" name="Fossil fuel energy consumption" dataDxfId="72" dataCellStyle="Normal 2"/>
    <tableColumn id="6" xr3:uid="{CF1CE247-E851-45F5-8902-E7D6F64026EF}" name="Electricity net imports" dataDxfId="71" dataCellStyle="Normal 2"/>
    <tableColumn id="7" xr3:uid="{151CE92D-0571-4FD6-8E01-E7BFA7E7C28D}" name="Non bio-degradable wastes" dataDxfId="70" dataCellStyle="Normal 2"/>
    <tableColumn id="8" xr3:uid="{47492396-B159-4BB1-AFCF-88E11A7E8B31}" name="Fossil fuel dependency [note 6]" dataDxfId="69" dataCellStyle="Normal 2"/>
    <tableColumn id="9" xr3:uid="{04E45915-2C5B-43E1-9B20-13D341021BE1}" name="Low carbon share [note 6]" dataDxfId="68" dataCellStyle="Normal 2"/>
    <tableColumn id="10" xr3:uid="{2C92E40A-A16E-4853-BCC4-9647C64BED27}" name="Primary supply" dataDxfId="67" dataCellStyle="Normal 2"/>
    <tableColumn id="11" xr3:uid="{C5236A88-BF50-418D-B577-236D8ACFA4E1}" name="Imports" dataDxfId="66" dataCellStyle="Normal 2"/>
    <tableColumn id="12" xr3:uid="{DE479381-B61D-4AE8-82BD-E7854018C8F6}" name="Exports" dataDxfId="65" dataCellStyle="Normal 2"/>
    <tableColumn id="13" xr3:uid="{B532D0D1-D89A-466E-A78B-A7F213779D0B}" name="Net imports (+) net exports (-)" dataDxfId="64" dataCellStyle="Normal 2"/>
    <tableColumn id="14" xr3:uid="{C13BBA58-E742-4200-BB5C-0E215203A48B}" name="Marine bunkers" dataDxfId="63" dataCellStyle="Normal 2"/>
    <tableColumn id="15" xr3:uid="{86A1E0D8-09DE-4D05-A705-5AD72FC34D0D}" name="Denominator" dataDxfId="62" dataCellStyle="Normal 2"/>
    <tableColumn id="16" xr3:uid="{E4AC4B14-007A-42D9-B0A8-21A52B0632CC}" name="Import dependency [note 6]" dataDxfId="61"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7616D78-E2C2-4305-AE84-3326A7EA1066}" name="Table1.3_Seasonally_adjusted_and_temperature_corrected_final_energy_consumption_thousand_tonnes_of_oil_equivalent_annual_data" displayName="Table1.3_Seasonally_adjusted_and_temperature_corrected_final_energy_consumption_thousand_tonnes_of_oil_equivalent_annual_data" ref="A5:AA29" totalsRowShown="0" headerRowDxfId="60" dataDxfId="58" headerRowBorderDxfId="59" tableBorderDxfId="57" headerRowCellStyle="Normal 2" dataCellStyle="Normal 2 2">
  <autoFilter ref="A5:AA29" xr:uid="{67616D78-E2C2-4305-AE84-3326A7EA10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135FA2F5-7DDE-4F99-A1A0-991788C3D5A4}" name="Year" dataDxfId="56" dataCellStyle="Normal 2"/>
    <tableColumn id="2" xr3:uid="{F1C95BA9-537A-4789-BAA1-DFF885048A58}" name="Total final energy consumption (unadjusted) by sector" dataDxfId="55" dataCellStyle="Normal 2 2"/>
    <tableColumn id="3" xr3:uid="{4C515040-1368-4C16-ADCF-CD73A263DAA7}" name="Industry" dataDxfId="54" dataCellStyle="Normal 2 2"/>
    <tableColumn id="4" xr3:uid="{0DC9CF85-1CD7-43B5-97F1-F6503EBE691A}" name="Transport" dataDxfId="53" dataCellStyle="Normal 2 2"/>
    <tableColumn id="5" xr3:uid="{682FFC1C-2AA6-47A4-85F6-19B79478D9FC}" name="Domestic" dataDxfId="52" dataCellStyle="Normal 2 2"/>
    <tableColumn id="6" xr3:uid="{25FDC4DC-5128-4C95-ADDD-E8C7A5E39354}" name="Other final users" dataDxfId="51" dataCellStyle="Normal 2 2"/>
    <tableColumn id="7" xr3:uid="{88099814-68D8-43F2-A1A3-D162165F319A}" name="Total final energy consumption (seasonally and temperature adjusted) by sector [note 10]" dataDxfId="50" dataCellStyle="Normal 2 2"/>
    <tableColumn id="8" xr3:uid="{DCFA7D1E-FE11-4999-80FF-9058667317BA}" name="Industry      " dataDxfId="49" dataCellStyle="Normal 2 2"/>
    <tableColumn id="9" xr3:uid="{07077E9B-CD1E-4198-B08C-02247DA37CFC}" name="Transport      " dataDxfId="48" dataCellStyle="Normal 2 2"/>
    <tableColumn id="10" xr3:uid="{257C0BBB-1C3C-49A8-B96D-1C643EE2D3BF}" name="Domestic          " dataDxfId="47" dataCellStyle="Normal 2 2"/>
    <tableColumn id="11" xr3:uid="{726FF3CF-FAB7-45F6-AD81-E228D9B42267}" name="Other final users               " dataDxfId="46" dataCellStyle="Normal 2 2"/>
    <tableColumn id="12" xr3:uid="{5EB5F72C-B076-4F78-85BF-6ECD4102F44F}" name="Total final energy consumption (unadjusted) by fuel" dataDxfId="45" dataCellStyle="Normal 2 2"/>
    <tableColumn id="13" xr3:uid="{1A66C923-E977-4A67-9FDC-9F774C25EBE2}" name="Gas" dataDxfId="44" dataCellStyle="Normal 2 2"/>
    <tableColumn id="14" xr3:uid="{C2F9E5D4-CB69-4015-8B93-9BAF84A553DA}" name="Electricity" dataDxfId="43" dataCellStyle="Normal 2 2"/>
    <tableColumn id="15" xr3:uid="{6BC7EA28-994C-445D-914D-6D077F87F6E2}" name="Other" dataDxfId="42" dataCellStyle="Normal 2 2"/>
    <tableColumn id="16" xr3:uid="{19FC80D7-53AA-409F-BAF0-94AB7DAE3214}" name="Total final energy consumption (seasonally and temperature adjusted) by fuel [note 10]" dataDxfId="41" dataCellStyle="Normal 2 2"/>
    <tableColumn id="17" xr3:uid="{266D0A8C-9AD9-4A0C-9C14-D90B3B1B818E}" name="Gas                  " dataDxfId="40" dataCellStyle="Normal 2 2"/>
    <tableColumn id="18" xr3:uid="{0C430FF1-3A6E-42E6-96F8-5EB8601A0A9D}" name="Electricity                " dataDxfId="39" dataCellStyle="Normal 2 2"/>
    <tableColumn id="19" xr3:uid="{2E9DC198-C4F5-4066-89BA-87512677707E}" name="Other                 " dataDxfId="38" dataCellStyle="Normal 2 2"/>
    <tableColumn id="20" xr3:uid="{D612BB54-BF18-4F22-AE71-4CC8E3DFFFD0}" name="Domestic energy consumption (unadjusted) by fuel" dataDxfId="37" dataCellStyle="Normal 2 2"/>
    <tableColumn id="21" xr3:uid="{4AFA174E-21D8-46FF-9BB4-323314BD5B87}" name="Gas                 " dataDxfId="36" dataCellStyle="Normal 2 2"/>
    <tableColumn id="22" xr3:uid="{3F778FBE-158A-42CC-9EEB-1F7B33B0A10E}" name="Electricity                 " dataDxfId="35" dataCellStyle="Normal 2 2"/>
    <tableColumn id="23" xr3:uid="{5EFBE81D-1D65-4E47-A5B1-161B59F2821D}" name="Other                                    " dataDxfId="34" dataCellStyle="Normal 2 2"/>
    <tableColumn id="24" xr3:uid="{F79D8822-4529-4F32-AB3A-1F9B601AAE61}" name="Domestic energy consumption (seasonally and temperature adjusted) by fuel [note 10]" dataDxfId="33" dataCellStyle="Normal 2 2"/>
    <tableColumn id="25" xr3:uid="{647BFD5C-B2F9-4D92-9F95-83D285ABB3BC}" name="Gas                            " dataDxfId="32" dataCellStyle="Normal 2 2"/>
    <tableColumn id="26" xr3:uid="{4E5BA498-BAAB-42C6-B932-D6F9923CB947}" name="Electricity               " dataDxfId="31" dataCellStyle="Normal 2 2"/>
    <tableColumn id="27" xr3:uid="{7F306489-8488-4402-AADC-5C569B2AF881}" name="Other               " dataDxfId="30" dataCellStyle="Normal 2 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8F89D60-7B8A-496A-9C07-6A137D771081}" name="Table1.3_Seasonally_adjusted_and_temperature_corrected_final_energy_consumption_thousand_tonnes_of_oil_equivalent_quarterly_data" displayName="Table1.3_Seasonally_adjusted_and_temperature_corrected_final_energy_consumption_thousand_tonnes_of_oil_equivalent_quarterly_data" ref="A5:AA101" totalsRowShown="0" headerRowDxfId="29" dataDxfId="27" headerRowBorderDxfId="28" headerRowCellStyle="Normal 2" dataCellStyle="Normal 2 2">
  <autoFilter ref="A5:AA101" xr:uid="{48F89D60-7B8A-496A-9C07-6A137D7710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7D539D76-FBF0-4BA5-877C-0CA32706DBF2}" name="Quarter" dataDxfId="26" dataCellStyle="Normal 4"/>
    <tableColumn id="2" xr3:uid="{32656439-FA00-479B-A17D-FE0246B5A192}" name="Total final energy consumption (unadjusted) by sector" dataDxfId="25" dataCellStyle="Normal 2 2"/>
    <tableColumn id="3" xr3:uid="{EECE8991-DBE3-431D-875F-632F41855C1D}" name="Industry" dataDxfId="24" dataCellStyle="Normal 2 2"/>
    <tableColumn id="4" xr3:uid="{70A68B96-F443-443F-8F74-DA9635B6FD02}" name="Transport" dataDxfId="23" dataCellStyle="Normal 2 2"/>
    <tableColumn id="5" xr3:uid="{883C0F15-95FA-4EDC-A26D-98416C87FB47}" name="Domestic" dataDxfId="22" dataCellStyle="Normal 2 2"/>
    <tableColumn id="6" xr3:uid="{A2B282B6-CA61-4405-A025-3800849CA255}" name="Other final users" dataDxfId="21" dataCellStyle="Normal 2 2"/>
    <tableColumn id="7" xr3:uid="{AEAE6BA5-4B54-4D51-B7C9-937DFF8BFDFD}" name="Total final energy consumption (seasonally and temperature adjusted) by sector [note 10]" dataDxfId="20" dataCellStyle="Normal 2 2"/>
    <tableColumn id="8" xr3:uid="{2B8E7DAF-FCCC-4BE7-A857-DC865AD41B0E}" name="Industry      " dataDxfId="19" dataCellStyle="Normal 2 2"/>
    <tableColumn id="9" xr3:uid="{E7CE0E4A-BDFA-4832-91E4-120C7A5B1E46}" name="Transport      " dataDxfId="18" dataCellStyle="Normal 2 2"/>
    <tableColumn id="10" xr3:uid="{5125D3D1-7FB7-4964-A96B-A6048AE9B627}" name="Domestic          " dataDxfId="17" dataCellStyle="Normal 2 2"/>
    <tableColumn id="11" xr3:uid="{9CD58097-DAE0-4641-B8CE-91C0FAB73D8A}" name="Other final users               " dataDxfId="16" dataCellStyle="Normal 2 2"/>
    <tableColumn id="12" xr3:uid="{861CBC01-92B4-4EE7-909E-2807E9551FB2}" name="Total final energy consumption (unadjusted) by fuel" dataDxfId="15" dataCellStyle="Normal 2 2"/>
    <tableColumn id="13" xr3:uid="{48A40FDA-067F-489D-86CE-964E6B5B05BF}" name="Gas" dataDxfId="14" dataCellStyle="Normal 2 2"/>
    <tableColumn id="14" xr3:uid="{FD52F64B-F7C4-44B3-AEFC-B740DD30258A}" name="Electricity" dataDxfId="13" dataCellStyle="Normal 2 2"/>
    <tableColumn id="15" xr3:uid="{228581FF-A004-4F8B-AEEA-AEB8867DFCA4}" name="Other" dataDxfId="12" dataCellStyle="Normal 2 2"/>
    <tableColumn id="16" xr3:uid="{C4C233DD-C1A3-4DB2-91A9-CA01FBE69792}" name="Total final energy consumption (seasonally and temperature adjusted) by fuel [note 10]" dataDxfId="11" dataCellStyle="Normal 2 2"/>
    <tableColumn id="17" xr3:uid="{0AAC2A34-A2B5-47CA-B4B3-A255255FA6C8}" name="Gas                  " dataDxfId="10" dataCellStyle="Normal 2 2"/>
    <tableColumn id="18" xr3:uid="{6924D7CE-F029-422C-8241-FD54DB949052}" name="Electricity                " dataDxfId="9" dataCellStyle="Normal 2 2"/>
    <tableColumn id="19" xr3:uid="{789BB664-348A-44BA-9305-B7CCA3E6B04D}" name="Other                 " dataDxfId="8" dataCellStyle="Normal 2 2"/>
    <tableColumn id="20" xr3:uid="{66820D7E-317D-4D64-A8F4-D060EE2546BA}" name="Domestic energy consumption (unadjusted) by fuel" dataDxfId="7" dataCellStyle="Normal 2 2"/>
    <tableColumn id="21" xr3:uid="{A8EBB153-9F59-43BE-A6E5-7B7638547359}" name="Gas                 " dataDxfId="6" dataCellStyle="Normal 2 2"/>
    <tableColumn id="22" xr3:uid="{6E83C874-5273-4D26-A559-F81C14BAED34}" name="Electricity                 " dataDxfId="5" dataCellStyle="Normal 2 2"/>
    <tableColumn id="23" xr3:uid="{E5F8EC8E-EAAC-4ED1-AB4A-87560B50817B}" name="Other                                    " dataDxfId="4" dataCellStyle="Normal 2 2"/>
    <tableColumn id="24" xr3:uid="{0EC38A0A-185F-43B1-A0E7-603BE4068160}" name="Domestic energy consumption (seasonally and temperature adjusted) by fuel [note 10]" dataDxfId="3" dataCellStyle="Normal 2 2"/>
    <tableColumn id="25" xr3:uid="{1FA16DC6-FCB6-4677-94A6-9DCE3A26208F}" name="Gas                            " dataDxfId="2" dataCellStyle="Normal 2 2"/>
    <tableColumn id="26" xr3:uid="{16A18D45-C944-4497-8526-0E701B564FEE}" name="Electricity               " dataDxfId="1" dataCellStyle="Normal 2 2"/>
    <tableColumn id="27" xr3:uid="{679F7BFA-5170-4DCF-AB48-FCE7383561BC}" name="Other               " dataDxfId="0" dataCellStyle="Normal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20E710-BDBA-436C-99D9-7DE7BA68FA93}" name="Notes" displayName="Notes" ref="A4:B15" totalsRowShown="0" headerRowCellStyle="Heading 2">
  <tableColumns count="2">
    <tableColumn id="1" xr3:uid="{99F764EF-C668-4F86-B042-C60AEA209695}" name="Note " dataCellStyle="Normal 4"/>
    <tableColumn id="2" xr3:uid="{766B0401-39F9-4366-8292-5EACD172A814}" name="Description" dataDxfId="488"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627DDC9-9140-41C2-944B-A372C0E63E8D}" name="Table1.3a_Supply_and_use_of_fuels_quarterly_data_thousand_tonnes_of_oil_equivalent" displayName="Table1.3a_Supply_and_use_of_fuels_quarterly_data_thousand_tonnes_of_oil_equivalent" ref="A4:N33" totalsRowShown="0" headerRowDxfId="487" dataDxfId="486" headerRowCellStyle="Normal 2" dataCellStyle="Normal 2">
  <autoFilter ref="A4:N33" xr:uid="{4627DDC9-9140-41C2-944B-A372C0E63E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1787B059-0FA3-4AB6-96CF-CD8F1C85DC40}" name="Components of supply and demand" dataDxfId="485" dataCellStyle="Normal 2"/>
    <tableColumn id="2" xr3:uid="{B1492B5E-95CA-4918-9AA7-E1AB876C40C6}" name="2024" dataDxfId="484" dataCellStyle="Normal 2"/>
    <tableColumn id="3" xr3:uid="{D3A61146-C2C6-45C1-98F4-A8308AB7555B}" name="2025 {provisional]" dataDxfId="483" dataCellStyle="Normal 2"/>
    <tableColumn id="4" xr3:uid="{00BB6A39-4FFF-403B-B81A-7DD5325CE479}" name="Annual per cent change" dataDxfId="482"/>
    <tableColumn id="5" xr3:uid="{AF10A14F-66CD-4419-8106-56E370CD0CAB}" name="Quarter 4 2023" dataDxfId="481" dataCellStyle="Normal 2"/>
    <tableColumn id="6" xr3:uid="{1DE3B5CA-9A4B-464C-9221-BDEEB2A5F959}" name="Quarter 1 2024" dataDxfId="480" dataCellStyle="Normal 2"/>
    <tableColumn id="7" xr3:uid="{271265CF-F06C-4460-B2C0-2D3452F91DB7}" name="Quarter 2 2024" dataDxfId="479" dataCellStyle="Normal 2"/>
    <tableColumn id="8" xr3:uid="{0230DE32-CBC2-45BD-997A-F363112EB669}" name="Quarter 3 2024" dataDxfId="478" dataCellStyle="Normal 2"/>
    <tableColumn id="9" xr3:uid="{0A159153-6AD8-40E2-8FCD-C300637E6674}" name="Quarter 4 2024" dataDxfId="477" dataCellStyle="Normal 2"/>
    <tableColumn id="10" xr3:uid="{9CEE1D9F-46C0-45B3-A363-C58EBF178FE6}" name="Quarter 1 2025" dataDxfId="476" dataCellStyle="Normal 2"/>
    <tableColumn id="11" xr3:uid="{30EB3CBB-3448-4E4B-87B2-9E406D5DE810}" name="Quarter 2 2025" dataDxfId="475" dataCellStyle="Normal 2"/>
    <tableColumn id="12" xr3:uid="{52AB509C-00A4-4665-800D-F1FC66980B69}" name="Quarter 3 2025" dataDxfId="474" dataCellStyle="Normal 2"/>
    <tableColumn id="13" xr3:uid="{CDDD5955-9D8F-4563-9C9D-F1069220025C}" name="Quarter 4 2025 [provisional]" dataDxfId="473" dataCellStyle="Normal 2"/>
    <tableColumn id="14" xr3:uid="{6B4B062C-39E0-4420-BDB3-CBEAD3C09009}" name="Quarter per cent change [note 1]" dataDxfId="472" dataCellStyle="Percent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9F1CBF9-BA70-4DAC-A84C-19C9327E2342}" name="Table1.3b_Supply_and_use_of_fuels_annual_data_by_fuel_thousand_tonnes_of_oil_equivalent" displayName="Table1.3b_Supply_and_use_of_fuels_annual_data_by_fuel_thousand_tonnes_of_oil_equivalent" ref="A5:U31" totalsRowShown="0" headerRowDxfId="471" dataDxfId="470" tableBorderDxfId="469" headerRowCellStyle="Normal 2" dataCellStyle="Normal 2">
  <autoFilter ref="A5:U31" xr:uid="{59F1CBF9-BA70-4DAC-A84C-19C9327E2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7E70028F-C8CE-4718-BF4B-B0C3925E4729}" name="Components of supply and demand" dataDxfId="468" dataCellStyle="Normal 2"/>
    <tableColumn id="12" xr3:uid="{06300293-F0B9-41AC-A156-B043192B4C76}" name="Coal" dataDxfId="467" dataCellStyle="Normal 2"/>
    <tableColumn id="13" xr3:uid="{44217C31-010C-464E-8334-0F0F719C4FA2}" name="Manufactured fuels [note 7]" dataDxfId="466" dataCellStyle="Normal 2"/>
    <tableColumn id="14" xr3:uid="{A1294626-7386-47CE-87FD-3A312B1BB4EF}" name="Primary oil" dataDxfId="465" dataCellStyle="Normal 2"/>
    <tableColumn id="15" xr3:uid="{41EEF0C9-0065-4CB3-82A3-E824A51601BB}" name="Petroleum products" dataDxfId="464" dataCellStyle="Normal 2"/>
    <tableColumn id="16" xr3:uid="{F64AE626-638C-465C-98D3-7B6818B4DB42}" name="Natural gas [note 8]" dataDxfId="463" dataCellStyle="Normal 2"/>
    <tableColumn id="17" xr3:uid="{1347902A-B4BB-4230-9424-BCEF1215CDFD}" name="Bioenergy &amp; waste [note 9]" dataDxfId="462" dataCellStyle="Normal 2"/>
    <tableColumn id="18" xr3:uid="{3DE6FAFE-5660-4E6A-9DCB-8EA40B34EA13}" name="Primary electricity" dataDxfId="461" dataCellStyle="Normal 2"/>
    <tableColumn id="19" xr3:uid="{6DA4AEBB-CE43-4435-9E82-CF385A458031}" name="Electricity" dataDxfId="460" dataCellStyle="Normal 2"/>
    <tableColumn id="20" xr3:uid="{10E4FFD8-5953-4DA8-86BB-40E741CBE4EA}" name="Heat sold" dataDxfId="459" dataCellStyle="Normal 2"/>
    <tableColumn id="21" xr3:uid="{9EA885D8-12F2-49A4-ACA6-0A26D1A50BA7}" name="Total" dataDxfId="458" dataCellStyle="Normal 2">
      <calculatedColumnFormula>SUM(B6:J6)</calculatedColumnFormula>
    </tableColumn>
    <tableColumn id="2" xr3:uid="{204E81DF-D94E-4ACD-8A91-366D175CFF39}" name="Coal " dataDxfId="457" dataCellStyle="Normal 2"/>
    <tableColumn id="3" xr3:uid="{FA40BAC0-6BA1-45D8-917D-75636C3B41B2}" name="Manufactured fuels [note 7] " dataDxfId="456" dataCellStyle="Normal 2"/>
    <tableColumn id="4" xr3:uid="{1EA61B8A-1903-4D98-9B4D-2EF0710B3DBA}" name="Primary oil " dataDxfId="455" dataCellStyle="Normal 2"/>
    <tableColumn id="5" xr3:uid="{AC0B858F-40C3-4A51-BC22-A719CBCDD9F3}" name="Petroleum products " dataDxfId="454" dataCellStyle="Normal 2"/>
    <tableColumn id="6" xr3:uid="{4D21F870-3119-42AA-9CB3-19D7676F785E}" name="Natural gas [note 8] " dataDxfId="453" dataCellStyle="Normal 2"/>
    <tableColumn id="7" xr3:uid="{C673A19F-DBA5-449B-9997-0352FE9D6CC0}" name="Bioenergy &amp; waste [note 9] " dataDxfId="452" dataCellStyle="Normal 2"/>
    <tableColumn id="8" xr3:uid="{873BE9E1-9B96-4D81-8741-38B8179A97F9}" name="Primary electricity " dataDxfId="451" dataCellStyle="Normal 2"/>
    <tableColumn id="9" xr3:uid="{718354AF-8881-49C8-8D99-C59F888BB331}" name="Electricity " dataDxfId="450" dataCellStyle="Normal 2"/>
    <tableColumn id="10" xr3:uid="{7C8AB08E-F0DB-49CB-A57A-64BC9678D902}" name="Heat sold " dataDxfId="449" dataCellStyle="Normal 2"/>
    <tableColumn id="11" xr3:uid="{1DB1BD3A-3A7B-4CC7-8DE0-2F2B082D11E4}" name="Total " dataDxfId="448" dataCellStyle="Normal 2">
      <calculatedColumnFormula>SUM(L6:T6)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C0567BC-5402-4555-8419-0EA72977921E}" name="Table1.3b_Supply_and_use_of_fuels_quarterly_data_by_fuel_thousand_tonnes_of_oil_equivalent" displayName="Table1.3b_Supply_and_use_of_fuels_quarterly_data_by_fuel_thousand_tonnes_of_oil_equivalent" ref="A5:S31" totalsRowShown="0" headerRowDxfId="447" dataDxfId="445" headerRowBorderDxfId="446" tableBorderDxfId="444" headerRowCellStyle="Normal 2" dataCellStyle="Normal 2">
  <autoFilter ref="A5:S31" xr:uid="{AC0567BC-5402-4555-8419-0EA7297792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34394034-AC43-4C88-A0C8-B7335A878310}" name="Components of supply and demand" dataDxfId="443" dataCellStyle="Normal 2"/>
    <tableColumn id="2" xr3:uid="{A66F6D25-05B1-4A18-A1FB-9CDE34B5552F}" name="Coal" dataDxfId="442" dataCellStyle="Normal 2"/>
    <tableColumn id="3" xr3:uid="{C10E0B4A-5181-4F8B-8067-4C9B439A92B7}" name="Manufactured fuels [note 7]" dataDxfId="441" dataCellStyle="Normal 2"/>
    <tableColumn id="4" xr3:uid="{D6746CBF-C0C6-462A-82B1-2B2A4C4F44AF}" name="Primary oil" dataDxfId="440" dataCellStyle="Normal 2"/>
    <tableColumn id="5" xr3:uid="{664856E7-0B3B-4C54-8678-B74948F8CDA9}" name="Petroleum products" dataDxfId="439" dataCellStyle="Normal 2">
      <calculatedColumnFormula>INDIRECT(calculation3b_hide!F13,FALSE)</calculatedColumnFormula>
    </tableColumn>
    <tableColumn id="6" xr3:uid="{647AB646-6951-4270-8BF8-9201FE762617}" name="Natural gas [note 8]" dataDxfId="438" dataCellStyle="Normal 2">
      <calculatedColumnFormula>INDIRECT(calculation3b_hide!G13,FALSE)</calculatedColumnFormula>
    </tableColumn>
    <tableColumn id="7" xr3:uid="{BCC85A60-6508-40C7-B596-787208257C0E}" name="Bioenergy &amp; waste [note 9]" dataDxfId="437" dataCellStyle="Normal 2"/>
    <tableColumn id="8" xr3:uid="{9D6AA525-77D5-4830-A0BE-99E6BD1E1FFC}" name="Primary electricity" dataDxfId="436" dataCellStyle="Normal 2"/>
    <tableColumn id="9" xr3:uid="{50768596-E498-48D3-88BA-2A66A1949DC6}" name="Electricity" dataDxfId="435" dataCellStyle="Normal 2"/>
    <tableColumn id="10" xr3:uid="{C6973494-FB47-4906-BF79-6D4AA31FB6E8}" name="Heat sold" dataDxfId="434" dataCellStyle="Normal 2"/>
    <tableColumn id="11" xr3:uid="{21EE8F29-EA93-40E4-A634-4F4673172168}" name="Coal   " dataDxfId="433" dataCellStyle="Normal 2"/>
    <tableColumn id="12" xr3:uid="{A6524620-BABE-415F-8E06-629219E5B0CC}" name="Manufactured fuels [note 7]   " dataDxfId="432" dataCellStyle="Normal 2"/>
    <tableColumn id="13" xr3:uid="{FAA806EA-D718-41A3-8BF4-B8B1E6125FB7}" name="Primary oil   " dataDxfId="431" dataCellStyle="Normal 2"/>
    <tableColumn id="14" xr3:uid="{BC8975DE-4874-46A5-9568-35E8E4851A2C}" name="Petroleum products     " dataDxfId="430" dataCellStyle="Normal 2">
      <calculatedColumnFormula>INDIRECT(calculation3b_hide!R13,FALSE)</calculatedColumnFormula>
    </tableColumn>
    <tableColumn id="15" xr3:uid="{0AF25EF5-5AA9-42FB-87EE-03170F1A8D61}" name="Natural gas [note 8]  " dataDxfId="429" dataCellStyle="Normal 2">
      <calculatedColumnFormula>INDIRECT(calculation3b_hide!S13,FALSE)</calculatedColumnFormula>
    </tableColumn>
    <tableColumn id="16" xr3:uid="{1CC18440-520F-46C4-805C-ECB484ACFC59}" name="Bioenergy &amp; waste [note 9]     " dataDxfId="428" dataCellStyle="Normal 2"/>
    <tableColumn id="17" xr3:uid="{5E66D266-C5CB-4AB7-827B-4841FE3092B1}" name="Primary electricity " dataDxfId="427" dataCellStyle="Normal 2"/>
    <tableColumn id="18" xr3:uid="{2D070514-0C41-4272-9455-DC329FB84ECC}" name="Electricity " dataDxfId="426" dataCellStyle="Normal 2"/>
    <tableColumn id="19" xr3:uid="{E6A37A28-C022-4030-B48F-A25BEA52445A}" name="Heat sold " dataDxfId="425"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F69981F-E07F-4414-95AE-81800D0629FF}" name="Table1.3c_Seasonally_adjusted_and_temperature_corrected_final_energy_consumption_data_thousand_tonnes_of_oil_equivalent" displayName="Table1.3c_Seasonally_adjusted_and_temperature_corrected_final_energy_consumption_data_thousand_tonnes_of_oil_equivalent" ref="A4:N22" totalsRowShown="0" headerRowDxfId="424" dataDxfId="422" headerRowBorderDxfId="423" tableBorderDxfId="421" headerRowCellStyle="Normal 2" dataCellStyle="Normal 2 2">
  <autoFilter ref="A4:N22" xr:uid="{AF69981F-E07F-4414-95AE-81800D0629F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F6CA313-B695-4A18-A292-DD0936AE0793}" name="Final energy consumption by sector and fuel" dataDxfId="420" dataCellStyle="Normal 2 2"/>
    <tableColumn id="2" xr3:uid="{EB26956C-8C20-4097-B425-18ED58D9292A}" name="2024" dataDxfId="419" dataCellStyle="Normal 2 2">
      <calculatedColumnFormula>INDIRECT(calculation3c_hide!C19,FALSE)</calculatedColumnFormula>
    </tableColumn>
    <tableColumn id="3" xr3:uid="{74715B26-DF06-4894-BDB8-6DF053DE3FDC}" name="2025 {provisional]" dataDxfId="418" dataCellStyle="Normal 2 2">
      <calculatedColumnFormula>INDIRECT(calculation3c_hide!D19,FALSE)</calculatedColumnFormula>
    </tableColumn>
    <tableColumn id="4" xr3:uid="{FDA627D2-5A8E-45D3-AB34-026B13FA5757}" name="Annual per cent change" dataDxfId="417" dataCellStyle="Normal 2 2">
      <calculatedColumnFormula>(C5-B5)/B5*100</calculatedColumnFormula>
    </tableColumn>
    <tableColumn id="5" xr3:uid="{BF266192-1BE2-4996-8F48-497B6EF744C9}" name="Quarter 4 2023" dataDxfId="416" dataCellStyle="Normal 2 2">
      <calculatedColumnFormula>INDIRECT(calculation3c_hide!F19,FALSE)</calculatedColumnFormula>
    </tableColumn>
    <tableColumn id="6" xr3:uid="{87F3C039-6F27-42D3-85D6-3CDE98C74313}" name="Quarter 1 2024" dataDxfId="415" dataCellStyle="Normal 2 2">
      <calculatedColumnFormula>INDIRECT(calculation3c_hide!G19,FALSE)</calculatedColumnFormula>
    </tableColumn>
    <tableColumn id="7" xr3:uid="{60884BB9-352E-4686-999B-31C938664FF6}" name="Quarter 2 2024" dataDxfId="414" dataCellStyle="Normal 2 2">
      <calculatedColumnFormula>INDIRECT(calculation3c_hide!H19,FALSE)</calculatedColumnFormula>
    </tableColumn>
    <tableColumn id="8" xr3:uid="{B5F3046F-07F7-4464-A5DD-6BCC43F32E60}" name="Quarter 3 2024" dataDxfId="413" dataCellStyle="Normal 2 2">
      <calculatedColumnFormula>INDIRECT(calculation3c_hide!I19,FALSE)</calculatedColumnFormula>
    </tableColumn>
    <tableColumn id="9" xr3:uid="{89B8EE68-87D2-4F34-B289-48FE9E91B205}" name="Quarter 4 2024" dataDxfId="412" dataCellStyle="Normal 2 2">
      <calculatedColumnFormula>INDIRECT(calculation3c_hide!J19,FALSE)</calculatedColumnFormula>
    </tableColumn>
    <tableColumn id="10" xr3:uid="{05AAB658-F157-4C11-8907-90CEE3627CA0}" name="Quarter 1 2025" dataDxfId="411" dataCellStyle="Normal 2 2">
      <calculatedColumnFormula>INDIRECT(calculation3c_hide!K19,FALSE)</calculatedColumnFormula>
    </tableColumn>
    <tableColumn id="11" xr3:uid="{6A012A12-D9B0-4E3A-BAC7-CAAF90908DA0}" name="Quarter 2 2025" dataDxfId="410" dataCellStyle="Normal 2 2">
      <calculatedColumnFormula>INDIRECT(calculation3c_hide!L19,FALSE)</calculatedColumnFormula>
    </tableColumn>
    <tableColumn id="12" xr3:uid="{D140D674-B85D-473E-B929-59FA6980AB92}" name="Quarter 3 2025" dataDxfId="409" dataCellStyle="Normal 2 2">
      <calculatedColumnFormula>INDIRECT(calculation3c_hide!M19,FALSE)</calculatedColumnFormula>
    </tableColumn>
    <tableColumn id="13" xr3:uid="{0C5C17AC-D10D-43B2-BEF6-1D5606F55BEE}" name="Quarter 4 2025 [provisional]" dataDxfId="408" dataCellStyle="Normal 2 2">
      <calculatedColumnFormula>INDIRECT(calculation3c_hide!N19,FALSE)</calculatedColumnFormula>
    </tableColumn>
    <tableColumn id="14" xr3:uid="{9104F37D-1BD5-4DDB-99E9-730DCD5E6169}" name="Quarter per cent change [note 1]" dataDxfId="407" dataCellStyle="Normal 2 2">
      <calculatedColumnFormula>+(M5-I5)/I5*100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043DECC-D405-4BC0-A086-5798019D3D94}" name="Table1.3_Supply_and_use_of_fuels_thousand_tonnes_of_oil_equivalent_annual_data" displayName="Table1.3_Supply_and_use_of_fuels_thousand_tonnes_of_oil_equivalent_annual_data" ref="A5:AE33" totalsRowShown="0" headerRowDxfId="406" dataDxfId="404" headerRowBorderDxfId="405" tableBorderDxfId="403" headerRowCellStyle="Normal 2" dataCellStyle="Normal 2">
  <autoFilter ref="A5:AE33" xr:uid="{4043DECC-D405-4BC0-A086-5798019D3D9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BACE8594-E3E8-458B-BBBA-5B70A06AE4AC}" name="Year" dataDxfId="402" dataCellStyle="Normal 2"/>
    <tableColumn id="2" xr3:uid="{FECB2BC3-4C45-4C89-8A18-7EF858C691CF}" name="Indigenous production" dataDxfId="401" dataCellStyle="Normal 2"/>
    <tableColumn id="3" xr3:uid="{B9B0402E-FFED-4500-8AB9-D53EB47ED8CC}" name="Imports" dataDxfId="400" dataCellStyle="Normal 2"/>
    <tableColumn id="4" xr3:uid="{AD55F0DB-79BA-4519-B60E-57BF73A444A7}" name="Exports" dataDxfId="399" dataCellStyle="Normal 2"/>
    <tableColumn id="5" xr3:uid="{D44C7B68-3DBF-4D3E-8EF1-BA065F8D48FE}" name="Marine bunkers" dataDxfId="398" dataCellStyle="Normal 2"/>
    <tableColumn id="6" xr3:uid="{DAA8F611-567B-4738-8344-2D02AA1DE4F9}" name="Stock change [note 2]" dataDxfId="397" dataCellStyle="Normal 2"/>
    <tableColumn id="7" xr3:uid="{AF72B0D9-110D-4B9F-8433-683469CE7266}" name="Primary supply" dataDxfId="396" dataCellStyle="Normal 2"/>
    <tableColumn id="8" xr3:uid="{B03A0699-C0B5-4984-82FD-98F3CA5E86A6}" name="Statistical difference [note 3]" dataDxfId="395" dataCellStyle="Normal 2"/>
    <tableColumn id="9" xr3:uid="{B7B1B023-E0A2-4E89-94AF-D236389AE8AA}" name="Primary demand" dataDxfId="394" dataCellStyle="Normal 2"/>
    <tableColumn id="10" xr3:uid="{F51BED29-CAA4-4B1D-931B-FF00BFF87340}" name="Transfers [note 4]" dataDxfId="393" dataCellStyle="Normal 2"/>
    <tableColumn id="11" xr3:uid="{BB11EC0B-7EE4-4E30-8BCE-39D889642973}" name="Transformation" dataDxfId="392" dataCellStyle="Normal 2"/>
    <tableColumn id="12" xr3:uid="{18FE993B-A518-45AB-8C80-291DD5E112C7}" name="Electricity generation" dataDxfId="391" dataCellStyle="Normal 2"/>
    <tableColumn id="13" xr3:uid="{C49D24D1-5A2C-4C89-B77E-21F85C0711A3}" name="Heat generation" dataDxfId="390" dataCellStyle="Normal 2"/>
    <tableColumn id="14" xr3:uid="{9EDBC54F-0CC1-4E65-A067-7D1C722C9C46}" name="Petroleum refineries" dataDxfId="389" dataCellStyle="Normal 2"/>
    <tableColumn id="15" xr3:uid="{A69979D8-7B1C-4E02-85BC-1A35A4D58997}" name="Coke manufacture" dataDxfId="388" dataCellStyle="Normal 2"/>
    <tableColumn id="16" xr3:uid="{C48B4382-38E1-45E6-8D3E-0EA979E407C7}" name="Blast furnaces" dataDxfId="387" dataCellStyle="Normal 2"/>
    <tableColumn id="17" xr3:uid="{1D0E43B9-8F74-45C2-AD8E-4AB5A9FC849A}" name="Patent fuel manufacture" dataDxfId="386" dataCellStyle="Normal 2"/>
    <tableColumn id="18" xr3:uid="{D94BF0D9-BB1C-4D47-8452-1CC1BFCE579C}" name="Other [note 5]" dataDxfId="385" dataCellStyle="Normal 2"/>
    <tableColumn id="19" xr3:uid="{2FFF5E0C-A49F-476E-AA8E-9E8912D3BB9B}" name="Energy industry use" dataDxfId="384" dataCellStyle="Normal 2"/>
    <tableColumn id="20" xr3:uid="{56105871-8A2B-4F70-A097-DA4D7BDD1A35}" name="Losses" dataDxfId="383" dataCellStyle="Normal 2"/>
    <tableColumn id="21" xr3:uid="{0B5A26A6-1233-468C-98DD-6D28CC0D1667}" name="Final consumption" dataDxfId="382" dataCellStyle="Normal 2"/>
    <tableColumn id="22" xr3:uid="{BA492774-2E15-46DB-9FF4-C0750762B445}" name="Iron &amp; steel" dataDxfId="381" dataCellStyle="Normal 2"/>
    <tableColumn id="23" xr3:uid="{06411265-563D-4B13-84B8-1F51498DBA87}" name="Other industries" dataDxfId="380" dataCellStyle="Normal 2"/>
    <tableColumn id="24" xr3:uid="{C2071CD4-3775-4DEF-AF48-563650E9D8B4}" name="Transport" dataDxfId="379" dataCellStyle="Normal 2"/>
    <tableColumn id="25" xr3:uid="{E21A99C1-DABE-4E35-A028-B99C43FD21A3}" name="Domestic" dataDxfId="378" dataCellStyle="Normal 2"/>
    <tableColumn id="26" xr3:uid="{E8665D57-2A97-48C5-BE05-365DD2F318B7}" name="Other final users" dataDxfId="377" dataCellStyle="Normal 2"/>
    <tableColumn id="27" xr3:uid="{081E8970-CAD5-401A-91CD-62056FB7993C}" name="Public administration" dataDxfId="376" dataCellStyle="Normal 2"/>
    <tableColumn id="28" xr3:uid="{872F7FE3-88DD-4EFE-A596-7D4A8DBD99BD}" name="Commercial" dataDxfId="375" dataCellStyle="Normal 2"/>
    <tableColumn id="29" xr3:uid="{6725310E-F59E-4941-A9DA-4C66D7A7D311}" name="Agriculture" dataDxfId="374" dataCellStyle="Normal 2"/>
    <tableColumn id="30" xr3:uid="{818E9C77-C28A-4ED3-919C-9B87A964027A}" name="Miscellaneous" dataDxfId="373" dataCellStyle="Normal 2"/>
    <tableColumn id="31" xr3:uid="{4BE682A5-A990-4520-BC5C-54595193231B}" name="Non energy use" dataDxfId="372" dataCellStyle="Normal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BDEB06C-F3F7-4CA3-9329-CB2FBAACE0F9}" name="Table1.3_Supply_and_use_of_fuels_thousand_tonnes_of_oil_equivalent_quarterly_data" displayName="Table1.3_Supply_and_use_of_fuels_thousand_tonnes_of_oil_equivalent_quarterly_data" ref="A5:AE117" totalsRowShown="0" headerRowDxfId="371" dataDxfId="369" headerRowBorderDxfId="370" tableBorderDxfId="368" headerRowCellStyle="Normal 2">
  <autoFilter ref="A5:AE117" xr:uid="{8BDEB06C-F3F7-4CA3-9329-CB2FBAACE0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F337C329-885E-40F0-9FA3-C482E978E7E9}" name="Quarter" dataDxfId="367" dataCellStyle="Normal 4"/>
    <tableColumn id="2" xr3:uid="{E2470529-4D12-4398-88F7-584CB43408AB}" name="Indigenous production" dataDxfId="366">
      <calculatedColumnFormula>'Quarter supply'!B6</calculatedColumnFormula>
    </tableColumn>
    <tableColumn id="3" xr3:uid="{2CBE96A3-BA06-4675-ACA1-6B901B1BAC70}" name="Imports" dataDxfId="365">
      <calculatedColumnFormula>'Quarter supply'!H6</calculatedColumnFormula>
    </tableColumn>
    <tableColumn id="4" xr3:uid="{CDF39930-77C4-4920-9DD5-60B17EE757C3}" name="Exports" dataDxfId="364">
      <calculatedColumnFormula>'Quarter supply'!P6</calculatedColumnFormula>
    </tableColumn>
    <tableColumn id="5" xr3:uid="{DFA834BB-B634-4A03-A4BF-7D7AEE24F268}" name="Marine bunkers" dataDxfId="363">
      <calculatedColumnFormula>'Quarter supply'!X6</calculatedColumnFormula>
    </tableColumn>
    <tableColumn id="6" xr3:uid="{93E74B48-7FBB-4679-92AA-0C58DEA75965}" name="Stock change [note 2]" dataDxfId="362">
      <calculatedColumnFormula>'Quarter supply'!Z6</calculatedColumnFormula>
    </tableColumn>
    <tableColumn id="7" xr3:uid="{3CD1E04E-2E0D-4EF8-AB9D-14EDBCBEC0B0}" name="Primary supply" dataDxfId="361">
      <calculatedColumnFormula>'Quarter supply'!AG6</calculatedColumnFormula>
    </tableColumn>
    <tableColumn id="8" xr3:uid="{C9AA1EBC-6BF8-4497-85F7-F22B6EA490C0}" name="Statistical difference [note 3]" dataDxfId="360">
      <calculatedColumnFormula>'Quarter supply'!AP6</calculatedColumnFormula>
    </tableColumn>
    <tableColumn id="9" xr3:uid="{60E01F91-23C9-4927-BF79-0F6B2882E1E3}" name="Primary demand" dataDxfId="359">
      <calculatedColumnFormula>'Quarter demand'!B6</calculatedColumnFormula>
    </tableColumn>
    <tableColumn id="10" xr3:uid="{CDAE045B-ED1C-4459-AA3D-3C60D0A1019E}" name="Transfers [note 4]" dataDxfId="358">
      <calculatedColumnFormula>'Quarter demand'!K6</calculatedColumnFormula>
    </tableColumn>
    <tableColumn id="11" xr3:uid="{BAD882D0-A5E5-42A1-B0EF-726426E0154A}" name="Transformation" dataDxfId="357">
      <calculatedColumnFormula>'Quarter demand'!T6</calculatedColumnFormula>
    </tableColumn>
    <tableColumn id="12" xr3:uid="{34729C7B-09D9-47AA-931E-4ACF23D41C11}" name="Electricity generation" dataDxfId="356">
      <calculatedColumnFormula>'Quarter demand'!AD6</calculatedColumnFormula>
    </tableColumn>
    <tableColumn id="13" xr3:uid="{23B66FD7-CF07-4FCC-A4A9-743645D7CE7E}" name="Heat generation" dataDxfId="355">
      <calculatedColumnFormula>'Quarter demand'!AL6</calculatedColumnFormula>
    </tableColumn>
    <tableColumn id="14" xr3:uid="{DD3C2D60-3745-4D3C-825F-78DAACF6225F}" name="Petroleum refineries" dataDxfId="354">
      <calculatedColumnFormula>'Quarter demand'!AS6</calculatedColumnFormula>
    </tableColumn>
    <tableColumn id="15" xr3:uid="{4E3FA8A1-55B7-4B67-B4F4-AF10B85496E8}" name="Coke manufacture" dataDxfId="353">
      <calculatedColumnFormula>'Quarter demand'!AV6</calculatedColumnFormula>
    </tableColumn>
    <tableColumn id="16" xr3:uid="{E8741C36-C30D-4864-8723-61C0B61BA32A}" name="Blast furnaces" dataDxfId="352">
      <calculatedColumnFormula>'Quarter demand'!AZ6</calculatedColumnFormula>
    </tableColumn>
    <tableColumn id="17" xr3:uid="{B2B7382B-FA8A-4B83-B16B-ECBC79C58AEB}" name="Patent fuel manufacture" dataDxfId="351">
      <calculatedColumnFormula>'Quarter demand'!BD6</calculatedColumnFormula>
    </tableColumn>
    <tableColumn id="18" xr3:uid="{C42C892C-6666-4872-A9A2-F2573D63AA49}" name="Other [note 5]" dataDxfId="350">
      <calculatedColumnFormula>'Quarter demand'!BH6</calculatedColumnFormula>
    </tableColumn>
    <tableColumn id="19" xr3:uid="{8BD7FB12-C3FC-4BB7-9EEF-F06AA9F3F366}" name="Energy industry use" dataDxfId="349">
      <calculatedColumnFormula>'Quarter demand'!BK6</calculatedColumnFormula>
    </tableColumn>
    <tableColumn id="20" xr3:uid="{22B14362-62AA-43CA-8E0B-D2103FB8B72E}" name="Losses" dataDxfId="348">
      <calculatedColumnFormula>'Quarter demand'!BT6</calculatedColumnFormula>
    </tableColumn>
    <tableColumn id="21" xr3:uid="{07E96639-1067-4010-9A1E-6442B14F733C}" name="Final consumption" dataDxfId="347">
      <calculatedColumnFormula>'Quarter final consumption'!B6</calculatedColumnFormula>
    </tableColumn>
    <tableColumn id="22" xr3:uid="{7554E848-7C60-41CC-A20E-41D140CF442A}" name="Iron &amp; steel" dataDxfId="346">
      <calculatedColumnFormula>'Quarter final consumption'!J6</calculatedColumnFormula>
    </tableColumn>
    <tableColumn id="23" xr3:uid="{C661F8BE-49DB-428E-9313-3D7896A650FB}" name="Other industries" dataDxfId="345">
      <calculatedColumnFormula>'Quarter final consumption'!R6</calculatedColumnFormula>
    </tableColumn>
    <tableColumn id="24" xr3:uid="{08EFC119-E33C-4390-B458-5A5CED18C818}" name="Transport" dataDxfId="344">
      <calculatedColumnFormula>'Quarter final consumption'!Z6</calculatedColumnFormula>
    </tableColumn>
    <tableColumn id="25" xr3:uid="{E3F8973D-4E34-445E-91E6-78C75C0AAF19}" name="Domestic" dataDxfId="343">
      <calculatedColumnFormula>'Quarter final consumption'!AF6</calculatedColumnFormula>
    </tableColumn>
    <tableColumn id="26" xr3:uid="{43A28ACB-7202-43DD-BEDD-AE5F1D94D43E}" name="Other final users" dataDxfId="342">
      <calculatedColumnFormula>'Quarter final consumption'!AN6</calculatedColumnFormula>
    </tableColumn>
    <tableColumn id="27" xr3:uid="{C6E241DB-2FDB-4544-B741-B61381CF08A0}" name="Public administration" dataDxfId="341">
      <calculatedColumnFormula>'Quarter final consumption'!AV6</calculatedColumnFormula>
    </tableColumn>
    <tableColumn id="28" xr3:uid="{BFFA828C-832B-45A2-9CC9-15DD71086DF8}" name="Commercial" dataDxfId="340">
      <calculatedColumnFormula>'Quarter final consumption'!BD6</calculatedColumnFormula>
    </tableColumn>
    <tableColumn id="29" xr3:uid="{BECA58D3-E159-4B77-A908-2AA25CBDE426}" name="Agriculture" dataDxfId="339">
      <calculatedColumnFormula>'Quarter final consumption'!BL6</calculatedColumnFormula>
    </tableColumn>
    <tableColumn id="30" xr3:uid="{E8D39887-17F6-4C06-AC77-E79E6590CA7B}" name="Miscellaneous" dataDxfId="338">
      <calculatedColumnFormula>'Quarter final consumption'!BT6</calculatedColumnFormula>
    </tableColumn>
    <tableColumn id="31" xr3:uid="{229DD1A4-B278-40B8-A2AB-112DC60BDBFA}" name="Non energy use" dataDxfId="337">
      <calculatedColumnFormula>'Quarter final consumption'!CB6</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7388977-0A53-452F-8013-22F631764654}" name="Table1.3_Supply_and_use_of_fuels_thousand_tonnes_of_oil_equivalent_quarterly_supply_data" displayName="Table1.3_Supply_and_use_of_fuels_thousand_tonnes_of_oil_equivalent_quarterly_supply_data" ref="A5:BG117" totalsRowShown="0" headerRowDxfId="336" dataDxfId="334" headerRowBorderDxfId="335" headerRowCellStyle="Normal 2" dataCellStyle="Normal 2">
  <autoFilter ref="A5:BG117" xr:uid="{87388977-0A53-452F-8013-22F6317646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autoFilter>
  <tableColumns count="59">
    <tableColumn id="1" xr3:uid="{8187B5B0-B49D-4711-A00F-446A4CFA45FB}" name="Quarter" dataDxfId="333" dataCellStyle="Normal 4"/>
    <tableColumn id="2" xr3:uid="{4D8AABCD-252C-47DB-A882-75E8E9EEB67F}" name="Total indigenous production" dataDxfId="332" dataCellStyle="Normal 2"/>
    <tableColumn id="3" xr3:uid="{B5D13590-59AE-49A6-AE4E-3D6A4F6A83EE}" name="Coal" dataDxfId="331" dataCellStyle="Normal 2"/>
    <tableColumn id="4" xr3:uid="{0558C516-F870-480D-962E-15CF69E0DA38}" name="Primary oil" dataDxfId="330" dataCellStyle="Normal 2"/>
    <tableColumn id="5" xr3:uid="{785A5910-4B33-4BAC-916E-E08EF818A3BF}" name="Natural gas [note 8]" dataDxfId="329" dataCellStyle="Normal 2"/>
    <tableColumn id="6" xr3:uid="{38D8A128-EA43-4C8D-8941-0CA1C6CB1573}" name="Bioenergy and waste [note 9]" dataDxfId="328" dataCellStyle="Normal 2"/>
    <tableColumn id="7" xr3:uid="{AA2ACA3F-3FB8-4A01-85C7-5ECCB304C817}" name="Primary electricity" dataDxfId="327" dataCellStyle="Normal 2"/>
    <tableColumn id="8" xr3:uid="{497B3528-D747-459D-A845-9B2A603BBD0E}" name="Total imports" dataDxfId="326" dataCellStyle="Normal 2"/>
    <tableColumn id="9" xr3:uid="{9A693AC6-1C75-4DEA-80A5-362711FAEBF7}" name="Coal " dataDxfId="325" dataCellStyle="Normal 2"/>
    <tableColumn id="10" xr3:uid="{D7E5D4B0-538B-45A2-9545-08A91010C378}" name="Manufactured fuels [note 7]" dataDxfId="324" dataCellStyle="Normal 2"/>
    <tableColumn id="11" xr3:uid="{B6DFF0C9-C6A5-4FBC-9253-98BF37D7FDD9}" name="Primary oil " dataDxfId="323" dataCellStyle="Normal 2"/>
    <tableColumn id="12" xr3:uid="{0AC89639-E81F-4A74-834F-5D67C74D7CDC}" name="Petroleum" dataDxfId="322" dataCellStyle="Normal 2"/>
    <tableColumn id="13" xr3:uid="{6996E5B5-1803-478C-8A4C-8BF902F5E671}" name="Natural gas [note 8] " dataDxfId="321" dataCellStyle="Normal 2"/>
    <tableColumn id="14" xr3:uid="{61803F10-2267-483F-8847-52F5ACFA831C}" name="Bioenergy and waste [note 9] " dataDxfId="320" dataCellStyle="Normal 2"/>
    <tableColumn id="15" xr3:uid="{B5F019E4-B6DE-48B8-87A9-255F1CF84450}" name="Electricity" dataDxfId="319" dataCellStyle="Normal 2"/>
    <tableColumn id="16" xr3:uid="{8A3D3E30-4E3B-4995-AC0F-B5D44DECA603}" name="Total exports" dataDxfId="318" dataCellStyle="Normal 2"/>
    <tableColumn id="17" xr3:uid="{3983146D-4BA3-411F-937D-62AFD060EFB4}" name="Coal    " dataDxfId="317" dataCellStyle="Normal 2"/>
    <tableColumn id="18" xr3:uid="{795FFDE6-57C8-4F5C-BCCD-ED96A564F79D}" name="Manufactured fuels [note 7] " dataDxfId="316" dataCellStyle="Normal 2"/>
    <tableColumn id="19" xr3:uid="{DADF673A-0A3E-4BBF-87B6-48F9BF049CBD}" name="Primary oil   " dataDxfId="315" dataCellStyle="Normal 2"/>
    <tableColumn id="20" xr3:uid="{D99EDF62-3A2A-4290-8E06-13F773B2D9D0}" name="Petroleum   " dataDxfId="314" dataCellStyle="Normal 2"/>
    <tableColumn id="21" xr3:uid="{A622912B-0614-4F05-B1DC-74A371133872}" name="Natural gas [note 8]  " dataDxfId="313" dataCellStyle="Normal 2"/>
    <tableColumn id="22" xr3:uid="{94A170C2-7D95-4F6D-9E08-41B3C86AE87D}" name="Bioenergy and waste [note 9]   " dataDxfId="312" dataCellStyle="Normal 2"/>
    <tableColumn id="23" xr3:uid="{50A0BF49-44EE-4A22-B76A-01DCAC8A5598}" name="Electricity   " dataDxfId="311" dataCellStyle="Normal 2"/>
    <tableColumn id="25" xr3:uid="{7111B4E1-47DC-43D8-8661-55202E3F800F}" name="Total marine bunkers" dataDxfId="310" dataCellStyle="Normal 2"/>
    <tableColumn id="26" xr3:uid="{024C7ED8-B0B9-49C7-BA66-0603D4833DA8}" name="Petroleum    " dataDxfId="309" dataCellStyle="Normal 2"/>
    <tableColumn id="28" xr3:uid="{1C421721-7DC7-46F1-9442-C5224AE5C74D}" name="Total stock change [note 2]" dataDxfId="308" dataCellStyle="Normal 2"/>
    <tableColumn id="29" xr3:uid="{4C8B7FDE-3C3C-4062-A2BF-E90B2612FAFB}" name="Coal      " dataDxfId="307" dataCellStyle="Normal 2"/>
    <tableColumn id="30" xr3:uid="{26EFABCE-75CD-4C97-8CA8-A3534F42E3BA}" name="Manufactured fuels [note 7]   " dataDxfId="306" dataCellStyle="Normal 2"/>
    <tableColumn id="31" xr3:uid="{20D51B64-161F-4609-B3B1-D80237F718C3}" name="Primary oil     " dataDxfId="305" dataCellStyle="Normal 2"/>
    <tableColumn id="32" xr3:uid="{61B9EB0F-285F-4DA3-8805-9118B7700495}" name="Petroleum  " dataDxfId="304" dataCellStyle="Normal 2"/>
    <tableColumn id="33" xr3:uid="{A6A63AA9-6AA1-476F-BEEB-B12586A64149}" name="Natural gas [note 8]    " dataDxfId="303" dataCellStyle="Normal 2"/>
    <tableColumn id="34" xr3:uid="{843E633D-FDE8-4749-81ED-5A2CDEF30BD3}" name="Bioenergy and waste [note 9]    " dataDxfId="302" dataCellStyle="Normal 2"/>
    <tableColumn id="36" xr3:uid="{D23B689A-FBE2-4B3C-A8D6-25860620D47C}" name="Total primary supply" dataDxfId="301" dataCellStyle="Normal 2"/>
    <tableColumn id="37" xr3:uid="{36DBE64F-0644-4403-85F7-0DFD234FBFDF}" name="Coal   " dataDxfId="300" dataCellStyle="Normal 2"/>
    <tableColumn id="38" xr3:uid="{5B5C94FC-B35F-46B5-99EA-CC97BD50D208}" name="Manufactured fuels [note 7]    " dataDxfId="299" dataCellStyle="Normal 2"/>
    <tableColumn id="39" xr3:uid="{9B81D041-E053-4417-AC68-B5551C60B84D}" name="Primary oil      " dataDxfId="298" dataCellStyle="Normal 2"/>
    <tableColumn id="40" xr3:uid="{B181CC5B-8532-41E0-A8B1-EB176560A81E}" name="Petroleum       " dataDxfId="297" dataCellStyle="Normal 2"/>
    <tableColumn id="41" xr3:uid="{C00B7F72-FC81-4DFD-A82F-3645DFF37ADE}" name="Natural gas [note 8]     " dataDxfId="296" dataCellStyle="Normal 2"/>
    <tableColumn id="42" xr3:uid="{51C86403-55CC-47D8-82E6-4D3B14E00E75}" name="Bioenergy and waste [note 9]     " dataDxfId="295" dataCellStyle="Normal 2"/>
    <tableColumn id="43" xr3:uid="{63B541EA-807E-46B7-B693-4CF5DB1FF809}" name="Primary electricity      " dataDxfId="294" dataCellStyle="Normal 2"/>
    <tableColumn id="44" xr3:uid="{C3C2DA94-0B98-46BD-BEFD-40BE91071D39}" name="Electricity      " dataDxfId="293" dataCellStyle="Normal 2"/>
    <tableColumn id="46" xr3:uid="{B6AD4B3D-5A37-4B65-A181-F3474B2B43C3}" name="Total statistical difference [note 3]" dataDxfId="292" dataCellStyle="Normal 2"/>
    <tableColumn id="47" xr3:uid="{8D15197F-BE07-46DB-8CFC-FC0061BD9440}" name="Coal     " dataDxfId="291" dataCellStyle="Normal 2"/>
    <tableColumn id="48" xr3:uid="{CA118D47-63FB-4076-8EA4-E44711DDC590}" name="Manufactured fuels           " dataDxfId="290" dataCellStyle="Normal 2"/>
    <tableColumn id="49" xr3:uid="{F2438626-92B8-45E9-8A4E-94C6B8CC5647}" name="Primary oil        " dataDxfId="289" dataCellStyle="Normal 2"/>
    <tableColumn id="50" xr3:uid="{9CE44D11-0B84-4BFF-A576-6061FCD850E4}" name="Petroleum           " dataDxfId="288" dataCellStyle="Normal 2"/>
    <tableColumn id="51" xr3:uid="{17CFF53D-D8D1-4D32-ADB6-DB629E0791F1}" name="Natural gas            " dataDxfId="287" dataCellStyle="Normal 2"/>
    <tableColumn id="52" xr3:uid="{33A9B2B7-7A60-4567-8801-08213165EEC5}" name="Bioenergy and waste           " dataDxfId="286" dataCellStyle="Normal 2"/>
    <tableColumn id="53" xr3:uid="{BAC04067-1EBB-4AC0-9355-EA911B66DF11}" name="Primary electricity          " dataDxfId="285" dataCellStyle="Normal 2"/>
    <tableColumn id="54" xr3:uid="{EA40644D-E005-4F50-B1A5-DC30BBC3A50D}" name="Electricity            " dataDxfId="284" dataCellStyle="Normal 2"/>
    <tableColumn id="56" xr3:uid="{C8311954-1C01-4CD8-BB50-F93725972523}" name="Total primary demand" dataDxfId="283" dataCellStyle="Normal 2"/>
    <tableColumn id="57" xr3:uid="{A80F9B97-BE9D-4C57-B3B1-982BBDA4726C}" name="Coal              " dataDxfId="282" dataCellStyle="Normal 2"/>
    <tableColumn id="58" xr3:uid="{FF24CD4A-7148-4C19-9846-B46AB41A140A}" name="Manufactured fuels [note 7]     " dataDxfId="281" dataCellStyle="Normal 2"/>
    <tableColumn id="59" xr3:uid="{29C8D1DD-C5C7-460D-86E8-B8E1A5156EAB}" name="Primary oil              " dataDxfId="280" dataCellStyle="Normal 2"/>
    <tableColumn id="60" xr3:uid="{86B6010F-7B61-4040-9CCC-5C428B1457E4}" name="Petroleum            " dataDxfId="279" dataCellStyle="Normal 2"/>
    <tableColumn id="61" xr3:uid="{6E44C1C6-A841-4E41-BCF6-FAD6E2E6F215}" name="Natural gas [note 8]      " dataDxfId="278" dataCellStyle="Normal 2"/>
    <tableColumn id="62" xr3:uid="{EBA59BF6-3A3D-4418-8027-E5784AE12725}" name="Bioenergy and waste [note 9]      " dataDxfId="277" dataCellStyle="Normal 2"/>
    <tableColumn id="63" xr3:uid="{C0ECAC42-254B-4130-AC6C-88C0286E02CA}" name="Primary electricity             " dataDxfId="276" dataCellStyle="Normal 2"/>
    <tableColumn id="64" xr3:uid="{BE408725-AFD7-42BA-9461-B9D118E102B4}" name="Electricity                " dataDxfId="275"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ww.gov.uk/government/statistics/energy-trends-june-2016"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053-1D6E-409C-9310-02B9DE8E8E30}">
  <dimension ref="A1:A26"/>
  <sheetViews>
    <sheetView showGridLines="0" tabSelected="1" zoomScaleNormal="100" zoomScaleSheetLayoutView="100" workbookViewId="0"/>
  </sheetViews>
  <sheetFormatPr defaultColWidth="8.81640625" defaultRowHeight="15.5" x14ac:dyDescent="0.35"/>
  <cols>
    <col min="1" max="1" width="149.54296875" style="10" customWidth="1"/>
    <col min="2" max="256" width="9.1796875" style="2" customWidth="1"/>
    <col min="257" max="16384" width="8.81640625" style="2"/>
  </cols>
  <sheetData>
    <row r="1" spans="1:1" s="3" customFormat="1" ht="57" x14ac:dyDescent="0.35">
      <c r="A1" s="1" t="s">
        <v>127</v>
      </c>
    </row>
    <row r="2" spans="1:1" s="3" customFormat="1" ht="45" customHeight="1" x14ac:dyDescent="0.35">
      <c r="A2" s="2" t="s">
        <v>518</v>
      </c>
    </row>
    <row r="3" spans="1:1" s="5" customFormat="1" ht="30" customHeight="1" x14ac:dyDescent="0.55000000000000004">
      <c r="A3" s="4" t="s">
        <v>0</v>
      </c>
    </row>
    <row r="4" spans="1:1" s="3" customFormat="1" ht="45" customHeight="1" x14ac:dyDescent="0.35">
      <c r="A4" s="2" t="s">
        <v>532</v>
      </c>
    </row>
    <row r="5" spans="1:1" s="5" customFormat="1" ht="30" customHeight="1" x14ac:dyDescent="0.55000000000000004">
      <c r="A5" s="4" t="s">
        <v>1</v>
      </c>
    </row>
    <row r="6" spans="1:1" s="3" customFormat="1" x14ac:dyDescent="0.35">
      <c r="A6" s="218" t="s">
        <v>526</v>
      </c>
    </row>
    <row r="7" spans="1:1" s="3" customFormat="1" ht="30" customHeight="1" x14ac:dyDescent="0.55000000000000004">
      <c r="A7" s="4" t="s">
        <v>2</v>
      </c>
    </row>
    <row r="8" spans="1:1" s="3" customFormat="1" ht="31" x14ac:dyDescent="0.35">
      <c r="A8" s="218" t="s">
        <v>527</v>
      </c>
    </row>
    <row r="9" spans="1:1" s="3" customFormat="1" ht="30" customHeight="1" x14ac:dyDescent="0.55000000000000004">
      <c r="A9" s="6" t="s">
        <v>3</v>
      </c>
    </row>
    <row r="10" spans="1:1" s="3" customFormat="1" ht="45" customHeight="1" x14ac:dyDescent="0.35">
      <c r="A10" s="2" t="s">
        <v>4</v>
      </c>
    </row>
    <row r="11" spans="1:1" s="3" customFormat="1" ht="20.25" customHeight="1" x14ac:dyDescent="0.35">
      <c r="A11" s="227" t="s">
        <v>500</v>
      </c>
    </row>
    <row r="12" spans="1:1" s="3" customFormat="1" ht="45" customHeight="1" x14ac:dyDescent="0.35">
      <c r="A12" s="2" t="s">
        <v>5</v>
      </c>
    </row>
    <row r="13" spans="1:1" s="3" customFormat="1" ht="45" customHeight="1" x14ac:dyDescent="0.35">
      <c r="A13" s="2" t="s">
        <v>6</v>
      </c>
    </row>
    <row r="14" spans="1:1" s="3" customFormat="1" ht="20.25" customHeight="1" x14ac:dyDescent="0.35">
      <c r="A14" s="2" t="s">
        <v>7</v>
      </c>
    </row>
    <row r="15" spans="1:1" s="3" customFormat="1" ht="20.25" customHeight="1" x14ac:dyDescent="0.35">
      <c r="A15" s="7" t="s">
        <v>8</v>
      </c>
    </row>
    <row r="16" spans="1:1" s="3" customFormat="1" ht="20.25" customHeight="1" x14ac:dyDescent="0.35">
      <c r="A16" s="7" t="s">
        <v>128</v>
      </c>
    </row>
    <row r="17" spans="1:1" s="3" customFormat="1" ht="20.25" customHeight="1" x14ac:dyDescent="0.35">
      <c r="A17" s="7" t="s">
        <v>9</v>
      </c>
    </row>
    <row r="18" spans="1:1" s="3" customFormat="1" ht="20.25" customHeight="1" x14ac:dyDescent="0.35">
      <c r="A18" s="7" t="s">
        <v>491</v>
      </c>
    </row>
    <row r="19" spans="1:1" s="5" customFormat="1" ht="30" customHeight="1" x14ac:dyDescent="0.55000000000000004">
      <c r="A19" s="6" t="s">
        <v>10</v>
      </c>
    </row>
    <row r="20" spans="1:1" s="3" customFormat="1" ht="20.25" customHeight="1" x14ac:dyDescent="0.45">
      <c r="A20" s="8" t="s">
        <v>11</v>
      </c>
    </row>
    <row r="21" spans="1:1" s="3" customFormat="1" ht="20.25" customHeight="1" x14ac:dyDescent="0.35">
      <c r="A21" s="2" t="s">
        <v>129</v>
      </c>
    </row>
    <row r="22" spans="1:1" s="3" customFormat="1" ht="20.25" customHeight="1" x14ac:dyDescent="0.35">
      <c r="A22" s="227" t="s">
        <v>500</v>
      </c>
    </row>
    <row r="23" spans="1:1" s="3" customFormat="1" ht="20.25" customHeight="1" x14ac:dyDescent="0.35">
      <c r="A23" s="2" t="s">
        <v>490</v>
      </c>
    </row>
    <row r="24" spans="1:1" s="3" customFormat="1" ht="20.25" customHeight="1" x14ac:dyDescent="0.45">
      <c r="A24" s="8" t="s">
        <v>12</v>
      </c>
    </row>
    <row r="25" spans="1:1" s="3" customFormat="1" ht="20.25" customHeight="1" x14ac:dyDescent="0.35">
      <c r="A25" s="9" t="s">
        <v>497</v>
      </c>
    </row>
    <row r="26" spans="1:1" s="3" customFormat="1" ht="20.25" customHeight="1" x14ac:dyDescent="0.35">
      <c r="A26" s="3" t="s">
        <v>13</v>
      </c>
    </row>
  </sheetData>
  <hyperlinks>
    <hyperlink ref="A15" r:id="rId1" display="Energy trends publication (opens in a new window) " xr:uid="{B5060C5D-B15A-4904-91DD-9C0A0E5DF5B5}"/>
    <hyperlink ref="A16" r:id="rId2" xr:uid="{4D65A4E8-909B-46E6-9F5F-5EAB090A5EA8}"/>
    <hyperlink ref="A17" r:id="rId3" xr:uid="{7EF400B4-F95B-4D8F-9131-B8ABBF44E19C}"/>
    <hyperlink ref="A25" r:id="rId4" xr:uid="{575AA3A8-4945-49B7-B0AC-075F032E88BD}"/>
    <hyperlink ref="A11" r:id="rId5" xr:uid="{88913576-B7F8-44A5-9454-324C4613D153}"/>
    <hyperlink ref="A22" r:id="rId6" xr:uid="{73293111-2C06-4FC5-A3C4-EC358E351B28}"/>
    <hyperlink ref="A18" r:id="rId7" xr:uid="{D72F09BB-3CB9-4419-8780-B11483978266}"/>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A5947-1C31-4162-B21D-0B25C0F395BC}">
  <sheetPr>
    <pageSetUpPr fitToPage="1"/>
  </sheetPr>
  <dimension ref="A1:AE121"/>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5.5" x14ac:dyDescent="0.35"/>
  <cols>
    <col min="1" max="1" width="27.26953125" style="49" customWidth="1"/>
    <col min="2" max="2" width="23.1796875" style="49" customWidth="1"/>
    <col min="3" max="3" width="9.7265625" style="49" customWidth="1"/>
    <col min="4" max="4" width="9.453125" style="49" customWidth="1"/>
    <col min="5" max="5" width="17" style="49" customWidth="1"/>
    <col min="6" max="6" width="22" style="49" customWidth="1"/>
    <col min="7" max="7" width="15.81640625" style="49" customWidth="1"/>
    <col min="8" max="8" width="26.81640625" style="49" bestFit="1" customWidth="1"/>
    <col min="9" max="9" width="17.54296875" style="49" customWidth="1"/>
    <col min="10" max="10" width="18.453125" style="49" customWidth="1"/>
    <col min="11" max="11" width="16.7265625" style="49" customWidth="1"/>
    <col min="12" max="12" width="21.81640625" style="49" customWidth="1"/>
    <col min="13" max="13" width="17.453125" style="49" customWidth="1"/>
    <col min="14" max="14" width="21.1796875" style="49" customWidth="1"/>
    <col min="15" max="15" width="19.26953125" style="49" customWidth="1"/>
    <col min="16" max="16" width="15.26953125" style="49" customWidth="1"/>
    <col min="17" max="17" width="24.54296875" style="49" customWidth="1"/>
    <col min="18" max="18" width="15.453125" style="49" customWidth="1"/>
    <col min="19" max="19" width="20.26953125" style="49" customWidth="1"/>
    <col min="20" max="20" width="9.26953125" style="49" customWidth="1"/>
    <col min="21" max="21" width="19.453125" style="49" customWidth="1"/>
    <col min="22" max="22" width="13.1796875" style="49" customWidth="1"/>
    <col min="23" max="23" width="17.26953125" style="49" customWidth="1"/>
    <col min="24" max="24" width="11.54296875" style="49" customWidth="1"/>
    <col min="25" max="25" width="11.1796875" style="49" customWidth="1"/>
    <col min="26" max="26" width="17.54296875" style="49" customWidth="1"/>
    <col min="27" max="27" width="22" style="49" customWidth="1"/>
    <col min="28" max="28" width="13.54296875" style="49" customWidth="1"/>
    <col min="29" max="29" width="12.7265625" style="49" customWidth="1"/>
    <col min="30" max="30" width="15.7265625" style="49" customWidth="1"/>
    <col min="31" max="31" width="16.7265625" style="49" customWidth="1"/>
    <col min="32" max="34" width="8.7265625" style="49"/>
    <col min="35" max="35" width="12.453125" style="49" customWidth="1"/>
    <col min="36" max="257" width="8.7265625" style="49"/>
    <col min="258" max="258" width="11.81640625" style="49" bestFit="1" customWidth="1"/>
    <col min="259" max="263" width="9.26953125" style="49" bestFit="1" customWidth="1"/>
    <col min="264" max="264" width="9.54296875" style="49" bestFit="1" customWidth="1"/>
    <col min="265" max="265" width="9.26953125" style="49" bestFit="1" customWidth="1"/>
    <col min="266" max="266" width="9.54296875" style="49" bestFit="1" customWidth="1"/>
    <col min="267" max="267" width="3.26953125" style="49" customWidth="1"/>
    <col min="268" max="268" width="9.26953125" style="49" bestFit="1" customWidth="1"/>
    <col min="269" max="269" width="10.453125" style="49" bestFit="1" customWidth="1"/>
    <col min="270" max="270" width="9.26953125" style="49" bestFit="1" customWidth="1"/>
    <col min="271" max="271" width="9.26953125" style="49" customWidth="1"/>
    <col min="272" max="275" width="9.26953125" style="49" bestFit="1" customWidth="1"/>
    <col min="276" max="276" width="9.26953125" style="49" customWidth="1"/>
    <col min="277" max="278" width="9.26953125" style="49" bestFit="1" customWidth="1"/>
    <col min="279" max="279" width="3.26953125" style="49" customWidth="1"/>
    <col min="280" max="280" width="9.54296875" style="49" bestFit="1" customWidth="1"/>
    <col min="281" max="283" width="9.26953125" style="49" bestFit="1" customWidth="1"/>
    <col min="284" max="290" width="8.7265625" style="49"/>
    <col min="291" max="291" width="12.453125" style="49" customWidth="1"/>
    <col min="292" max="513" width="8.7265625" style="49"/>
    <col min="514" max="514" width="11.81640625" style="49" bestFit="1" customWidth="1"/>
    <col min="515" max="519" width="9.26953125" style="49" bestFit="1" customWidth="1"/>
    <col min="520" max="520" width="9.54296875" style="49" bestFit="1" customWidth="1"/>
    <col min="521" max="521" width="9.26953125" style="49" bestFit="1" customWidth="1"/>
    <col min="522" max="522" width="9.54296875" style="49" bestFit="1" customWidth="1"/>
    <col min="523" max="523" width="3.26953125" style="49" customWidth="1"/>
    <col min="524" max="524" width="9.26953125" style="49" bestFit="1" customWidth="1"/>
    <col min="525" max="525" width="10.453125" style="49" bestFit="1" customWidth="1"/>
    <col min="526" max="526" width="9.26953125" style="49" bestFit="1" customWidth="1"/>
    <col min="527" max="527" width="9.26953125" style="49" customWidth="1"/>
    <col min="528" max="531" width="9.26953125" style="49" bestFit="1" customWidth="1"/>
    <col min="532" max="532" width="9.26953125" style="49" customWidth="1"/>
    <col min="533" max="534" width="9.26953125" style="49" bestFit="1" customWidth="1"/>
    <col min="535" max="535" width="3.26953125" style="49" customWidth="1"/>
    <col min="536" max="536" width="9.54296875" style="49" bestFit="1" customWidth="1"/>
    <col min="537" max="539" width="9.26953125" style="49" bestFit="1" customWidth="1"/>
    <col min="540" max="546" width="8.7265625" style="49"/>
    <col min="547" max="547" width="12.453125" style="49" customWidth="1"/>
    <col min="548" max="769" width="8.7265625" style="49"/>
    <col min="770" max="770" width="11.81640625" style="49" bestFit="1" customWidth="1"/>
    <col min="771" max="775" width="9.26953125" style="49" bestFit="1" customWidth="1"/>
    <col min="776" max="776" width="9.54296875" style="49" bestFit="1" customWidth="1"/>
    <col min="777" max="777" width="9.26953125" style="49" bestFit="1" customWidth="1"/>
    <col min="778" max="778" width="9.54296875" style="49" bestFit="1" customWidth="1"/>
    <col min="779" max="779" width="3.26953125" style="49" customWidth="1"/>
    <col min="780" max="780" width="9.26953125" style="49" bestFit="1" customWidth="1"/>
    <col min="781" max="781" width="10.453125" style="49" bestFit="1" customWidth="1"/>
    <col min="782" max="782" width="9.26953125" style="49" bestFit="1" customWidth="1"/>
    <col min="783" max="783" width="9.26953125" style="49" customWidth="1"/>
    <col min="784" max="787" width="9.26953125" style="49" bestFit="1" customWidth="1"/>
    <col min="788" max="788" width="9.26953125" style="49" customWidth="1"/>
    <col min="789" max="790" width="9.26953125" style="49" bestFit="1" customWidth="1"/>
    <col min="791" max="791" width="3.26953125" style="49" customWidth="1"/>
    <col min="792" max="792" width="9.54296875" style="49" bestFit="1" customWidth="1"/>
    <col min="793" max="795" width="9.26953125" style="49" bestFit="1" customWidth="1"/>
    <col min="796" max="802" width="8.7265625" style="49"/>
    <col min="803" max="803" width="12.453125" style="49" customWidth="1"/>
    <col min="804" max="1025" width="8.7265625" style="49"/>
    <col min="1026" max="1026" width="11.81640625" style="49" bestFit="1" customWidth="1"/>
    <col min="1027" max="1031" width="9.26953125" style="49" bestFit="1" customWidth="1"/>
    <col min="1032" max="1032" width="9.54296875" style="49" bestFit="1" customWidth="1"/>
    <col min="1033" max="1033" width="9.26953125" style="49" bestFit="1" customWidth="1"/>
    <col min="1034" max="1034" width="9.54296875" style="49" bestFit="1" customWidth="1"/>
    <col min="1035" max="1035" width="3.26953125" style="49" customWidth="1"/>
    <col min="1036" max="1036" width="9.26953125" style="49" bestFit="1" customWidth="1"/>
    <col min="1037" max="1037" width="10.453125" style="49" bestFit="1" customWidth="1"/>
    <col min="1038" max="1038" width="9.26953125" style="49" bestFit="1" customWidth="1"/>
    <col min="1039" max="1039" width="9.26953125" style="49" customWidth="1"/>
    <col min="1040" max="1043" width="9.26953125" style="49" bestFit="1" customWidth="1"/>
    <col min="1044" max="1044" width="9.26953125" style="49" customWidth="1"/>
    <col min="1045" max="1046" width="9.26953125" style="49" bestFit="1" customWidth="1"/>
    <col min="1047" max="1047" width="3.26953125" style="49" customWidth="1"/>
    <col min="1048" max="1048" width="9.54296875" style="49" bestFit="1" customWidth="1"/>
    <col min="1049" max="1051" width="9.26953125" style="49" bestFit="1" customWidth="1"/>
    <col min="1052" max="1058" width="8.7265625" style="49"/>
    <col min="1059" max="1059" width="12.453125" style="49" customWidth="1"/>
    <col min="1060" max="1281" width="8.7265625" style="49"/>
    <col min="1282" max="1282" width="11.81640625" style="49" bestFit="1" customWidth="1"/>
    <col min="1283" max="1287" width="9.26953125" style="49" bestFit="1" customWidth="1"/>
    <col min="1288" max="1288" width="9.54296875" style="49" bestFit="1" customWidth="1"/>
    <col min="1289" max="1289" width="9.26953125" style="49" bestFit="1" customWidth="1"/>
    <col min="1290" max="1290" width="9.54296875" style="49" bestFit="1" customWidth="1"/>
    <col min="1291" max="1291" width="3.26953125" style="49" customWidth="1"/>
    <col min="1292" max="1292" width="9.26953125" style="49" bestFit="1" customWidth="1"/>
    <col min="1293" max="1293" width="10.453125" style="49" bestFit="1" customWidth="1"/>
    <col min="1294" max="1294" width="9.26953125" style="49" bestFit="1" customWidth="1"/>
    <col min="1295" max="1295" width="9.26953125" style="49" customWidth="1"/>
    <col min="1296" max="1299" width="9.26953125" style="49" bestFit="1" customWidth="1"/>
    <col min="1300" max="1300" width="9.26953125" style="49" customWidth="1"/>
    <col min="1301" max="1302" width="9.26953125" style="49" bestFit="1" customWidth="1"/>
    <col min="1303" max="1303" width="3.26953125" style="49" customWidth="1"/>
    <col min="1304" max="1304" width="9.54296875" style="49" bestFit="1" customWidth="1"/>
    <col min="1305" max="1307" width="9.26953125" style="49" bestFit="1" customWidth="1"/>
    <col min="1308" max="1314" width="8.7265625" style="49"/>
    <col min="1315" max="1315" width="12.453125" style="49" customWidth="1"/>
    <col min="1316" max="1537" width="8.7265625" style="49"/>
    <col min="1538" max="1538" width="11.81640625" style="49" bestFit="1" customWidth="1"/>
    <col min="1539" max="1543" width="9.26953125" style="49" bestFit="1" customWidth="1"/>
    <col min="1544" max="1544" width="9.54296875" style="49" bestFit="1" customWidth="1"/>
    <col min="1545" max="1545" width="9.26953125" style="49" bestFit="1" customWidth="1"/>
    <col min="1546" max="1546" width="9.54296875" style="49" bestFit="1" customWidth="1"/>
    <col min="1547" max="1547" width="3.26953125" style="49" customWidth="1"/>
    <col min="1548" max="1548" width="9.26953125" style="49" bestFit="1" customWidth="1"/>
    <col min="1549" max="1549" width="10.453125" style="49" bestFit="1" customWidth="1"/>
    <col min="1550" max="1550" width="9.26953125" style="49" bestFit="1" customWidth="1"/>
    <col min="1551" max="1551" width="9.26953125" style="49" customWidth="1"/>
    <col min="1552" max="1555" width="9.26953125" style="49" bestFit="1" customWidth="1"/>
    <col min="1556" max="1556" width="9.26953125" style="49" customWidth="1"/>
    <col min="1557" max="1558" width="9.26953125" style="49" bestFit="1" customWidth="1"/>
    <col min="1559" max="1559" width="3.26953125" style="49" customWidth="1"/>
    <col min="1560" max="1560" width="9.54296875" style="49" bestFit="1" customWidth="1"/>
    <col min="1561" max="1563" width="9.26953125" style="49" bestFit="1" customWidth="1"/>
    <col min="1564" max="1570" width="8.7265625" style="49"/>
    <col min="1571" max="1571" width="12.453125" style="49" customWidth="1"/>
    <col min="1572" max="1793" width="8.7265625" style="49"/>
    <col min="1794" max="1794" width="11.81640625" style="49" bestFit="1" customWidth="1"/>
    <col min="1795" max="1799" width="9.26953125" style="49" bestFit="1" customWidth="1"/>
    <col min="1800" max="1800" width="9.54296875" style="49" bestFit="1" customWidth="1"/>
    <col min="1801" max="1801" width="9.26953125" style="49" bestFit="1" customWidth="1"/>
    <col min="1802" max="1802" width="9.54296875" style="49" bestFit="1" customWidth="1"/>
    <col min="1803" max="1803" width="3.26953125" style="49" customWidth="1"/>
    <col min="1804" max="1804" width="9.26953125" style="49" bestFit="1" customWidth="1"/>
    <col min="1805" max="1805" width="10.453125" style="49" bestFit="1" customWidth="1"/>
    <col min="1806" max="1806" width="9.26953125" style="49" bestFit="1" customWidth="1"/>
    <col min="1807" max="1807" width="9.26953125" style="49" customWidth="1"/>
    <col min="1808" max="1811" width="9.26953125" style="49" bestFit="1" customWidth="1"/>
    <col min="1812" max="1812" width="9.26953125" style="49" customWidth="1"/>
    <col min="1813" max="1814" width="9.26953125" style="49" bestFit="1" customWidth="1"/>
    <col min="1815" max="1815" width="3.26953125" style="49" customWidth="1"/>
    <col min="1816" max="1816" width="9.54296875" style="49" bestFit="1" customWidth="1"/>
    <col min="1817" max="1819" width="9.26953125" style="49" bestFit="1" customWidth="1"/>
    <col min="1820" max="1826" width="8.7265625" style="49"/>
    <col min="1827" max="1827" width="12.453125" style="49" customWidth="1"/>
    <col min="1828" max="2049" width="8.7265625" style="49"/>
    <col min="2050" max="2050" width="11.81640625" style="49" bestFit="1" customWidth="1"/>
    <col min="2051" max="2055" width="9.26953125" style="49" bestFit="1" customWidth="1"/>
    <col min="2056" max="2056" width="9.54296875" style="49" bestFit="1" customWidth="1"/>
    <col min="2057" max="2057" width="9.26953125" style="49" bestFit="1" customWidth="1"/>
    <col min="2058" max="2058" width="9.54296875" style="49" bestFit="1" customWidth="1"/>
    <col min="2059" max="2059" width="3.26953125" style="49" customWidth="1"/>
    <col min="2060" max="2060" width="9.26953125" style="49" bestFit="1" customWidth="1"/>
    <col min="2061" max="2061" width="10.453125" style="49" bestFit="1" customWidth="1"/>
    <col min="2062" max="2062" width="9.26953125" style="49" bestFit="1" customWidth="1"/>
    <col min="2063" max="2063" width="9.26953125" style="49" customWidth="1"/>
    <col min="2064" max="2067" width="9.26953125" style="49" bestFit="1" customWidth="1"/>
    <col min="2068" max="2068" width="9.26953125" style="49" customWidth="1"/>
    <col min="2069" max="2070" width="9.26953125" style="49" bestFit="1" customWidth="1"/>
    <col min="2071" max="2071" width="3.26953125" style="49" customWidth="1"/>
    <col min="2072" max="2072" width="9.54296875" style="49" bestFit="1" customWidth="1"/>
    <col min="2073" max="2075" width="9.26953125" style="49" bestFit="1" customWidth="1"/>
    <col min="2076" max="2082" width="8.7265625" style="49"/>
    <col min="2083" max="2083" width="12.453125" style="49" customWidth="1"/>
    <col min="2084" max="2305" width="8.7265625" style="49"/>
    <col min="2306" max="2306" width="11.81640625" style="49" bestFit="1" customWidth="1"/>
    <col min="2307" max="2311" width="9.26953125" style="49" bestFit="1" customWidth="1"/>
    <col min="2312" max="2312" width="9.54296875" style="49" bestFit="1" customWidth="1"/>
    <col min="2313" max="2313" width="9.26953125" style="49" bestFit="1" customWidth="1"/>
    <col min="2314" max="2314" width="9.54296875" style="49" bestFit="1" customWidth="1"/>
    <col min="2315" max="2315" width="3.26953125" style="49" customWidth="1"/>
    <col min="2316" max="2316" width="9.26953125" style="49" bestFit="1" customWidth="1"/>
    <col min="2317" max="2317" width="10.453125" style="49" bestFit="1" customWidth="1"/>
    <col min="2318" max="2318" width="9.26953125" style="49" bestFit="1" customWidth="1"/>
    <col min="2319" max="2319" width="9.26953125" style="49" customWidth="1"/>
    <col min="2320" max="2323" width="9.26953125" style="49" bestFit="1" customWidth="1"/>
    <col min="2324" max="2324" width="9.26953125" style="49" customWidth="1"/>
    <col min="2325" max="2326" width="9.26953125" style="49" bestFit="1" customWidth="1"/>
    <col min="2327" max="2327" width="3.26953125" style="49" customWidth="1"/>
    <col min="2328" max="2328" width="9.54296875" style="49" bestFit="1" customWidth="1"/>
    <col min="2329" max="2331" width="9.26953125" style="49" bestFit="1" customWidth="1"/>
    <col min="2332" max="2338" width="8.7265625" style="49"/>
    <col min="2339" max="2339" width="12.453125" style="49" customWidth="1"/>
    <col min="2340" max="2561" width="8.7265625" style="49"/>
    <col min="2562" max="2562" width="11.81640625" style="49" bestFit="1" customWidth="1"/>
    <col min="2563" max="2567" width="9.26953125" style="49" bestFit="1" customWidth="1"/>
    <col min="2568" max="2568" width="9.54296875" style="49" bestFit="1" customWidth="1"/>
    <col min="2569" max="2569" width="9.26953125" style="49" bestFit="1" customWidth="1"/>
    <col min="2570" max="2570" width="9.54296875" style="49" bestFit="1" customWidth="1"/>
    <col min="2571" max="2571" width="3.26953125" style="49" customWidth="1"/>
    <col min="2572" max="2572" width="9.26953125" style="49" bestFit="1" customWidth="1"/>
    <col min="2573" max="2573" width="10.453125" style="49" bestFit="1" customWidth="1"/>
    <col min="2574" max="2574" width="9.26953125" style="49" bestFit="1" customWidth="1"/>
    <col min="2575" max="2575" width="9.26953125" style="49" customWidth="1"/>
    <col min="2576" max="2579" width="9.26953125" style="49" bestFit="1" customWidth="1"/>
    <col min="2580" max="2580" width="9.26953125" style="49" customWidth="1"/>
    <col min="2581" max="2582" width="9.26953125" style="49" bestFit="1" customWidth="1"/>
    <col min="2583" max="2583" width="3.26953125" style="49" customWidth="1"/>
    <col min="2584" max="2584" width="9.54296875" style="49" bestFit="1" customWidth="1"/>
    <col min="2585" max="2587" width="9.26953125" style="49" bestFit="1" customWidth="1"/>
    <col min="2588" max="2594" width="8.7265625" style="49"/>
    <col min="2595" max="2595" width="12.453125" style="49" customWidth="1"/>
    <col min="2596" max="2817" width="8.7265625" style="49"/>
    <col min="2818" max="2818" width="11.81640625" style="49" bestFit="1" customWidth="1"/>
    <col min="2819" max="2823" width="9.26953125" style="49" bestFit="1" customWidth="1"/>
    <col min="2824" max="2824" width="9.54296875" style="49" bestFit="1" customWidth="1"/>
    <col min="2825" max="2825" width="9.26953125" style="49" bestFit="1" customWidth="1"/>
    <col min="2826" max="2826" width="9.54296875" style="49" bestFit="1" customWidth="1"/>
    <col min="2827" max="2827" width="3.26953125" style="49" customWidth="1"/>
    <col min="2828" max="2828" width="9.26953125" style="49" bestFit="1" customWidth="1"/>
    <col min="2829" max="2829" width="10.453125" style="49" bestFit="1" customWidth="1"/>
    <col min="2830" max="2830" width="9.26953125" style="49" bestFit="1" customWidth="1"/>
    <col min="2831" max="2831" width="9.26953125" style="49" customWidth="1"/>
    <col min="2832" max="2835" width="9.26953125" style="49" bestFit="1" customWidth="1"/>
    <col min="2836" max="2836" width="9.26953125" style="49" customWidth="1"/>
    <col min="2837" max="2838" width="9.26953125" style="49" bestFit="1" customWidth="1"/>
    <col min="2839" max="2839" width="3.26953125" style="49" customWidth="1"/>
    <col min="2840" max="2840" width="9.54296875" style="49" bestFit="1" customWidth="1"/>
    <col min="2841" max="2843" width="9.26953125" style="49" bestFit="1" customWidth="1"/>
    <col min="2844" max="2850" width="8.7265625" style="49"/>
    <col min="2851" max="2851" width="12.453125" style="49" customWidth="1"/>
    <col min="2852" max="3073" width="8.7265625" style="49"/>
    <col min="3074" max="3074" width="11.81640625" style="49" bestFit="1" customWidth="1"/>
    <col min="3075" max="3079" width="9.26953125" style="49" bestFit="1" customWidth="1"/>
    <col min="3080" max="3080" width="9.54296875" style="49" bestFit="1" customWidth="1"/>
    <col min="3081" max="3081" width="9.26953125" style="49" bestFit="1" customWidth="1"/>
    <col min="3082" max="3082" width="9.54296875" style="49" bestFit="1" customWidth="1"/>
    <col min="3083" max="3083" width="3.26953125" style="49" customWidth="1"/>
    <col min="3084" max="3084" width="9.26953125" style="49" bestFit="1" customWidth="1"/>
    <col min="3085" max="3085" width="10.453125" style="49" bestFit="1" customWidth="1"/>
    <col min="3086" max="3086" width="9.26953125" style="49" bestFit="1" customWidth="1"/>
    <col min="3087" max="3087" width="9.26953125" style="49" customWidth="1"/>
    <col min="3088" max="3091" width="9.26953125" style="49" bestFit="1" customWidth="1"/>
    <col min="3092" max="3092" width="9.26953125" style="49" customWidth="1"/>
    <col min="3093" max="3094" width="9.26953125" style="49" bestFit="1" customWidth="1"/>
    <col min="3095" max="3095" width="3.26953125" style="49" customWidth="1"/>
    <col min="3096" max="3096" width="9.54296875" style="49" bestFit="1" customWidth="1"/>
    <col min="3097" max="3099" width="9.26953125" style="49" bestFit="1" customWidth="1"/>
    <col min="3100" max="3106" width="8.7265625" style="49"/>
    <col min="3107" max="3107" width="12.453125" style="49" customWidth="1"/>
    <col min="3108" max="3329" width="8.7265625" style="49"/>
    <col min="3330" max="3330" width="11.81640625" style="49" bestFit="1" customWidth="1"/>
    <col min="3331" max="3335" width="9.26953125" style="49" bestFit="1" customWidth="1"/>
    <col min="3336" max="3336" width="9.54296875" style="49" bestFit="1" customWidth="1"/>
    <col min="3337" max="3337" width="9.26953125" style="49" bestFit="1" customWidth="1"/>
    <col min="3338" max="3338" width="9.54296875" style="49" bestFit="1" customWidth="1"/>
    <col min="3339" max="3339" width="3.26953125" style="49" customWidth="1"/>
    <col min="3340" max="3340" width="9.26953125" style="49" bestFit="1" customWidth="1"/>
    <col min="3341" max="3341" width="10.453125" style="49" bestFit="1" customWidth="1"/>
    <col min="3342" max="3342" width="9.26953125" style="49" bestFit="1" customWidth="1"/>
    <col min="3343" max="3343" width="9.26953125" style="49" customWidth="1"/>
    <col min="3344" max="3347" width="9.26953125" style="49" bestFit="1" customWidth="1"/>
    <col min="3348" max="3348" width="9.26953125" style="49" customWidth="1"/>
    <col min="3349" max="3350" width="9.26953125" style="49" bestFit="1" customWidth="1"/>
    <col min="3351" max="3351" width="3.26953125" style="49" customWidth="1"/>
    <col min="3352" max="3352" width="9.54296875" style="49" bestFit="1" customWidth="1"/>
    <col min="3353" max="3355" width="9.26953125" style="49" bestFit="1" customWidth="1"/>
    <col min="3356" max="3362" width="8.7265625" style="49"/>
    <col min="3363" max="3363" width="12.453125" style="49" customWidth="1"/>
    <col min="3364" max="3585" width="8.7265625" style="49"/>
    <col min="3586" max="3586" width="11.81640625" style="49" bestFit="1" customWidth="1"/>
    <col min="3587" max="3591" width="9.26953125" style="49" bestFit="1" customWidth="1"/>
    <col min="3592" max="3592" width="9.54296875" style="49" bestFit="1" customWidth="1"/>
    <col min="3593" max="3593" width="9.26953125" style="49" bestFit="1" customWidth="1"/>
    <col min="3594" max="3594" width="9.54296875" style="49" bestFit="1" customWidth="1"/>
    <col min="3595" max="3595" width="3.26953125" style="49" customWidth="1"/>
    <col min="3596" max="3596" width="9.26953125" style="49" bestFit="1" customWidth="1"/>
    <col min="3597" max="3597" width="10.453125" style="49" bestFit="1" customWidth="1"/>
    <col min="3598" max="3598" width="9.26953125" style="49" bestFit="1" customWidth="1"/>
    <col min="3599" max="3599" width="9.26953125" style="49" customWidth="1"/>
    <col min="3600" max="3603" width="9.26953125" style="49" bestFit="1" customWidth="1"/>
    <col min="3604" max="3604" width="9.26953125" style="49" customWidth="1"/>
    <col min="3605" max="3606" width="9.26953125" style="49" bestFit="1" customWidth="1"/>
    <col min="3607" max="3607" width="3.26953125" style="49" customWidth="1"/>
    <col min="3608" max="3608" width="9.54296875" style="49" bestFit="1" customWidth="1"/>
    <col min="3609" max="3611" width="9.26953125" style="49" bestFit="1" customWidth="1"/>
    <col min="3612" max="3618" width="8.7265625" style="49"/>
    <col min="3619" max="3619" width="12.453125" style="49" customWidth="1"/>
    <col min="3620" max="3841" width="8.7265625" style="49"/>
    <col min="3842" max="3842" width="11.81640625" style="49" bestFit="1" customWidth="1"/>
    <col min="3843" max="3847" width="9.26953125" style="49" bestFit="1" customWidth="1"/>
    <col min="3848" max="3848" width="9.54296875" style="49" bestFit="1" customWidth="1"/>
    <col min="3849" max="3849" width="9.26953125" style="49" bestFit="1" customWidth="1"/>
    <col min="3850" max="3850" width="9.54296875" style="49" bestFit="1" customWidth="1"/>
    <col min="3851" max="3851" width="3.26953125" style="49" customWidth="1"/>
    <col min="3852" max="3852" width="9.26953125" style="49" bestFit="1" customWidth="1"/>
    <col min="3853" max="3853" width="10.453125" style="49" bestFit="1" customWidth="1"/>
    <col min="3854" max="3854" width="9.26953125" style="49" bestFit="1" customWidth="1"/>
    <col min="3855" max="3855" width="9.26953125" style="49" customWidth="1"/>
    <col min="3856" max="3859" width="9.26953125" style="49" bestFit="1" customWidth="1"/>
    <col min="3860" max="3860" width="9.26953125" style="49" customWidth="1"/>
    <col min="3861" max="3862" width="9.26953125" style="49" bestFit="1" customWidth="1"/>
    <col min="3863" max="3863" width="3.26953125" style="49" customWidth="1"/>
    <col min="3864" max="3864" width="9.54296875" style="49" bestFit="1" customWidth="1"/>
    <col min="3865" max="3867" width="9.26953125" style="49" bestFit="1" customWidth="1"/>
    <col min="3868" max="3874" width="8.7265625" style="49"/>
    <col min="3875" max="3875" width="12.453125" style="49" customWidth="1"/>
    <col min="3876" max="4097" width="8.7265625" style="49"/>
    <col min="4098" max="4098" width="11.81640625" style="49" bestFit="1" customWidth="1"/>
    <col min="4099" max="4103" width="9.26953125" style="49" bestFit="1" customWidth="1"/>
    <col min="4104" max="4104" width="9.54296875" style="49" bestFit="1" customWidth="1"/>
    <col min="4105" max="4105" width="9.26953125" style="49" bestFit="1" customWidth="1"/>
    <col min="4106" max="4106" width="9.54296875" style="49" bestFit="1" customWidth="1"/>
    <col min="4107" max="4107" width="3.26953125" style="49" customWidth="1"/>
    <col min="4108" max="4108" width="9.26953125" style="49" bestFit="1" customWidth="1"/>
    <col min="4109" max="4109" width="10.453125" style="49" bestFit="1" customWidth="1"/>
    <col min="4110" max="4110" width="9.26953125" style="49" bestFit="1" customWidth="1"/>
    <col min="4111" max="4111" width="9.26953125" style="49" customWidth="1"/>
    <col min="4112" max="4115" width="9.26953125" style="49" bestFit="1" customWidth="1"/>
    <col min="4116" max="4116" width="9.26953125" style="49" customWidth="1"/>
    <col min="4117" max="4118" width="9.26953125" style="49" bestFit="1" customWidth="1"/>
    <col min="4119" max="4119" width="3.26953125" style="49" customWidth="1"/>
    <col min="4120" max="4120" width="9.54296875" style="49" bestFit="1" customWidth="1"/>
    <col min="4121" max="4123" width="9.26953125" style="49" bestFit="1" customWidth="1"/>
    <col min="4124" max="4130" width="8.7265625" style="49"/>
    <col min="4131" max="4131" width="12.453125" style="49" customWidth="1"/>
    <col min="4132" max="4353" width="8.7265625" style="49"/>
    <col min="4354" max="4354" width="11.81640625" style="49" bestFit="1" customWidth="1"/>
    <col min="4355" max="4359" width="9.26953125" style="49" bestFit="1" customWidth="1"/>
    <col min="4360" max="4360" width="9.54296875" style="49" bestFit="1" customWidth="1"/>
    <col min="4361" max="4361" width="9.26953125" style="49" bestFit="1" customWidth="1"/>
    <col min="4362" max="4362" width="9.54296875" style="49" bestFit="1" customWidth="1"/>
    <col min="4363" max="4363" width="3.26953125" style="49" customWidth="1"/>
    <col min="4364" max="4364" width="9.26953125" style="49" bestFit="1" customWidth="1"/>
    <col min="4365" max="4365" width="10.453125" style="49" bestFit="1" customWidth="1"/>
    <col min="4366" max="4366" width="9.26953125" style="49" bestFit="1" customWidth="1"/>
    <col min="4367" max="4367" width="9.26953125" style="49" customWidth="1"/>
    <col min="4368" max="4371" width="9.26953125" style="49" bestFit="1" customWidth="1"/>
    <col min="4372" max="4372" width="9.26953125" style="49" customWidth="1"/>
    <col min="4373" max="4374" width="9.26953125" style="49" bestFit="1" customWidth="1"/>
    <col min="4375" max="4375" width="3.26953125" style="49" customWidth="1"/>
    <col min="4376" max="4376" width="9.54296875" style="49" bestFit="1" customWidth="1"/>
    <col min="4377" max="4379" width="9.26953125" style="49" bestFit="1" customWidth="1"/>
    <col min="4380" max="4386" width="8.7265625" style="49"/>
    <col min="4387" max="4387" width="12.453125" style="49" customWidth="1"/>
    <col min="4388" max="4609" width="8.7265625" style="49"/>
    <col min="4610" max="4610" width="11.81640625" style="49" bestFit="1" customWidth="1"/>
    <col min="4611" max="4615" width="9.26953125" style="49" bestFit="1" customWidth="1"/>
    <col min="4616" max="4616" width="9.54296875" style="49" bestFit="1" customWidth="1"/>
    <col min="4617" max="4617" width="9.26953125" style="49" bestFit="1" customWidth="1"/>
    <col min="4618" max="4618" width="9.54296875" style="49" bestFit="1" customWidth="1"/>
    <col min="4619" max="4619" width="3.26953125" style="49" customWidth="1"/>
    <col min="4620" max="4620" width="9.26953125" style="49" bestFit="1" customWidth="1"/>
    <col min="4621" max="4621" width="10.453125" style="49" bestFit="1" customWidth="1"/>
    <col min="4622" max="4622" width="9.26953125" style="49" bestFit="1" customWidth="1"/>
    <col min="4623" max="4623" width="9.26953125" style="49" customWidth="1"/>
    <col min="4624" max="4627" width="9.26953125" style="49" bestFit="1" customWidth="1"/>
    <col min="4628" max="4628" width="9.26953125" style="49" customWidth="1"/>
    <col min="4629" max="4630" width="9.26953125" style="49" bestFit="1" customWidth="1"/>
    <col min="4631" max="4631" width="3.26953125" style="49" customWidth="1"/>
    <col min="4632" max="4632" width="9.54296875" style="49" bestFit="1" customWidth="1"/>
    <col min="4633" max="4635" width="9.26953125" style="49" bestFit="1" customWidth="1"/>
    <col min="4636" max="4642" width="8.7265625" style="49"/>
    <col min="4643" max="4643" width="12.453125" style="49" customWidth="1"/>
    <col min="4644" max="4865" width="8.7265625" style="49"/>
    <col min="4866" max="4866" width="11.81640625" style="49" bestFit="1" customWidth="1"/>
    <col min="4867" max="4871" width="9.26953125" style="49" bestFit="1" customWidth="1"/>
    <col min="4872" max="4872" width="9.54296875" style="49" bestFit="1" customWidth="1"/>
    <col min="4873" max="4873" width="9.26953125" style="49" bestFit="1" customWidth="1"/>
    <col min="4874" max="4874" width="9.54296875" style="49" bestFit="1" customWidth="1"/>
    <col min="4875" max="4875" width="3.26953125" style="49" customWidth="1"/>
    <col min="4876" max="4876" width="9.26953125" style="49" bestFit="1" customWidth="1"/>
    <col min="4877" max="4877" width="10.453125" style="49" bestFit="1" customWidth="1"/>
    <col min="4878" max="4878" width="9.26953125" style="49" bestFit="1" customWidth="1"/>
    <col min="4879" max="4879" width="9.26953125" style="49" customWidth="1"/>
    <col min="4880" max="4883" width="9.26953125" style="49" bestFit="1" customWidth="1"/>
    <col min="4884" max="4884" width="9.26953125" style="49" customWidth="1"/>
    <col min="4885" max="4886" width="9.26953125" style="49" bestFit="1" customWidth="1"/>
    <col min="4887" max="4887" width="3.26953125" style="49" customWidth="1"/>
    <col min="4888" max="4888" width="9.54296875" style="49" bestFit="1" customWidth="1"/>
    <col min="4889" max="4891" width="9.26953125" style="49" bestFit="1" customWidth="1"/>
    <col min="4892" max="4898" width="8.7265625" style="49"/>
    <col min="4899" max="4899" width="12.453125" style="49" customWidth="1"/>
    <col min="4900" max="5121" width="8.7265625" style="49"/>
    <col min="5122" max="5122" width="11.81640625" style="49" bestFit="1" customWidth="1"/>
    <col min="5123" max="5127" width="9.26953125" style="49" bestFit="1" customWidth="1"/>
    <col min="5128" max="5128" width="9.54296875" style="49" bestFit="1" customWidth="1"/>
    <col min="5129" max="5129" width="9.26953125" style="49" bestFit="1" customWidth="1"/>
    <col min="5130" max="5130" width="9.54296875" style="49" bestFit="1" customWidth="1"/>
    <col min="5131" max="5131" width="3.26953125" style="49" customWidth="1"/>
    <col min="5132" max="5132" width="9.26953125" style="49" bestFit="1" customWidth="1"/>
    <col min="5133" max="5133" width="10.453125" style="49" bestFit="1" customWidth="1"/>
    <col min="5134" max="5134" width="9.26953125" style="49" bestFit="1" customWidth="1"/>
    <col min="5135" max="5135" width="9.26953125" style="49" customWidth="1"/>
    <col min="5136" max="5139" width="9.26953125" style="49" bestFit="1" customWidth="1"/>
    <col min="5140" max="5140" width="9.26953125" style="49" customWidth="1"/>
    <col min="5141" max="5142" width="9.26953125" style="49" bestFit="1" customWidth="1"/>
    <col min="5143" max="5143" width="3.26953125" style="49" customWidth="1"/>
    <col min="5144" max="5144" width="9.54296875" style="49" bestFit="1" customWidth="1"/>
    <col min="5145" max="5147" width="9.26953125" style="49" bestFit="1" customWidth="1"/>
    <col min="5148" max="5154" width="8.7265625" style="49"/>
    <col min="5155" max="5155" width="12.453125" style="49" customWidth="1"/>
    <col min="5156" max="5377" width="8.7265625" style="49"/>
    <col min="5378" max="5378" width="11.81640625" style="49" bestFit="1" customWidth="1"/>
    <col min="5379" max="5383" width="9.26953125" style="49" bestFit="1" customWidth="1"/>
    <col min="5384" max="5384" width="9.54296875" style="49" bestFit="1" customWidth="1"/>
    <col min="5385" max="5385" width="9.26953125" style="49" bestFit="1" customWidth="1"/>
    <col min="5386" max="5386" width="9.54296875" style="49" bestFit="1" customWidth="1"/>
    <col min="5387" max="5387" width="3.26953125" style="49" customWidth="1"/>
    <col min="5388" max="5388" width="9.26953125" style="49" bestFit="1" customWidth="1"/>
    <col min="5389" max="5389" width="10.453125" style="49" bestFit="1" customWidth="1"/>
    <col min="5390" max="5390" width="9.26953125" style="49" bestFit="1" customWidth="1"/>
    <col min="5391" max="5391" width="9.26953125" style="49" customWidth="1"/>
    <col min="5392" max="5395" width="9.26953125" style="49" bestFit="1" customWidth="1"/>
    <col min="5396" max="5396" width="9.26953125" style="49" customWidth="1"/>
    <col min="5397" max="5398" width="9.26953125" style="49" bestFit="1" customWidth="1"/>
    <col min="5399" max="5399" width="3.26953125" style="49" customWidth="1"/>
    <col min="5400" max="5400" width="9.54296875" style="49" bestFit="1" customWidth="1"/>
    <col min="5401" max="5403" width="9.26953125" style="49" bestFit="1" customWidth="1"/>
    <col min="5404" max="5410" width="8.7265625" style="49"/>
    <col min="5411" max="5411" width="12.453125" style="49" customWidth="1"/>
    <col min="5412" max="5633" width="8.7265625" style="49"/>
    <col min="5634" max="5634" width="11.81640625" style="49" bestFit="1" customWidth="1"/>
    <col min="5635" max="5639" width="9.26953125" style="49" bestFit="1" customWidth="1"/>
    <col min="5640" max="5640" width="9.54296875" style="49" bestFit="1" customWidth="1"/>
    <col min="5641" max="5641" width="9.26953125" style="49" bestFit="1" customWidth="1"/>
    <col min="5642" max="5642" width="9.54296875" style="49" bestFit="1" customWidth="1"/>
    <col min="5643" max="5643" width="3.26953125" style="49" customWidth="1"/>
    <col min="5644" max="5644" width="9.26953125" style="49" bestFit="1" customWidth="1"/>
    <col min="5645" max="5645" width="10.453125" style="49" bestFit="1" customWidth="1"/>
    <col min="5646" max="5646" width="9.26953125" style="49" bestFit="1" customWidth="1"/>
    <col min="5647" max="5647" width="9.26953125" style="49" customWidth="1"/>
    <col min="5648" max="5651" width="9.26953125" style="49" bestFit="1" customWidth="1"/>
    <col min="5652" max="5652" width="9.26953125" style="49" customWidth="1"/>
    <col min="5653" max="5654" width="9.26953125" style="49" bestFit="1" customWidth="1"/>
    <col min="5655" max="5655" width="3.26953125" style="49" customWidth="1"/>
    <col min="5656" max="5656" width="9.54296875" style="49" bestFit="1" customWidth="1"/>
    <col min="5657" max="5659" width="9.26953125" style="49" bestFit="1" customWidth="1"/>
    <col min="5660" max="5666" width="8.7265625" style="49"/>
    <col min="5667" max="5667" width="12.453125" style="49" customWidth="1"/>
    <col min="5668" max="5889" width="8.7265625" style="49"/>
    <col min="5890" max="5890" width="11.81640625" style="49" bestFit="1" customWidth="1"/>
    <col min="5891" max="5895" width="9.26953125" style="49" bestFit="1" customWidth="1"/>
    <col min="5896" max="5896" width="9.54296875" style="49" bestFit="1" customWidth="1"/>
    <col min="5897" max="5897" width="9.26953125" style="49" bestFit="1" customWidth="1"/>
    <col min="5898" max="5898" width="9.54296875" style="49" bestFit="1" customWidth="1"/>
    <col min="5899" max="5899" width="3.26953125" style="49" customWidth="1"/>
    <col min="5900" max="5900" width="9.26953125" style="49" bestFit="1" customWidth="1"/>
    <col min="5901" max="5901" width="10.453125" style="49" bestFit="1" customWidth="1"/>
    <col min="5902" max="5902" width="9.26953125" style="49" bestFit="1" customWidth="1"/>
    <col min="5903" max="5903" width="9.26953125" style="49" customWidth="1"/>
    <col min="5904" max="5907" width="9.26953125" style="49" bestFit="1" customWidth="1"/>
    <col min="5908" max="5908" width="9.26953125" style="49" customWidth="1"/>
    <col min="5909" max="5910" width="9.26953125" style="49" bestFit="1" customWidth="1"/>
    <col min="5911" max="5911" width="3.26953125" style="49" customWidth="1"/>
    <col min="5912" max="5912" width="9.54296875" style="49" bestFit="1" customWidth="1"/>
    <col min="5913" max="5915" width="9.26953125" style="49" bestFit="1" customWidth="1"/>
    <col min="5916" max="5922" width="8.7265625" style="49"/>
    <col min="5923" max="5923" width="12.453125" style="49" customWidth="1"/>
    <col min="5924" max="6145" width="8.7265625" style="49"/>
    <col min="6146" max="6146" width="11.81640625" style="49" bestFit="1" customWidth="1"/>
    <col min="6147" max="6151" width="9.26953125" style="49" bestFit="1" customWidth="1"/>
    <col min="6152" max="6152" width="9.54296875" style="49" bestFit="1" customWidth="1"/>
    <col min="6153" max="6153" width="9.26953125" style="49" bestFit="1" customWidth="1"/>
    <col min="6154" max="6154" width="9.54296875" style="49" bestFit="1" customWidth="1"/>
    <col min="6155" max="6155" width="3.26953125" style="49" customWidth="1"/>
    <col min="6156" max="6156" width="9.26953125" style="49" bestFit="1" customWidth="1"/>
    <col min="6157" max="6157" width="10.453125" style="49" bestFit="1" customWidth="1"/>
    <col min="6158" max="6158" width="9.26953125" style="49" bestFit="1" customWidth="1"/>
    <col min="6159" max="6159" width="9.26953125" style="49" customWidth="1"/>
    <col min="6160" max="6163" width="9.26953125" style="49" bestFit="1" customWidth="1"/>
    <col min="6164" max="6164" width="9.26953125" style="49" customWidth="1"/>
    <col min="6165" max="6166" width="9.26953125" style="49" bestFit="1" customWidth="1"/>
    <col min="6167" max="6167" width="3.26953125" style="49" customWidth="1"/>
    <col min="6168" max="6168" width="9.54296875" style="49" bestFit="1" customWidth="1"/>
    <col min="6169" max="6171" width="9.26953125" style="49" bestFit="1" customWidth="1"/>
    <col min="6172" max="6178" width="8.7265625" style="49"/>
    <col min="6179" max="6179" width="12.453125" style="49" customWidth="1"/>
    <col min="6180" max="6401" width="8.7265625" style="49"/>
    <col min="6402" max="6402" width="11.81640625" style="49" bestFit="1" customWidth="1"/>
    <col min="6403" max="6407" width="9.26953125" style="49" bestFit="1" customWidth="1"/>
    <col min="6408" max="6408" width="9.54296875" style="49" bestFit="1" customWidth="1"/>
    <col min="6409" max="6409" width="9.26953125" style="49" bestFit="1" customWidth="1"/>
    <col min="6410" max="6410" width="9.54296875" style="49" bestFit="1" customWidth="1"/>
    <col min="6411" max="6411" width="3.26953125" style="49" customWidth="1"/>
    <col min="6412" max="6412" width="9.26953125" style="49" bestFit="1" customWidth="1"/>
    <col min="6413" max="6413" width="10.453125" style="49" bestFit="1" customWidth="1"/>
    <col min="6414" max="6414" width="9.26953125" style="49" bestFit="1" customWidth="1"/>
    <col min="6415" max="6415" width="9.26953125" style="49" customWidth="1"/>
    <col min="6416" max="6419" width="9.26953125" style="49" bestFit="1" customWidth="1"/>
    <col min="6420" max="6420" width="9.26953125" style="49" customWidth="1"/>
    <col min="6421" max="6422" width="9.26953125" style="49" bestFit="1" customWidth="1"/>
    <col min="6423" max="6423" width="3.26953125" style="49" customWidth="1"/>
    <col min="6424" max="6424" width="9.54296875" style="49" bestFit="1" customWidth="1"/>
    <col min="6425" max="6427" width="9.26953125" style="49" bestFit="1" customWidth="1"/>
    <col min="6428" max="6434" width="8.7265625" style="49"/>
    <col min="6435" max="6435" width="12.453125" style="49" customWidth="1"/>
    <col min="6436" max="6657" width="8.7265625" style="49"/>
    <col min="6658" max="6658" width="11.81640625" style="49" bestFit="1" customWidth="1"/>
    <col min="6659" max="6663" width="9.26953125" style="49" bestFit="1" customWidth="1"/>
    <col min="6664" max="6664" width="9.54296875" style="49" bestFit="1" customWidth="1"/>
    <col min="6665" max="6665" width="9.26953125" style="49" bestFit="1" customWidth="1"/>
    <col min="6666" max="6666" width="9.54296875" style="49" bestFit="1" customWidth="1"/>
    <col min="6667" max="6667" width="3.26953125" style="49" customWidth="1"/>
    <col min="6668" max="6668" width="9.26953125" style="49" bestFit="1" customWidth="1"/>
    <col min="6669" max="6669" width="10.453125" style="49" bestFit="1" customWidth="1"/>
    <col min="6670" max="6670" width="9.26953125" style="49" bestFit="1" customWidth="1"/>
    <col min="6671" max="6671" width="9.26953125" style="49" customWidth="1"/>
    <col min="6672" max="6675" width="9.26953125" style="49" bestFit="1" customWidth="1"/>
    <col min="6676" max="6676" width="9.26953125" style="49" customWidth="1"/>
    <col min="6677" max="6678" width="9.26953125" style="49" bestFit="1" customWidth="1"/>
    <col min="6679" max="6679" width="3.26953125" style="49" customWidth="1"/>
    <col min="6680" max="6680" width="9.54296875" style="49" bestFit="1" customWidth="1"/>
    <col min="6681" max="6683" width="9.26953125" style="49" bestFit="1" customWidth="1"/>
    <col min="6684" max="6690" width="8.7265625" style="49"/>
    <col min="6691" max="6691" width="12.453125" style="49" customWidth="1"/>
    <col min="6692" max="6913" width="8.7265625" style="49"/>
    <col min="6914" max="6914" width="11.81640625" style="49" bestFit="1" customWidth="1"/>
    <col min="6915" max="6919" width="9.26953125" style="49" bestFit="1" customWidth="1"/>
    <col min="6920" max="6920" width="9.54296875" style="49" bestFit="1" customWidth="1"/>
    <col min="6921" max="6921" width="9.26953125" style="49" bestFit="1" customWidth="1"/>
    <col min="6922" max="6922" width="9.54296875" style="49" bestFit="1" customWidth="1"/>
    <col min="6923" max="6923" width="3.26953125" style="49" customWidth="1"/>
    <col min="6924" max="6924" width="9.26953125" style="49" bestFit="1" customWidth="1"/>
    <col min="6925" max="6925" width="10.453125" style="49" bestFit="1" customWidth="1"/>
    <col min="6926" max="6926" width="9.26953125" style="49" bestFit="1" customWidth="1"/>
    <col min="6927" max="6927" width="9.26953125" style="49" customWidth="1"/>
    <col min="6928" max="6931" width="9.26953125" style="49" bestFit="1" customWidth="1"/>
    <col min="6932" max="6932" width="9.26953125" style="49" customWidth="1"/>
    <col min="6933" max="6934" width="9.26953125" style="49" bestFit="1" customWidth="1"/>
    <col min="6935" max="6935" width="3.26953125" style="49" customWidth="1"/>
    <col min="6936" max="6936" width="9.54296875" style="49" bestFit="1" customWidth="1"/>
    <col min="6937" max="6939" width="9.26953125" style="49" bestFit="1" customWidth="1"/>
    <col min="6940" max="6946" width="8.7265625" style="49"/>
    <col min="6947" max="6947" width="12.453125" style="49" customWidth="1"/>
    <col min="6948" max="7169" width="8.7265625" style="49"/>
    <col min="7170" max="7170" width="11.81640625" style="49" bestFit="1" customWidth="1"/>
    <col min="7171" max="7175" width="9.26953125" style="49" bestFit="1" customWidth="1"/>
    <col min="7176" max="7176" width="9.54296875" style="49" bestFit="1" customWidth="1"/>
    <col min="7177" max="7177" width="9.26953125" style="49" bestFit="1" customWidth="1"/>
    <col min="7178" max="7178" width="9.54296875" style="49" bestFit="1" customWidth="1"/>
    <col min="7179" max="7179" width="3.26953125" style="49" customWidth="1"/>
    <col min="7180" max="7180" width="9.26953125" style="49" bestFit="1" customWidth="1"/>
    <col min="7181" max="7181" width="10.453125" style="49" bestFit="1" customWidth="1"/>
    <col min="7182" max="7182" width="9.26953125" style="49" bestFit="1" customWidth="1"/>
    <col min="7183" max="7183" width="9.26953125" style="49" customWidth="1"/>
    <col min="7184" max="7187" width="9.26953125" style="49" bestFit="1" customWidth="1"/>
    <col min="7188" max="7188" width="9.26953125" style="49" customWidth="1"/>
    <col min="7189" max="7190" width="9.26953125" style="49" bestFit="1" customWidth="1"/>
    <col min="7191" max="7191" width="3.26953125" style="49" customWidth="1"/>
    <col min="7192" max="7192" width="9.54296875" style="49" bestFit="1" customWidth="1"/>
    <col min="7193" max="7195" width="9.26953125" style="49" bestFit="1" customWidth="1"/>
    <col min="7196" max="7202" width="8.7265625" style="49"/>
    <col min="7203" max="7203" width="12.453125" style="49" customWidth="1"/>
    <col min="7204" max="7425" width="8.7265625" style="49"/>
    <col min="7426" max="7426" width="11.81640625" style="49" bestFit="1" customWidth="1"/>
    <col min="7427" max="7431" width="9.26953125" style="49" bestFit="1" customWidth="1"/>
    <col min="7432" max="7432" width="9.54296875" style="49" bestFit="1" customWidth="1"/>
    <col min="7433" max="7433" width="9.26953125" style="49" bestFit="1" customWidth="1"/>
    <col min="7434" max="7434" width="9.54296875" style="49" bestFit="1" customWidth="1"/>
    <col min="7435" max="7435" width="3.26953125" style="49" customWidth="1"/>
    <col min="7436" max="7436" width="9.26953125" style="49" bestFit="1" customWidth="1"/>
    <col min="7437" max="7437" width="10.453125" style="49" bestFit="1" customWidth="1"/>
    <col min="7438" max="7438" width="9.26953125" style="49" bestFit="1" customWidth="1"/>
    <col min="7439" max="7439" width="9.26953125" style="49" customWidth="1"/>
    <col min="7440" max="7443" width="9.26953125" style="49" bestFit="1" customWidth="1"/>
    <col min="7444" max="7444" width="9.26953125" style="49" customWidth="1"/>
    <col min="7445" max="7446" width="9.26953125" style="49" bestFit="1" customWidth="1"/>
    <col min="7447" max="7447" width="3.26953125" style="49" customWidth="1"/>
    <col min="7448" max="7448" width="9.54296875" style="49" bestFit="1" customWidth="1"/>
    <col min="7449" max="7451" width="9.26953125" style="49" bestFit="1" customWidth="1"/>
    <col min="7452" max="7458" width="8.7265625" style="49"/>
    <col min="7459" max="7459" width="12.453125" style="49" customWidth="1"/>
    <col min="7460" max="7681" width="8.7265625" style="49"/>
    <col min="7682" max="7682" width="11.81640625" style="49" bestFit="1" customWidth="1"/>
    <col min="7683" max="7687" width="9.26953125" style="49" bestFit="1" customWidth="1"/>
    <col min="7688" max="7688" width="9.54296875" style="49" bestFit="1" customWidth="1"/>
    <col min="7689" max="7689" width="9.26953125" style="49" bestFit="1" customWidth="1"/>
    <col min="7690" max="7690" width="9.54296875" style="49" bestFit="1" customWidth="1"/>
    <col min="7691" max="7691" width="3.26953125" style="49" customWidth="1"/>
    <col min="7692" max="7692" width="9.26953125" style="49" bestFit="1" customWidth="1"/>
    <col min="7693" max="7693" width="10.453125" style="49" bestFit="1" customWidth="1"/>
    <col min="7694" max="7694" width="9.26953125" style="49" bestFit="1" customWidth="1"/>
    <col min="7695" max="7695" width="9.26953125" style="49" customWidth="1"/>
    <col min="7696" max="7699" width="9.26953125" style="49" bestFit="1" customWidth="1"/>
    <col min="7700" max="7700" width="9.26953125" style="49" customWidth="1"/>
    <col min="7701" max="7702" width="9.26953125" style="49" bestFit="1" customWidth="1"/>
    <col min="7703" max="7703" width="3.26953125" style="49" customWidth="1"/>
    <col min="7704" max="7704" width="9.54296875" style="49" bestFit="1" customWidth="1"/>
    <col min="7705" max="7707" width="9.26953125" style="49" bestFit="1" customWidth="1"/>
    <col min="7708" max="7714" width="8.7265625" style="49"/>
    <col min="7715" max="7715" width="12.453125" style="49" customWidth="1"/>
    <col min="7716" max="7937" width="8.7265625" style="49"/>
    <col min="7938" max="7938" width="11.81640625" style="49" bestFit="1" customWidth="1"/>
    <col min="7939" max="7943" width="9.26953125" style="49" bestFit="1" customWidth="1"/>
    <col min="7944" max="7944" width="9.54296875" style="49" bestFit="1" customWidth="1"/>
    <col min="7945" max="7945" width="9.26953125" style="49" bestFit="1" customWidth="1"/>
    <col min="7946" max="7946" width="9.54296875" style="49" bestFit="1" customWidth="1"/>
    <col min="7947" max="7947" width="3.26953125" style="49" customWidth="1"/>
    <col min="7948" max="7948" width="9.26953125" style="49" bestFit="1" customWidth="1"/>
    <col min="7949" max="7949" width="10.453125" style="49" bestFit="1" customWidth="1"/>
    <col min="7950" max="7950" width="9.26953125" style="49" bestFit="1" customWidth="1"/>
    <col min="7951" max="7951" width="9.26953125" style="49" customWidth="1"/>
    <col min="7952" max="7955" width="9.26953125" style="49" bestFit="1" customWidth="1"/>
    <col min="7956" max="7956" width="9.26953125" style="49" customWidth="1"/>
    <col min="7957" max="7958" width="9.26953125" style="49" bestFit="1" customWidth="1"/>
    <col min="7959" max="7959" width="3.26953125" style="49" customWidth="1"/>
    <col min="7960" max="7960" width="9.54296875" style="49" bestFit="1" customWidth="1"/>
    <col min="7961" max="7963" width="9.26953125" style="49" bestFit="1" customWidth="1"/>
    <col min="7964" max="7970" width="8.7265625" style="49"/>
    <col min="7971" max="7971" width="12.453125" style="49" customWidth="1"/>
    <col min="7972" max="8193" width="8.7265625" style="49"/>
    <col min="8194" max="8194" width="11.81640625" style="49" bestFit="1" customWidth="1"/>
    <col min="8195" max="8199" width="9.26953125" style="49" bestFit="1" customWidth="1"/>
    <col min="8200" max="8200" width="9.54296875" style="49" bestFit="1" customWidth="1"/>
    <col min="8201" max="8201" width="9.26953125" style="49" bestFit="1" customWidth="1"/>
    <col min="8202" max="8202" width="9.54296875" style="49" bestFit="1" customWidth="1"/>
    <col min="8203" max="8203" width="3.26953125" style="49" customWidth="1"/>
    <col min="8204" max="8204" width="9.26953125" style="49" bestFit="1" customWidth="1"/>
    <col min="8205" max="8205" width="10.453125" style="49" bestFit="1" customWidth="1"/>
    <col min="8206" max="8206" width="9.26953125" style="49" bestFit="1" customWidth="1"/>
    <col min="8207" max="8207" width="9.26953125" style="49" customWidth="1"/>
    <col min="8208" max="8211" width="9.26953125" style="49" bestFit="1" customWidth="1"/>
    <col min="8212" max="8212" width="9.26953125" style="49" customWidth="1"/>
    <col min="8213" max="8214" width="9.26953125" style="49" bestFit="1" customWidth="1"/>
    <col min="8215" max="8215" width="3.26953125" style="49" customWidth="1"/>
    <col min="8216" max="8216" width="9.54296875" style="49" bestFit="1" customWidth="1"/>
    <col min="8217" max="8219" width="9.26953125" style="49" bestFit="1" customWidth="1"/>
    <col min="8220" max="8226" width="8.7265625" style="49"/>
    <col min="8227" max="8227" width="12.453125" style="49" customWidth="1"/>
    <col min="8228" max="8449" width="8.7265625" style="49"/>
    <col min="8450" max="8450" width="11.81640625" style="49" bestFit="1" customWidth="1"/>
    <col min="8451" max="8455" width="9.26953125" style="49" bestFit="1" customWidth="1"/>
    <col min="8456" max="8456" width="9.54296875" style="49" bestFit="1" customWidth="1"/>
    <col min="8457" max="8457" width="9.26953125" style="49" bestFit="1" customWidth="1"/>
    <col min="8458" max="8458" width="9.54296875" style="49" bestFit="1" customWidth="1"/>
    <col min="8459" max="8459" width="3.26953125" style="49" customWidth="1"/>
    <col min="8460" max="8460" width="9.26953125" style="49" bestFit="1" customWidth="1"/>
    <col min="8461" max="8461" width="10.453125" style="49" bestFit="1" customWidth="1"/>
    <col min="8462" max="8462" width="9.26953125" style="49" bestFit="1" customWidth="1"/>
    <col min="8463" max="8463" width="9.26953125" style="49" customWidth="1"/>
    <col min="8464" max="8467" width="9.26953125" style="49" bestFit="1" customWidth="1"/>
    <col min="8468" max="8468" width="9.26953125" style="49" customWidth="1"/>
    <col min="8469" max="8470" width="9.26953125" style="49" bestFit="1" customWidth="1"/>
    <col min="8471" max="8471" width="3.26953125" style="49" customWidth="1"/>
    <col min="8472" max="8472" width="9.54296875" style="49" bestFit="1" customWidth="1"/>
    <col min="8473" max="8475" width="9.26953125" style="49" bestFit="1" customWidth="1"/>
    <col min="8476" max="8482" width="8.7265625" style="49"/>
    <col min="8483" max="8483" width="12.453125" style="49" customWidth="1"/>
    <col min="8484" max="8705" width="8.7265625" style="49"/>
    <col min="8706" max="8706" width="11.81640625" style="49" bestFit="1" customWidth="1"/>
    <col min="8707" max="8711" width="9.26953125" style="49" bestFit="1" customWidth="1"/>
    <col min="8712" max="8712" width="9.54296875" style="49" bestFit="1" customWidth="1"/>
    <col min="8713" max="8713" width="9.26953125" style="49" bestFit="1" customWidth="1"/>
    <col min="8714" max="8714" width="9.54296875" style="49" bestFit="1" customWidth="1"/>
    <col min="8715" max="8715" width="3.26953125" style="49" customWidth="1"/>
    <col min="8716" max="8716" width="9.26953125" style="49" bestFit="1" customWidth="1"/>
    <col min="8717" max="8717" width="10.453125" style="49" bestFit="1" customWidth="1"/>
    <col min="8718" max="8718" width="9.26953125" style="49" bestFit="1" customWidth="1"/>
    <col min="8719" max="8719" width="9.26953125" style="49" customWidth="1"/>
    <col min="8720" max="8723" width="9.26953125" style="49" bestFit="1" customWidth="1"/>
    <col min="8724" max="8724" width="9.26953125" style="49" customWidth="1"/>
    <col min="8725" max="8726" width="9.26953125" style="49" bestFit="1" customWidth="1"/>
    <col min="8727" max="8727" width="3.26953125" style="49" customWidth="1"/>
    <col min="8728" max="8728" width="9.54296875" style="49" bestFit="1" customWidth="1"/>
    <col min="8729" max="8731" width="9.26953125" style="49" bestFit="1" customWidth="1"/>
    <col min="8732" max="8738" width="8.7265625" style="49"/>
    <col min="8739" max="8739" width="12.453125" style="49" customWidth="1"/>
    <col min="8740" max="8961" width="8.7265625" style="49"/>
    <col min="8962" max="8962" width="11.81640625" style="49" bestFit="1" customWidth="1"/>
    <col min="8963" max="8967" width="9.26953125" style="49" bestFit="1" customWidth="1"/>
    <col min="8968" max="8968" width="9.54296875" style="49" bestFit="1" customWidth="1"/>
    <col min="8969" max="8969" width="9.26953125" style="49" bestFit="1" customWidth="1"/>
    <col min="8970" max="8970" width="9.54296875" style="49" bestFit="1" customWidth="1"/>
    <col min="8971" max="8971" width="3.26953125" style="49" customWidth="1"/>
    <col min="8972" max="8972" width="9.26953125" style="49" bestFit="1" customWidth="1"/>
    <col min="8973" max="8973" width="10.453125" style="49" bestFit="1" customWidth="1"/>
    <col min="8974" max="8974" width="9.26953125" style="49" bestFit="1" customWidth="1"/>
    <col min="8975" max="8975" width="9.26953125" style="49" customWidth="1"/>
    <col min="8976" max="8979" width="9.26953125" style="49" bestFit="1" customWidth="1"/>
    <col min="8980" max="8980" width="9.26953125" style="49" customWidth="1"/>
    <col min="8981" max="8982" width="9.26953125" style="49" bestFit="1" customWidth="1"/>
    <col min="8983" max="8983" width="3.26953125" style="49" customWidth="1"/>
    <col min="8984" max="8984" width="9.54296875" style="49" bestFit="1" customWidth="1"/>
    <col min="8985" max="8987" width="9.26953125" style="49" bestFit="1" customWidth="1"/>
    <col min="8988" max="8994" width="8.7265625" style="49"/>
    <col min="8995" max="8995" width="12.453125" style="49" customWidth="1"/>
    <col min="8996" max="9217" width="8.7265625" style="49"/>
    <col min="9218" max="9218" width="11.81640625" style="49" bestFit="1" customWidth="1"/>
    <col min="9219" max="9223" width="9.26953125" style="49" bestFit="1" customWidth="1"/>
    <col min="9224" max="9224" width="9.54296875" style="49" bestFit="1" customWidth="1"/>
    <col min="9225" max="9225" width="9.26953125" style="49" bestFit="1" customWidth="1"/>
    <col min="9226" max="9226" width="9.54296875" style="49" bestFit="1" customWidth="1"/>
    <col min="9227" max="9227" width="3.26953125" style="49" customWidth="1"/>
    <col min="9228" max="9228" width="9.26953125" style="49" bestFit="1" customWidth="1"/>
    <col min="9229" max="9229" width="10.453125" style="49" bestFit="1" customWidth="1"/>
    <col min="9230" max="9230" width="9.26953125" style="49" bestFit="1" customWidth="1"/>
    <col min="9231" max="9231" width="9.26953125" style="49" customWidth="1"/>
    <col min="9232" max="9235" width="9.26953125" style="49" bestFit="1" customWidth="1"/>
    <col min="9236" max="9236" width="9.26953125" style="49" customWidth="1"/>
    <col min="9237" max="9238" width="9.26953125" style="49" bestFit="1" customWidth="1"/>
    <col min="9239" max="9239" width="3.26953125" style="49" customWidth="1"/>
    <col min="9240" max="9240" width="9.54296875" style="49" bestFit="1" customWidth="1"/>
    <col min="9241" max="9243" width="9.26953125" style="49" bestFit="1" customWidth="1"/>
    <col min="9244" max="9250" width="8.7265625" style="49"/>
    <col min="9251" max="9251" width="12.453125" style="49" customWidth="1"/>
    <col min="9252" max="9473" width="8.7265625" style="49"/>
    <col min="9474" max="9474" width="11.81640625" style="49" bestFit="1" customWidth="1"/>
    <col min="9475" max="9479" width="9.26953125" style="49" bestFit="1" customWidth="1"/>
    <col min="9480" max="9480" width="9.54296875" style="49" bestFit="1" customWidth="1"/>
    <col min="9481" max="9481" width="9.26953125" style="49" bestFit="1" customWidth="1"/>
    <col min="9482" max="9482" width="9.54296875" style="49" bestFit="1" customWidth="1"/>
    <col min="9483" max="9483" width="3.26953125" style="49" customWidth="1"/>
    <col min="9484" max="9484" width="9.26953125" style="49" bestFit="1" customWidth="1"/>
    <col min="9485" max="9485" width="10.453125" style="49" bestFit="1" customWidth="1"/>
    <col min="9486" max="9486" width="9.26953125" style="49" bestFit="1" customWidth="1"/>
    <col min="9487" max="9487" width="9.26953125" style="49" customWidth="1"/>
    <col min="9488" max="9491" width="9.26953125" style="49" bestFit="1" customWidth="1"/>
    <col min="9492" max="9492" width="9.26953125" style="49" customWidth="1"/>
    <col min="9493" max="9494" width="9.26953125" style="49" bestFit="1" customWidth="1"/>
    <col min="9495" max="9495" width="3.26953125" style="49" customWidth="1"/>
    <col min="9496" max="9496" width="9.54296875" style="49" bestFit="1" customWidth="1"/>
    <col min="9497" max="9499" width="9.26953125" style="49" bestFit="1" customWidth="1"/>
    <col min="9500" max="9506" width="8.7265625" style="49"/>
    <col min="9507" max="9507" width="12.453125" style="49" customWidth="1"/>
    <col min="9508" max="9729" width="8.7265625" style="49"/>
    <col min="9730" max="9730" width="11.81640625" style="49" bestFit="1" customWidth="1"/>
    <col min="9731" max="9735" width="9.26953125" style="49" bestFit="1" customWidth="1"/>
    <col min="9736" max="9736" width="9.54296875" style="49" bestFit="1" customWidth="1"/>
    <col min="9737" max="9737" width="9.26953125" style="49" bestFit="1" customWidth="1"/>
    <col min="9738" max="9738" width="9.54296875" style="49" bestFit="1" customWidth="1"/>
    <col min="9739" max="9739" width="3.26953125" style="49" customWidth="1"/>
    <col min="9740" max="9740" width="9.26953125" style="49" bestFit="1" customWidth="1"/>
    <col min="9741" max="9741" width="10.453125" style="49" bestFit="1" customWidth="1"/>
    <col min="9742" max="9742" width="9.26953125" style="49" bestFit="1" customWidth="1"/>
    <col min="9743" max="9743" width="9.26953125" style="49" customWidth="1"/>
    <col min="9744" max="9747" width="9.26953125" style="49" bestFit="1" customWidth="1"/>
    <col min="9748" max="9748" width="9.26953125" style="49" customWidth="1"/>
    <col min="9749" max="9750" width="9.26953125" style="49" bestFit="1" customWidth="1"/>
    <col min="9751" max="9751" width="3.26953125" style="49" customWidth="1"/>
    <col min="9752" max="9752" width="9.54296875" style="49" bestFit="1" customWidth="1"/>
    <col min="9753" max="9755" width="9.26953125" style="49" bestFit="1" customWidth="1"/>
    <col min="9756" max="9762" width="8.7265625" style="49"/>
    <col min="9763" max="9763" width="12.453125" style="49" customWidth="1"/>
    <col min="9764" max="9985" width="8.7265625" style="49"/>
    <col min="9986" max="9986" width="11.81640625" style="49" bestFit="1" customWidth="1"/>
    <col min="9987" max="9991" width="9.26953125" style="49" bestFit="1" customWidth="1"/>
    <col min="9992" max="9992" width="9.54296875" style="49" bestFit="1" customWidth="1"/>
    <col min="9993" max="9993" width="9.26953125" style="49" bestFit="1" customWidth="1"/>
    <col min="9994" max="9994" width="9.54296875" style="49" bestFit="1" customWidth="1"/>
    <col min="9995" max="9995" width="3.26953125" style="49" customWidth="1"/>
    <col min="9996" max="9996" width="9.26953125" style="49" bestFit="1" customWidth="1"/>
    <col min="9997" max="9997" width="10.453125" style="49" bestFit="1" customWidth="1"/>
    <col min="9998" max="9998" width="9.26953125" style="49" bestFit="1" customWidth="1"/>
    <col min="9999" max="9999" width="9.26953125" style="49" customWidth="1"/>
    <col min="10000" max="10003" width="9.26953125" style="49" bestFit="1" customWidth="1"/>
    <col min="10004" max="10004" width="9.26953125" style="49" customWidth="1"/>
    <col min="10005" max="10006" width="9.26953125" style="49" bestFit="1" customWidth="1"/>
    <col min="10007" max="10007" width="3.26953125" style="49" customWidth="1"/>
    <col min="10008" max="10008" width="9.54296875" style="49" bestFit="1" customWidth="1"/>
    <col min="10009" max="10011" width="9.26953125" style="49" bestFit="1" customWidth="1"/>
    <col min="10012" max="10018" width="8.7265625" style="49"/>
    <col min="10019" max="10019" width="12.453125" style="49" customWidth="1"/>
    <col min="10020" max="10241" width="8.7265625" style="49"/>
    <col min="10242" max="10242" width="11.81640625" style="49" bestFit="1" customWidth="1"/>
    <col min="10243" max="10247" width="9.26953125" style="49" bestFit="1" customWidth="1"/>
    <col min="10248" max="10248" width="9.54296875" style="49" bestFit="1" customWidth="1"/>
    <col min="10249" max="10249" width="9.26953125" style="49" bestFit="1" customWidth="1"/>
    <col min="10250" max="10250" width="9.54296875" style="49" bestFit="1" customWidth="1"/>
    <col min="10251" max="10251" width="3.26953125" style="49" customWidth="1"/>
    <col min="10252" max="10252" width="9.26953125" style="49" bestFit="1" customWidth="1"/>
    <col min="10253" max="10253" width="10.453125" style="49" bestFit="1" customWidth="1"/>
    <col min="10254" max="10254" width="9.26953125" style="49" bestFit="1" customWidth="1"/>
    <col min="10255" max="10255" width="9.26953125" style="49" customWidth="1"/>
    <col min="10256" max="10259" width="9.26953125" style="49" bestFit="1" customWidth="1"/>
    <col min="10260" max="10260" width="9.26953125" style="49" customWidth="1"/>
    <col min="10261" max="10262" width="9.26953125" style="49" bestFit="1" customWidth="1"/>
    <col min="10263" max="10263" width="3.26953125" style="49" customWidth="1"/>
    <col min="10264" max="10264" width="9.54296875" style="49" bestFit="1" customWidth="1"/>
    <col min="10265" max="10267" width="9.26953125" style="49" bestFit="1" customWidth="1"/>
    <col min="10268" max="10274" width="8.7265625" style="49"/>
    <col min="10275" max="10275" width="12.453125" style="49" customWidth="1"/>
    <col min="10276" max="10497" width="8.7265625" style="49"/>
    <col min="10498" max="10498" width="11.81640625" style="49" bestFit="1" customWidth="1"/>
    <col min="10499" max="10503" width="9.26953125" style="49" bestFit="1" customWidth="1"/>
    <col min="10504" max="10504" width="9.54296875" style="49" bestFit="1" customWidth="1"/>
    <col min="10505" max="10505" width="9.26953125" style="49" bestFit="1" customWidth="1"/>
    <col min="10506" max="10506" width="9.54296875" style="49" bestFit="1" customWidth="1"/>
    <col min="10507" max="10507" width="3.26953125" style="49" customWidth="1"/>
    <col min="10508" max="10508" width="9.26953125" style="49" bestFit="1" customWidth="1"/>
    <col min="10509" max="10509" width="10.453125" style="49" bestFit="1" customWidth="1"/>
    <col min="10510" max="10510" width="9.26953125" style="49" bestFit="1" customWidth="1"/>
    <col min="10511" max="10511" width="9.26953125" style="49" customWidth="1"/>
    <col min="10512" max="10515" width="9.26953125" style="49" bestFit="1" customWidth="1"/>
    <col min="10516" max="10516" width="9.26953125" style="49" customWidth="1"/>
    <col min="10517" max="10518" width="9.26953125" style="49" bestFit="1" customWidth="1"/>
    <col min="10519" max="10519" width="3.26953125" style="49" customWidth="1"/>
    <col min="10520" max="10520" width="9.54296875" style="49" bestFit="1" customWidth="1"/>
    <col min="10521" max="10523" width="9.26953125" style="49" bestFit="1" customWidth="1"/>
    <col min="10524" max="10530" width="8.7265625" style="49"/>
    <col min="10531" max="10531" width="12.453125" style="49" customWidth="1"/>
    <col min="10532" max="10753" width="8.7265625" style="49"/>
    <col min="10754" max="10754" width="11.81640625" style="49" bestFit="1" customWidth="1"/>
    <col min="10755" max="10759" width="9.26953125" style="49" bestFit="1" customWidth="1"/>
    <col min="10760" max="10760" width="9.54296875" style="49" bestFit="1" customWidth="1"/>
    <col min="10761" max="10761" width="9.26953125" style="49" bestFit="1" customWidth="1"/>
    <col min="10762" max="10762" width="9.54296875" style="49" bestFit="1" customWidth="1"/>
    <col min="10763" max="10763" width="3.26953125" style="49" customWidth="1"/>
    <col min="10764" max="10764" width="9.26953125" style="49" bestFit="1" customWidth="1"/>
    <col min="10765" max="10765" width="10.453125" style="49" bestFit="1" customWidth="1"/>
    <col min="10766" max="10766" width="9.26953125" style="49" bestFit="1" customWidth="1"/>
    <col min="10767" max="10767" width="9.26953125" style="49" customWidth="1"/>
    <col min="10768" max="10771" width="9.26953125" style="49" bestFit="1" customWidth="1"/>
    <col min="10772" max="10772" width="9.26953125" style="49" customWidth="1"/>
    <col min="10773" max="10774" width="9.26953125" style="49" bestFit="1" customWidth="1"/>
    <col min="10775" max="10775" width="3.26953125" style="49" customWidth="1"/>
    <col min="10776" max="10776" width="9.54296875" style="49" bestFit="1" customWidth="1"/>
    <col min="10777" max="10779" width="9.26953125" style="49" bestFit="1" customWidth="1"/>
    <col min="10780" max="10786" width="8.7265625" style="49"/>
    <col min="10787" max="10787" width="12.453125" style="49" customWidth="1"/>
    <col min="10788" max="11009" width="8.7265625" style="49"/>
    <col min="11010" max="11010" width="11.81640625" style="49" bestFit="1" customWidth="1"/>
    <col min="11011" max="11015" width="9.26953125" style="49" bestFit="1" customWidth="1"/>
    <col min="11016" max="11016" width="9.54296875" style="49" bestFit="1" customWidth="1"/>
    <col min="11017" max="11017" width="9.26953125" style="49" bestFit="1" customWidth="1"/>
    <col min="11018" max="11018" width="9.54296875" style="49" bestFit="1" customWidth="1"/>
    <col min="11019" max="11019" width="3.26953125" style="49" customWidth="1"/>
    <col min="11020" max="11020" width="9.26953125" style="49" bestFit="1" customWidth="1"/>
    <col min="11021" max="11021" width="10.453125" style="49" bestFit="1" customWidth="1"/>
    <col min="11022" max="11022" width="9.26953125" style="49" bestFit="1" customWidth="1"/>
    <col min="11023" max="11023" width="9.26953125" style="49" customWidth="1"/>
    <col min="11024" max="11027" width="9.26953125" style="49" bestFit="1" customWidth="1"/>
    <col min="11028" max="11028" width="9.26953125" style="49" customWidth="1"/>
    <col min="11029" max="11030" width="9.26953125" style="49" bestFit="1" customWidth="1"/>
    <col min="11031" max="11031" width="3.26953125" style="49" customWidth="1"/>
    <col min="11032" max="11032" width="9.54296875" style="49" bestFit="1" customWidth="1"/>
    <col min="11033" max="11035" width="9.26953125" style="49" bestFit="1" customWidth="1"/>
    <col min="11036" max="11042" width="8.7265625" style="49"/>
    <col min="11043" max="11043" width="12.453125" style="49" customWidth="1"/>
    <col min="11044" max="11265" width="8.7265625" style="49"/>
    <col min="11266" max="11266" width="11.81640625" style="49" bestFit="1" customWidth="1"/>
    <col min="11267" max="11271" width="9.26953125" style="49" bestFit="1" customWidth="1"/>
    <col min="11272" max="11272" width="9.54296875" style="49" bestFit="1" customWidth="1"/>
    <col min="11273" max="11273" width="9.26953125" style="49" bestFit="1" customWidth="1"/>
    <col min="11274" max="11274" width="9.54296875" style="49" bestFit="1" customWidth="1"/>
    <col min="11275" max="11275" width="3.26953125" style="49" customWidth="1"/>
    <col min="11276" max="11276" width="9.26953125" style="49" bestFit="1" customWidth="1"/>
    <col min="11277" max="11277" width="10.453125" style="49" bestFit="1" customWidth="1"/>
    <col min="11278" max="11278" width="9.26953125" style="49" bestFit="1" customWidth="1"/>
    <col min="11279" max="11279" width="9.26953125" style="49" customWidth="1"/>
    <col min="11280" max="11283" width="9.26953125" style="49" bestFit="1" customWidth="1"/>
    <col min="11284" max="11284" width="9.26953125" style="49" customWidth="1"/>
    <col min="11285" max="11286" width="9.26953125" style="49" bestFit="1" customWidth="1"/>
    <col min="11287" max="11287" width="3.26953125" style="49" customWidth="1"/>
    <col min="11288" max="11288" width="9.54296875" style="49" bestFit="1" customWidth="1"/>
    <col min="11289" max="11291" width="9.26953125" style="49" bestFit="1" customWidth="1"/>
    <col min="11292" max="11298" width="8.7265625" style="49"/>
    <col min="11299" max="11299" width="12.453125" style="49" customWidth="1"/>
    <col min="11300" max="11521" width="8.7265625" style="49"/>
    <col min="11522" max="11522" width="11.81640625" style="49" bestFit="1" customWidth="1"/>
    <col min="11523" max="11527" width="9.26953125" style="49" bestFit="1" customWidth="1"/>
    <col min="11528" max="11528" width="9.54296875" style="49" bestFit="1" customWidth="1"/>
    <col min="11529" max="11529" width="9.26953125" style="49" bestFit="1" customWidth="1"/>
    <col min="11530" max="11530" width="9.54296875" style="49" bestFit="1" customWidth="1"/>
    <col min="11531" max="11531" width="3.26953125" style="49" customWidth="1"/>
    <col min="11532" max="11532" width="9.26953125" style="49" bestFit="1" customWidth="1"/>
    <col min="11533" max="11533" width="10.453125" style="49" bestFit="1" customWidth="1"/>
    <col min="11534" max="11534" width="9.26953125" style="49" bestFit="1" customWidth="1"/>
    <col min="11535" max="11535" width="9.26953125" style="49" customWidth="1"/>
    <col min="11536" max="11539" width="9.26953125" style="49" bestFit="1" customWidth="1"/>
    <col min="11540" max="11540" width="9.26953125" style="49" customWidth="1"/>
    <col min="11541" max="11542" width="9.26953125" style="49" bestFit="1" customWidth="1"/>
    <col min="11543" max="11543" width="3.26953125" style="49" customWidth="1"/>
    <col min="11544" max="11544" width="9.54296875" style="49" bestFit="1" customWidth="1"/>
    <col min="11545" max="11547" width="9.26953125" style="49" bestFit="1" customWidth="1"/>
    <col min="11548" max="11554" width="8.7265625" style="49"/>
    <col min="11555" max="11555" width="12.453125" style="49" customWidth="1"/>
    <col min="11556" max="11777" width="8.7265625" style="49"/>
    <col min="11778" max="11778" width="11.81640625" style="49" bestFit="1" customWidth="1"/>
    <col min="11779" max="11783" width="9.26953125" style="49" bestFit="1" customWidth="1"/>
    <col min="11784" max="11784" width="9.54296875" style="49" bestFit="1" customWidth="1"/>
    <col min="11785" max="11785" width="9.26953125" style="49" bestFit="1" customWidth="1"/>
    <col min="11786" max="11786" width="9.54296875" style="49" bestFit="1" customWidth="1"/>
    <col min="11787" max="11787" width="3.26953125" style="49" customWidth="1"/>
    <col min="11788" max="11788" width="9.26953125" style="49" bestFit="1" customWidth="1"/>
    <col min="11789" max="11789" width="10.453125" style="49" bestFit="1" customWidth="1"/>
    <col min="11790" max="11790" width="9.26953125" style="49" bestFit="1" customWidth="1"/>
    <col min="11791" max="11791" width="9.26953125" style="49" customWidth="1"/>
    <col min="11792" max="11795" width="9.26953125" style="49" bestFit="1" customWidth="1"/>
    <col min="11796" max="11796" width="9.26953125" style="49" customWidth="1"/>
    <col min="11797" max="11798" width="9.26953125" style="49" bestFit="1" customWidth="1"/>
    <col min="11799" max="11799" width="3.26953125" style="49" customWidth="1"/>
    <col min="11800" max="11800" width="9.54296875" style="49" bestFit="1" customWidth="1"/>
    <col min="11801" max="11803" width="9.26953125" style="49" bestFit="1" customWidth="1"/>
    <col min="11804" max="11810" width="8.7265625" style="49"/>
    <col min="11811" max="11811" width="12.453125" style="49" customWidth="1"/>
    <col min="11812" max="12033" width="8.7265625" style="49"/>
    <col min="12034" max="12034" width="11.81640625" style="49" bestFit="1" customWidth="1"/>
    <col min="12035" max="12039" width="9.26953125" style="49" bestFit="1" customWidth="1"/>
    <col min="12040" max="12040" width="9.54296875" style="49" bestFit="1" customWidth="1"/>
    <col min="12041" max="12041" width="9.26953125" style="49" bestFit="1" customWidth="1"/>
    <col min="12042" max="12042" width="9.54296875" style="49" bestFit="1" customWidth="1"/>
    <col min="12043" max="12043" width="3.26953125" style="49" customWidth="1"/>
    <col min="12044" max="12044" width="9.26953125" style="49" bestFit="1" customWidth="1"/>
    <col min="12045" max="12045" width="10.453125" style="49" bestFit="1" customWidth="1"/>
    <col min="12046" max="12046" width="9.26953125" style="49" bestFit="1" customWidth="1"/>
    <col min="12047" max="12047" width="9.26953125" style="49" customWidth="1"/>
    <col min="12048" max="12051" width="9.26953125" style="49" bestFit="1" customWidth="1"/>
    <col min="12052" max="12052" width="9.26953125" style="49" customWidth="1"/>
    <col min="12053" max="12054" width="9.26953125" style="49" bestFit="1" customWidth="1"/>
    <col min="12055" max="12055" width="3.26953125" style="49" customWidth="1"/>
    <col min="12056" max="12056" width="9.54296875" style="49" bestFit="1" customWidth="1"/>
    <col min="12057" max="12059" width="9.26953125" style="49" bestFit="1" customWidth="1"/>
    <col min="12060" max="12066" width="8.7265625" style="49"/>
    <col min="12067" max="12067" width="12.453125" style="49" customWidth="1"/>
    <col min="12068" max="12289" width="8.7265625" style="49"/>
    <col min="12290" max="12290" width="11.81640625" style="49" bestFit="1" customWidth="1"/>
    <col min="12291" max="12295" width="9.26953125" style="49" bestFit="1" customWidth="1"/>
    <col min="12296" max="12296" width="9.54296875" style="49" bestFit="1" customWidth="1"/>
    <col min="12297" max="12297" width="9.26953125" style="49" bestFit="1" customWidth="1"/>
    <col min="12298" max="12298" width="9.54296875" style="49" bestFit="1" customWidth="1"/>
    <col min="12299" max="12299" width="3.26953125" style="49" customWidth="1"/>
    <col min="12300" max="12300" width="9.26953125" style="49" bestFit="1" customWidth="1"/>
    <col min="12301" max="12301" width="10.453125" style="49" bestFit="1" customWidth="1"/>
    <col min="12302" max="12302" width="9.26953125" style="49" bestFit="1" customWidth="1"/>
    <col min="12303" max="12303" width="9.26953125" style="49" customWidth="1"/>
    <col min="12304" max="12307" width="9.26953125" style="49" bestFit="1" customWidth="1"/>
    <col min="12308" max="12308" width="9.26953125" style="49" customWidth="1"/>
    <col min="12309" max="12310" width="9.26953125" style="49" bestFit="1" customWidth="1"/>
    <col min="12311" max="12311" width="3.26953125" style="49" customWidth="1"/>
    <col min="12312" max="12312" width="9.54296875" style="49" bestFit="1" customWidth="1"/>
    <col min="12313" max="12315" width="9.26953125" style="49" bestFit="1" customWidth="1"/>
    <col min="12316" max="12322" width="8.7265625" style="49"/>
    <col min="12323" max="12323" width="12.453125" style="49" customWidth="1"/>
    <col min="12324" max="12545" width="8.7265625" style="49"/>
    <col min="12546" max="12546" width="11.81640625" style="49" bestFit="1" customWidth="1"/>
    <col min="12547" max="12551" width="9.26953125" style="49" bestFit="1" customWidth="1"/>
    <col min="12552" max="12552" width="9.54296875" style="49" bestFit="1" customWidth="1"/>
    <col min="12553" max="12553" width="9.26953125" style="49" bestFit="1" customWidth="1"/>
    <col min="12554" max="12554" width="9.54296875" style="49" bestFit="1" customWidth="1"/>
    <col min="12555" max="12555" width="3.26953125" style="49" customWidth="1"/>
    <col min="12556" max="12556" width="9.26953125" style="49" bestFit="1" customWidth="1"/>
    <col min="12557" max="12557" width="10.453125" style="49" bestFit="1" customWidth="1"/>
    <col min="12558" max="12558" width="9.26953125" style="49" bestFit="1" customWidth="1"/>
    <col min="12559" max="12559" width="9.26953125" style="49" customWidth="1"/>
    <col min="12560" max="12563" width="9.26953125" style="49" bestFit="1" customWidth="1"/>
    <col min="12564" max="12564" width="9.26953125" style="49" customWidth="1"/>
    <col min="12565" max="12566" width="9.26953125" style="49" bestFit="1" customWidth="1"/>
    <col min="12567" max="12567" width="3.26953125" style="49" customWidth="1"/>
    <col min="12568" max="12568" width="9.54296875" style="49" bestFit="1" customWidth="1"/>
    <col min="12569" max="12571" width="9.26953125" style="49" bestFit="1" customWidth="1"/>
    <col min="12572" max="12578" width="8.7265625" style="49"/>
    <col min="12579" max="12579" width="12.453125" style="49" customWidth="1"/>
    <col min="12580" max="12801" width="8.7265625" style="49"/>
    <col min="12802" max="12802" width="11.81640625" style="49" bestFit="1" customWidth="1"/>
    <col min="12803" max="12807" width="9.26953125" style="49" bestFit="1" customWidth="1"/>
    <col min="12808" max="12808" width="9.54296875" style="49" bestFit="1" customWidth="1"/>
    <col min="12809" max="12809" width="9.26953125" style="49" bestFit="1" customWidth="1"/>
    <col min="12810" max="12810" width="9.54296875" style="49" bestFit="1" customWidth="1"/>
    <col min="12811" max="12811" width="3.26953125" style="49" customWidth="1"/>
    <col min="12812" max="12812" width="9.26953125" style="49" bestFit="1" customWidth="1"/>
    <col min="12813" max="12813" width="10.453125" style="49" bestFit="1" customWidth="1"/>
    <col min="12814" max="12814" width="9.26953125" style="49" bestFit="1" customWidth="1"/>
    <col min="12815" max="12815" width="9.26953125" style="49" customWidth="1"/>
    <col min="12816" max="12819" width="9.26953125" style="49" bestFit="1" customWidth="1"/>
    <col min="12820" max="12820" width="9.26953125" style="49" customWidth="1"/>
    <col min="12821" max="12822" width="9.26953125" style="49" bestFit="1" customWidth="1"/>
    <col min="12823" max="12823" width="3.26953125" style="49" customWidth="1"/>
    <col min="12824" max="12824" width="9.54296875" style="49" bestFit="1" customWidth="1"/>
    <col min="12825" max="12827" width="9.26953125" style="49" bestFit="1" customWidth="1"/>
    <col min="12828" max="12834" width="8.7265625" style="49"/>
    <col min="12835" max="12835" width="12.453125" style="49" customWidth="1"/>
    <col min="12836" max="13057" width="8.7265625" style="49"/>
    <col min="13058" max="13058" width="11.81640625" style="49" bestFit="1" customWidth="1"/>
    <col min="13059" max="13063" width="9.26953125" style="49" bestFit="1" customWidth="1"/>
    <col min="13064" max="13064" width="9.54296875" style="49" bestFit="1" customWidth="1"/>
    <col min="13065" max="13065" width="9.26953125" style="49" bestFit="1" customWidth="1"/>
    <col min="13066" max="13066" width="9.54296875" style="49" bestFit="1" customWidth="1"/>
    <col min="13067" max="13067" width="3.26953125" style="49" customWidth="1"/>
    <col min="13068" max="13068" width="9.26953125" style="49" bestFit="1" customWidth="1"/>
    <col min="13069" max="13069" width="10.453125" style="49" bestFit="1" customWidth="1"/>
    <col min="13070" max="13070" width="9.26953125" style="49" bestFit="1" customWidth="1"/>
    <col min="13071" max="13071" width="9.26953125" style="49" customWidth="1"/>
    <col min="13072" max="13075" width="9.26953125" style="49" bestFit="1" customWidth="1"/>
    <col min="13076" max="13076" width="9.26953125" style="49" customWidth="1"/>
    <col min="13077" max="13078" width="9.26953125" style="49" bestFit="1" customWidth="1"/>
    <col min="13079" max="13079" width="3.26953125" style="49" customWidth="1"/>
    <col min="13080" max="13080" width="9.54296875" style="49" bestFit="1" customWidth="1"/>
    <col min="13081" max="13083" width="9.26953125" style="49" bestFit="1" customWidth="1"/>
    <col min="13084" max="13090" width="8.7265625" style="49"/>
    <col min="13091" max="13091" width="12.453125" style="49" customWidth="1"/>
    <col min="13092" max="13313" width="8.7265625" style="49"/>
    <col min="13314" max="13314" width="11.81640625" style="49" bestFit="1" customWidth="1"/>
    <col min="13315" max="13319" width="9.26953125" style="49" bestFit="1" customWidth="1"/>
    <col min="13320" max="13320" width="9.54296875" style="49" bestFit="1" customWidth="1"/>
    <col min="13321" max="13321" width="9.26953125" style="49" bestFit="1" customWidth="1"/>
    <col min="13322" max="13322" width="9.54296875" style="49" bestFit="1" customWidth="1"/>
    <col min="13323" max="13323" width="3.26953125" style="49" customWidth="1"/>
    <col min="13324" max="13324" width="9.26953125" style="49" bestFit="1" customWidth="1"/>
    <col min="13325" max="13325" width="10.453125" style="49" bestFit="1" customWidth="1"/>
    <col min="13326" max="13326" width="9.26953125" style="49" bestFit="1" customWidth="1"/>
    <col min="13327" max="13327" width="9.26953125" style="49" customWidth="1"/>
    <col min="13328" max="13331" width="9.26953125" style="49" bestFit="1" customWidth="1"/>
    <col min="13332" max="13332" width="9.26953125" style="49" customWidth="1"/>
    <col min="13333" max="13334" width="9.26953125" style="49" bestFit="1" customWidth="1"/>
    <col min="13335" max="13335" width="3.26953125" style="49" customWidth="1"/>
    <col min="13336" max="13336" width="9.54296875" style="49" bestFit="1" customWidth="1"/>
    <col min="13337" max="13339" width="9.26953125" style="49" bestFit="1" customWidth="1"/>
    <col min="13340" max="13346" width="8.7265625" style="49"/>
    <col min="13347" max="13347" width="12.453125" style="49" customWidth="1"/>
    <col min="13348" max="13569" width="8.7265625" style="49"/>
    <col min="13570" max="13570" width="11.81640625" style="49" bestFit="1" customWidth="1"/>
    <col min="13571" max="13575" width="9.26953125" style="49" bestFit="1" customWidth="1"/>
    <col min="13576" max="13576" width="9.54296875" style="49" bestFit="1" customWidth="1"/>
    <col min="13577" max="13577" width="9.26953125" style="49" bestFit="1" customWidth="1"/>
    <col min="13578" max="13578" width="9.54296875" style="49" bestFit="1" customWidth="1"/>
    <col min="13579" max="13579" width="3.26953125" style="49" customWidth="1"/>
    <col min="13580" max="13580" width="9.26953125" style="49" bestFit="1" customWidth="1"/>
    <col min="13581" max="13581" width="10.453125" style="49" bestFit="1" customWidth="1"/>
    <col min="13582" max="13582" width="9.26953125" style="49" bestFit="1" customWidth="1"/>
    <col min="13583" max="13583" width="9.26953125" style="49" customWidth="1"/>
    <col min="13584" max="13587" width="9.26953125" style="49" bestFit="1" customWidth="1"/>
    <col min="13588" max="13588" width="9.26953125" style="49" customWidth="1"/>
    <col min="13589" max="13590" width="9.26953125" style="49" bestFit="1" customWidth="1"/>
    <col min="13591" max="13591" width="3.26953125" style="49" customWidth="1"/>
    <col min="13592" max="13592" width="9.54296875" style="49" bestFit="1" customWidth="1"/>
    <col min="13593" max="13595" width="9.26953125" style="49" bestFit="1" customWidth="1"/>
    <col min="13596" max="13602" width="8.7265625" style="49"/>
    <col min="13603" max="13603" width="12.453125" style="49" customWidth="1"/>
    <col min="13604" max="13825" width="8.7265625" style="49"/>
    <col min="13826" max="13826" width="11.81640625" style="49" bestFit="1" customWidth="1"/>
    <col min="13827" max="13831" width="9.26953125" style="49" bestFit="1" customWidth="1"/>
    <col min="13832" max="13832" width="9.54296875" style="49" bestFit="1" customWidth="1"/>
    <col min="13833" max="13833" width="9.26953125" style="49" bestFit="1" customWidth="1"/>
    <col min="13834" max="13834" width="9.54296875" style="49" bestFit="1" customWidth="1"/>
    <col min="13835" max="13835" width="3.26953125" style="49" customWidth="1"/>
    <col min="13836" max="13836" width="9.26953125" style="49" bestFit="1" customWidth="1"/>
    <col min="13837" max="13837" width="10.453125" style="49" bestFit="1" customWidth="1"/>
    <col min="13838" max="13838" width="9.26953125" style="49" bestFit="1" customWidth="1"/>
    <col min="13839" max="13839" width="9.26953125" style="49" customWidth="1"/>
    <col min="13840" max="13843" width="9.26953125" style="49" bestFit="1" customWidth="1"/>
    <col min="13844" max="13844" width="9.26953125" style="49" customWidth="1"/>
    <col min="13845" max="13846" width="9.26953125" style="49" bestFit="1" customWidth="1"/>
    <col min="13847" max="13847" width="3.26953125" style="49" customWidth="1"/>
    <col min="13848" max="13848" width="9.54296875" style="49" bestFit="1" customWidth="1"/>
    <col min="13849" max="13851" width="9.26953125" style="49" bestFit="1" customWidth="1"/>
    <col min="13852" max="13858" width="8.7265625" style="49"/>
    <col min="13859" max="13859" width="12.453125" style="49" customWidth="1"/>
    <col min="13860" max="14081" width="8.7265625" style="49"/>
    <col min="14082" max="14082" width="11.81640625" style="49" bestFit="1" customWidth="1"/>
    <col min="14083" max="14087" width="9.26953125" style="49" bestFit="1" customWidth="1"/>
    <col min="14088" max="14088" width="9.54296875" style="49" bestFit="1" customWidth="1"/>
    <col min="14089" max="14089" width="9.26953125" style="49" bestFit="1" customWidth="1"/>
    <col min="14090" max="14090" width="9.54296875" style="49" bestFit="1" customWidth="1"/>
    <col min="14091" max="14091" width="3.26953125" style="49" customWidth="1"/>
    <col min="14092" max="14092" width="9.26953125" style="49" bestFit="1" customWidth="1"/>
    <col min="14093" max="14093" width="10.453125" style="49" bestFit="1" customWidth="1"/>
    <col min="14094" max="14094" width="9.26953125" style="49" bestFit="1" customWidth="1"/>
    <col min="14095" max="14095" width="9.26953125" style="49" customWidth="1"/>
    <col min="14096" max="14099" width="9.26953125" style="49" bestFit="1" customWidth="1"/>
    <col min="14100" max="14100" width="9.26953125" style="49" customWidth="1"/>
    <col min="14101" max="14102" width="9.26953125" style="49" bestFit="1" customWidth="1"/>
    <col min="14103" max="14103" width="3.26953125" style="49" customWidth="1"/>
    <col min="14104" max="14104" width="9.54296875" style="49" bestFit="1" customWidth="1"/>
    <col min="14105" max="14107" width="9.26953125" style="49" bestFit="1" customWidth="1"/>
    <col min="14108" max="14114" width="8.7265625" style="49"/>
    <col min="14115" max="14115" width="12.453125" style="49" customWidth="1"/>
    <col min="14116" max="14337" width="8.7265625" style="49"/>
    <col min="14338" max="14338" width="11.81640625" style="49" bestFit="1" customWidth="1"/>
    <col min="14339" max="14343" width="9.26953125" style="49" bestFit="1" customWidth="1"/>
    <col min="14344" max="14344" width="9.54296875" style="49" bestFit="1" customWidth="1"/>
    <col min="14345" max="14345" width="9.26953125" style="49" bestFit="1" customWidth="1"/>
    <col min="14346" max="14346" width="9.54296875" style="49" bestFit="1" customWidth="1"/>
    <col min="14347" max="14347" width="3.26953125" style="49" customWidth="1"/>
    <col min="14348" max="14348" width="9.26953125" style="49" bestFit="1" customWidth="1"/>
    <col min="14349" max="14349" width="10.453125" style="49" bestFit="1" customWidth="1"/>
    <col min="14350" max="14350" width="9.26953125" style="49" bestFit="1" customWidth="1"/>
    <col min="14351" max="14351" width="9.26953125" style="49" customWidth="1"/>
    <col min="14352" max="14355" width="9.26953125" style="49" bestFit="1" customWidth="1"/>
    <col min="14356" max="14356" width="9.26953125" style="49" customWidth="1"/>
    <col min="14357" max="14358" width="9.26953125" style="49" bestFit="1" customWidth="1"/>
    <col min="14359" max="14359" width="3.26953125" style="49" customWidth="1"/>
    <col min="14360" max="14360" width="9.54296875" style="49" bestFit="1" customWidth="1"/>
    <col min="14361" max="14363" width="9.26953125" style="49" bestFit="1" customWidth="1"/>
    <col min="14364" max="14370" width="8.7265625" style="49"/>
    <col min="14371" max="14371" width="12.453125" style="49" customWidth="1"/>
    <col min="14372" max="14593" width="8.7265625" style="49"/>
    <col min="14594" max="14594" width="11.81640625" style="49" bestFit="1" customWidth="1"/>
    <col min="14595" max="14599" width="9.26953125" style="49" bestFit="1" customWidth="1"/>
    <col min="14600" max="14600" width="9.54296875" style="49" bestFit="1" customWidth="1"/>
    <col min="14601" max="14601" width="9.26953125" style="49" bestFit="1" customWidth="1"/>
    <col min="14602" max="14602" width="9.54296875" style="49" bestFit="1" customWidth="1"/>
    <col min="14603" max="14603" width="3.26953125" style="49" customWidth="1"/>
    <col min="14604" max="14604" width="9.26953125" style="49" bestFit="1" customWidth="1"/>
    <col min="14605" max="14605" width="10.453125" style="49" bestFit="1" customWidth="1"/>
    <col min="14606" max="14606" width="9.26953125" style="49" bestFit="1" customWidth="1"/>
    <col min="14607" max="14607" width="9.26953125" style="49" customWidth="1"/>
    <col min="14608" max="14611" width="9.26953125" style="49" bestFit="1" customWidth="1"/>
    <col min="14612" max="14612" width="9.26953125" style="49" customWidth="1"/>
    <col min="14613" max="14614" width="9.26953125" style="49" bestFit="1" customWidth="1"/>
    <col min="14615" max="14615" width="3.26953125" style="49" customWidth="1"/>
    <col min="14616" max="14616" width="9.54296875" style="49" bestFit="1" customWidth="1"/>
    <col min="14617" max="14619" width="9.26953125" style="49" bestFit="1" customWidth="1"/>
    <col min="14620" max="14626" width="8.7265625" style="49"/>
    <col min="14627" max="14627" width="12.453125" style="49" customWidth="1"/>
    <col min="14628" max="14849" width="8.7265625" style="49"/>
    <col min="14850" max="14850" width="11.81640625" style="49" bestFit="1" customWidth="1"/>
    <col min="14851" max="14855" width="9.26953125" style="49" bestFit="1" customWidth="1"/>
    <col min="14856" max="14856" width="9.54296875" style="49" bestFit="1" customWidth="1"/>
    <col min="14857" max="14857" width="9.26953125" style="49" bestFit="1" customWidth="1"/>
    <col min="14858" max="14858" width="9.54296875" style="49" bestFit="1" customWidth="1"/>
    <col min="14859" max="14859" width="3.26953125" style="49" customWidth="1"/>
    <col min="14860" max="14860" width="9.26953125" style="49" bestFit="1" customWidth="1"/>
    <col min="14861" max="14861" width="10.453125" style="49" bestFit="1" customWidth="1"/>
    <col min="14862" max="14862" width="9.26953125" style="49" bestFit="1" customWidth="1"/>
    <col min="14863" max="14863" width="9.26953125" style="49" customWidth="1"/>
    <col min="14864" max="14867" width="9.26953125" style="49" bestFit="1" customWidth="1"/>
    <col min="14868" max="14868" width="9.26953125" style="49" customWidth="1"/>
    <col min="14869" max="14870" width="9.26953125" style="49" bestFit="1" customWidth="1"/>
    <col min="14871" max="14871" width="3.26953125" style="49" customWidth="1"/>
    <col min="14872" max="14872" width="9.54296875" style="49" bestFit="1" customWidth="1"/>
    <col min="14873" max="14875" width="9.26953125" style="49" bestFit="1" customWidth="1"/>
    <col min="14876" max="14882" width="8.7265625" style="49"/>
    <col min="14883" max="14883" width="12.453125" style="49" customWidth="1"/>
    <col min="14884" max="15105" width="8.7265625" style="49"/>
    <col min="15106" max="15106" width="11.81640625" style="49" bestFit="1" customWidth="1"/>
    <col min="15107" max="15111" width="9.26953125" style="49" bestFit="1" customWidth="1"/>
    <col min="15112" max="15112" width="9.54296875" style="49" bestFit="1" customWidth="1"/>
    <col min="15113" max="15113" width="9.26953125" style="49" bestFit="1" customWidth="1"/>
    <col min="15114" max="15114" width="9.54296875" style="49" bestFit="1" customWidth="1"/>
    <col min="15115" max="15115" width="3.26953125" style="49" customWidth="1"/>
    <col min="15116" max="15116" width="9.26953125" style="49" bestFit="1" customWidth="1"/>
    <col min="15117" max="15117" width="10.453125" style="49" bestFit="1" customWidth="1"/>
    <col min="15118" max="15118" width="9.26953125" style="49" bestFit="1" customWidth="1"/>
    <col min="15119" max="15119" width="9.26953125" style="49" customWidth="1"/>
    <col min="15120" max="15123" width="9.26953125" style="49" bestFit="1" customWidth="1"/>
    <col min="15124" max="15124" width="9.26953125" style="49" customWidth="1"/>
    <col min="15125" max="15126" width="9.26953125" style="49" bestFit="1" customWidth="1"/>
    <col min="15127" max="15127" width="3.26953125" style="49" customWidth="1"/>
    <col min="15128" max="15128" width="9.54296875" style="49" bestFit="1" customWidth="1"/>
    <col min="15129" max="15131" width="9.26953125" style="49" bestFit="1" customWidth="1"/>
    <col min="15132" max="15138" width="8.7265625" style="49"/>
    <col min="15139" max="15139" width="12.453125" style="49" customWidth="1"/>
    <col min="15140" max="15361" width="8.7265625" style="49"/>
    <col min="15362" max="15362" width="11.81640625" style="49" bestFit="1" customWidth="1"/>
    <col min="15363" max="15367" width="9.26953125" style="49" bestFit="1" customWidth="1"/>
    <col min="15368" max="15368" width="9.54296875" style="49" bestFit="1" customWidth="1"/>
    <col min="15369" max="15369" width="9.26953125" style="49" bestFit="1" customWidth="1"/>
    <col min="15370" max="15370" width="9.54296875" style="49" bestFit="1" customWidth="1"/>
    <col min="15371" max="15371" width="3.26953125" style="49" customWidth="1"/>
    <col min="15372" max="15372" width="9.26953125" style="49" bestFit="1" customWidth="1"/>
    <col min="15373" max="15373" width="10.453125" style="49" bestFit="1" customWidth="1"/>
    <col min="15374" max="15374" width="9.26953125" style="49" bestFit="1" customWidth="1"/>
    <col min="15375" max="15375" width="9.26953125" style="49" customWidth="1"/>
    <col min="15376" max="15379" width="9.26953125" style="49" bestFit="1" customWidth="1"/>
    <col min="15380" max="15380" width="9.26953125" style="49" customWidth="1"/>
    <col min="15381" max="15382" width="9.26953125" style="49" bestFit="1" customWidth="1"/>
    <col min="15383" max="15383" width="3.26953125" style="49" customWidth="1"/>
    <col min="15384" max="15384" width="9.54296875" style="49" bestFit="1" customWidth="1"/>
    <col min="15385" max="15387" width="9.26953125" style="49" bestFit="1" customWidth="1"/>
    <col min="15388" max="15394" width="8.7265625" style="49"/>
    <col min="15395" max="15395" width="12.453125" style="49" customWidth="1"/>
    <col min="15396" max="15617" width="8.7265625" style="49"/>
    <col min="15618" max="15618" width="11.81640625" style="49" bestFit="1" customWidth="1"/>
    <col min="15619" max="15623" width="9.26953125" style="49" bestFit="1" customWidth="1"/>
    <col min="15624" max="15624" width="9.54296875" style="49" bestFit="1" customWidth="1"/>
    <col min="15625" max="15625" width="9.26953125" style="49" bestFit="1" customWidth="1"/>
    <col min="15626" max="15626" width="9.54296875" style="49" bestFit="1" customWidth="1"/>
    <col min="15627" max="15627" width="3.26953125" style="49" customWidth="1"/>
    <col min="15628" max="15628" width="9.26953125" style="49" bestFit="1" customWidth="1"/>
    <col min="15629" max="15629" width="10.453125" style="49" bestFit="1" customWidth="1"/>
    <col min="15630" max="15630" width="9.26953125" style="49" bestFit="1" customWidth="1"/>
    <col min="15631" max="15631" width="9.26953125" style="49" customWidth="1"/>
    <col min="15632" max="15635" width="9.26953125" style="49" bestFit="1" customWidth="1"/>
    <col min="15636" max="15636" width="9.26953125" style="49" customWidth="1"/>
    <col min="15637" max="15638" width="9.26953125" style="49" bestFit="1" customWidth="1"/>
    <col min="15639" max="15639" width="3.26953125" style="49" customWidth="1"/>
    <col min="15640" max="15640" width="9.54296875" style="49" bestFit="1" customWidth="1"/>
    <col min="15641" max="15643" width="9.26953125" style="49" bestFit="1" customWidth="1"/>
    <col min="15644" max="15650" width="8.7265625" style="49"/>
    <col min="15651" max="15651" width="12.453125" style="49" customWidth="1"/>
    <col min="15652" max="15873" width="8.7265625" style="49"/>
    <col min="15874" max="15874" width="11.81640625" style="49" bestFit="1" customWidth="1"/>
    <col min="15875" max="15879" width="9.26953125" style="49" bestFit="1" customWidth="1"/>
    <col min="15880" max="15880" width="9.54296875" style="49" bestFit="1" customWidth="1"/>
    <col min="15881" max="15881" width="9.26953125" style="49" bestFit="1" customWidth="1"/>
    <col min="15882" max="15882" width="9.54296875" style="49" bestFit="1" customWidth="1"/>
    <col min="15883" max="15883" width="3.26953125" style="49" customWidth="1"/>
    <col min="15884" max="15884" width="9.26953125" style="49" bestFit="1" customWidth="1"/>
    <col min="15885" max="15885" width="10.453125" style="49" bestFit="1" customWidth="1"/>
    <col min="15886" max="15886" width="9.26953125" style="49" bestFit="1" customWidth="1"/>
    <col min="15887" max="15887" width="9.26953125" style="49" customWidth="1"/>
    <col min="15888" max="15891" width="9.26953125" style="49" bestFit="1" customWidth="1"/>
    <col min="15892" max="15892" width="9.26953125" style="49" customWidth="1"/>
    <col min="15893" max="15894" width="9.26953125" style="49" bestFit="1" customWidth="1"/>
    <col min="15895" max="15895" width="3.26953125" style="49" customWidth="1"/>
    <col min="15896" max="15896" width="9.54296875" style="49" bestFit="1" customWidth="1"/>
    <col min="15897" max="15899" width="9.26953125" style="49" bestFit="1" customWidth="1"/>
    <col min="15900" max="15906" width="8.7265625" style="49"/>
    <col min="15907" max="15907" width="12.453125" style="49" customWidth="1"/>
    <col min="15908" max="16129" width="8.7265625" style="49"/>
    <col min="16130" max="16130" width="11.81640625" style="49" bestFit="1" customWidth="1"/>
    <col min="16131" max="16135" width="9.26953125" style="49" bestFit="1" customWidth="1"/>
    <col min="16136" max="16136" width="9.54296875" style="49" bestFit="1" customWidth="1"/>
    <col min="16137" max="16137" width="9.26953125" style="49" bestFit="1" customWidth="1"/>
    <col min="16138" max="16138" width="9.54296875" style="49" bestFit="1" customWidth="1"/>
    <col min="16139" max="16139" width="3.26953125" style="49" customWidth="1"/>
    <col min="16140" max="16140" width="9.26953125" style="49" bestFit="1" customWidth="1"/>
    <col min="16141" max="16141" width="10.453125" style="49" bestFit="1" customWidth="1"/>
    <col min="16142" max="16142" width="9.26953125" style="49" bestFit="1" customWidth="1"/>
    <col min="16143" max="16143" width="9.26953125" style="49" customWidth="1"/>
    <col min="16144" max="16147" width="9.26953125" style="49" bestFit="1" customWidth="1"/>
    <col min="16148" max="16148" width="9.26953125" style="49" customWidth="1"/>
    <col min="16149" max="16150" width="9.26953125" style="49" bestFit="1" customWidth="1"/>
    <col min="16151" max="16151" width="3.26953125" style="49" customWidth="1"/>
    <col min="16152" max="16152" width="9.54296875" style="49" bestFit="1" customWidth="1"/>
    <col min="16153" max="16155" width="9.26953125" style="49" bestFit="1" customWidth="1"/>
    <col min="16156" max="16162" width="8.7265625" style="49"/>
    <col min="16163" max="16163" width="12.453125" style="49" customWidth="1"/>
    <col min="16164" max="16384" width="8.7265625" style="49"/>
  </cols>
  <sheetData>
    <row r="1" spans="1:31" s="2" customFormat="1" ht="45" customHeight="1" x14ac:dyDescent="0.35">
      <c r="A1" s="38" t="s">
        <v>170</v>
      </c>
    </row>
    <row r="2" spans="1:31" s="3" customFormat="1" ht="20.25" customHeight="1" x14ac:dyDescent="0.35">
      <c r="A2" s="3" t="s">
        <v>15</v>
      </c>
    </row>
    <row r="3" spans="1:31" s="3" customFormat="1" ht="20.25" customHeight="1" x14ac:dyDescent="0.35">
      <c r="A3" s="44" t="s">
        <v>158</v>
      </c>
    </row>
    <row r="4" spans="1:31" s="3" customFormat="1" ht="20.25" customHeight="1" x14ac:dyDescent="0.35">
      <c r="A4" s="3" t="s">
        <v>159</v>
      </c>
    </row>
    <row r="5" spans="1:31" s="39" customFormat="1" ht="47.5" customHeight="1" x14ac:dyDescent="0.35">
      <c r="A5" s="55" t="s">
        <v>88</v>
      </c>
      <c r="B5" s="45" t="s">
        <v>161</v>
      </c>
      <c r="C5" s="45" t="s">
        <v>70</v>
      </c>
      <c r="D5" s="45" t="s">
        <v>71</v>
      </c>
      <c r="E5" s="45" t="s">
        <v>72</v>
      </c>
      <c r="F5" s="45" t="s">
        <v>166</v>
      </c>
      <c r="G5" s="46" t="s">
        <v>36</v>
      </c>
      <c r="H5" s="45" t="s">
        <v>167</v>
      </c>
      <c r="I5" s="45" t="s">
        <v>162</v>
      </c>
      <c r="J5" s="45" t="s">
        <v>168</v>
      </c>
      <c r="K5" s="45" t="s">
        <v>163</v>
      </c>
      <c r="L5" s="45" t="s">
        <v>91</v>
      </c>
      <c r="M5" s="45" t="s">
        <v>74</v>
      </c>
      <c r="N5" s="45" t="s">
        <v>75</v>
      </c>
      <c r="O5" s="45" t="s">
        <v>76</v>
      </c>
      <c r="P5" s="62" t="s">
        <v>77</v>
      </c>
      <c r="Q5" s="62" t="s">
        <v>78</v>
      </c>
      <c r="R5" s="62" t="s">
        <v>169</v>
      </c>
      <c r="S5" s="62" t="s">
        <v>45</v>
      </c>
      <c r="T5" s="62" t="s">
        <v>46</v>
      </c>
      <c r="U5" s="62" t="s">
        <v>164</v>
      </c>
      <c r="V5" s="62" t="s">
        <v>80</v>
      </c>
      <c r="W5" s="62" t="s">
        <v>81</v>
      </c>
      <c r="X5" s="62" t="s">
        <v>64</v>
      </c>
      <c r="Y5" s="62" t="s">
        <v>65</v>
      </c>
      <c r="Z5" s="62" t="s">
        <v>66</v>
      </c>
      <c r="AA5" s="62" t="s">
        <v>83</v>
      </c>
      <c r="AB5" s="62" t="s">
        <v>84</v>
      </c>
      <c r="AC5" s="62" t="s">
        <v>85</v>
      </c>
      <c r="AD5" s="62" t="s">
        <v>86</v>
      </c>
      <c r="AE5" s="62" t="s">
        <v>87</v>
      </c>
    </row>
    <row r="6" spans="1:31" x14ac:dyDescent="0.35">
      <c r="A6" s="50" t="s">
        <v>171</v>
      </c>
      <c r="B6" s="51">
        <f>'Quarter supply'!B6</f>
        <v>76593.349999999991</v>
      </c>
      <c r="C6" s="51">
        <f>'Quarter supply'!H6</f>
        <v>19918.400000000001</v>
      </c>
      <c r="D6" s="51">
        <f>'Quarter supply'!P6</f>
        <v>-30606.929999999997</v>
      </c>
      <c r="E6" s="51">
        <f>'Quarter supply'!X6</f>
        <v>-768.76</v>
      </c>
      <c r="F6" s="51">
        <f>'Quarter supply'!Z6</f>
        <v>1811.5500000000002</v>
      </c>
      <c r="G6" s="51">
        <f>'Quarter supply'!AG6</f>
        <v>66947.610000000015</v>
      </c>
      <c r="H6" s="51">
        <f>'Quarter supply'!AP6</f>
        <v>-1320.4599999999773</v>
      </c>
      <c r="I6" s="51">
        <f>'Quarter demand'!B6</f>
        <v>68268.069999999992</v>
      </c>
      <c r="J6" s="51">
        <f>'Quarter demand'!K6</f>
        <v>-44.999999999999943</v>
      </c>
      <c r="K6" s="51">
        <f>'Quarter demand'!T6</f>
        <v>-14398.679999999997</v>
      </c>
      <c r="L6" s="51">
        <f>'Quarter demand'!AD6</f>
        <v>-13387.259999999998</v>
      </c>
      <c r="M6" s="51">
        <f>'Quarter demand'!AL6</f>
        <v>0</v>
      </c>
      <c r="N6" s="51">
        <f>'Quarter demand'!AS6</f>
        <v>-246.5</v>
      </c>
      <c r="O6" s="51">
        <f>'Quarter demand'!AV6</f>
        <v>-90.039999999999964</v>
      </c>
      <c r="P6" s="51">
        <f>'Quarter demand'!AZ6</f>
        <v>-670.86999999999989</v>
      </c>
      <c r="Q6" s="51">
        <f>'Quarter demand'!BD6</f>
        <v>-4.0099999999999909</v>
      </c>
      <c r="R6" s="51">
        <f>'Quarter demand'!BH6</f>
        <v>0</v>
      </c>
      <c r="S6" s="51">
        <f>'Quarter demand'!BK6</f>
        <v>4349.01</v>
      </c>
      <c r="T6" s="51">
        <f>'Quarter demand'!BT6</f>
        <v>996.01</v>
      </c>
      <c r="U6" s="51">
        <f>'Quarter final consumption'!B6</f>
        <v>48479.37</v>
      </c>
      <c r="V6" s="51">
        <f>'Quarter final consumption'!J6</f>
        <v>1123.97</v>
      </c>
      <c r="W6" s="51">
        <f>'Quarter final consumption'!R6</f>
        <v>8579.08</v>
      </c>
      <c r="X6" s="51">
        <f>'Quarter final consumption'!Z6</f>
        <v>13082.650000000001</v>
      </c>
      <c r="Y6" s="51">
        <f>'Quarter final consumption'!AF6</f>
        <v>16080.11</v>
      </c>
      <c r="Z6" s="51">
        <f>'Quarter final consumption'!AN6</f>
        <v>6372.8</v>
      </c>
      <c r="AA6" s="51">
        <f>'Quarter final consumption'!AV6</f>
        <v>2470.86</v>
      </c>
      <c r="AB6" s="51">
        <f>'Quarter final consumption'!BD6</f>
        <v>2781.1400000000003</v>
      </c>
      <c r="AC6" s="51">
        <f>'Quarter final consumption'!BL6</f>
        <v>389.29999999999995</v>
      </c>
      <c r="AD6" s="51">
        <f>'Quarter final consumption'!BT6</f>
        <v>731.5</v>
      </c>
      <c r="AE6" s="51">
        <f>'Quarter final consumption'!CB6</f>
        <v>3240.76</v>
      </c>
    </row>
    <row r="7" spans="1:31" x14ac:dyDescent="0.35">
      <c r="A7" s="50" t="s">
        <v>172</v>
      </c>
      <c r="B7" s="51">
        <f>'Quarter supply'!B7</f>
        <v>66988.460000000006</v>
      </c>
      <c r="C7" s="51">
        <f>'Quarter supply'!H7</f>
        <v>22100.43</v>
      </c>
      <c r="D7" s="51">
        <f>'Quarter supply'!P7</f>
        <v>-30763.66</v>
      </c>
      <c r="E7" s="51">
        <f>'Quarter supply'!X7</f>
        <v>-861.8</v>
      </c>
      <c r="F7" s="51">
        <f>'Quarter supply'!Z7</f>
        <v>168.29</v>
      </c>
      <c r="G7" s="51">
        <f>'Quarter supply'!AG7</f>
        <v>57631.720000000008</v>
      </c>
      <c r="H7" s="51">
        <f>'Quarter supply'!AP7</f>
        <v>1245.8200000000143</v>
      </c>
      <c r="I7" s="51">
        <f>'Quarter demand'!B7</f>
        <v>56385.899999999994</v>
      </c>
      <c r="J7" s="51">
        <f>'Quarter demand'!K7</f>
        <v>-24.870000000000061</v>
      </c>
      <c r="K7" s="51">
        <f>'Quarter demand'!T7</f>
        <v>-12531.01</v>
      </c>
      <c r="L7" s="51">
        <f>'Quarter demand'!AD7</f>
        <v>-11574.479999999998</v>
      </c>
      <c r="M7" s="51">
        <f>'Quarter demand'!AL7</f>
        <v>0</v>
      </c>
      <c r="N7" s="51">
        <f>'Quarter demand'!AS7</f>
        <v>-152.68000000000029</v>
      </c>
      <c r="O7" s="51">
        <f>'Quarter demand'!AV7</f>
        <v>-77.940000000000055</v>
      </c>
      <c r="P7" s="51">
        <f>'Quarter demand'!AZ7</f>
        <v>-724.56999999999994</v>
      </c>
      <c r="Q7" s="51">
        <f>'Quarter demand'!BD7</f>
        <v>-1.3400000000000034</v>
      </c>
      <c r="R7" s="51">
        <f>'Quarter demand'!BH7</f>
        <v>0</v>
      </c>
      <c r="S7" s="51">
        <f>'Quarter demand'!BK7</f>
        <v>4431.16</v>
      </c>
      <c r="T7" s="51">
        <f>'Quarter demand'!BT7</f>
        <v>854.43</v>
      </c>
      <c r="U7" s="51">
        <f>'Quarter final consumption'!B7</f>
        <v>38544.429999999993</v>
      </c>
      <c r="V7" s="51">
        <f>'Quarter final consumption'!J7</f>
        <v>985.23</v>
      </c>
      <c r="W7" s="51">
        <f>'Quarter final consumption'!R7</f>
        <v>7268.4800000000005</v>
      </c>
      <c r="X7" s="51">
        <f>'Quarter final consumption'!Z7</f>
        <v>13106.029999999999</v>
      </c>
      <c r="Y7" s="51">
        <f>'Quarter final consumption'!AF7</f>
        <v>9293.27</v>
      </c>
      <c r="Z7" s="51">
        <f>'Quarter final consumption'!AN7</f>
        <v>4784.03</v>
      </c>
      <c r="AA7" s="51">
        <f>'Quarter final consumption'!AV7</f>
        <v>1812.4299999999998</v>
      </c>
      <c r="AB7" s="51">
        <f>'Quarter final consumption'!BD7</f>
        <v>2177.29</v>
      </c>
      <c r="AC7" s="51">
        <f>'Quarter final consumption'!BL7</f>
        <v>287.62</v>
      </c>
      <c r="AD7" s="51">
        <f>'Quarter final consumption'!BT7</f>
        <v>506.69</v>
      </c>
      <c r="AE7" s="51">
        <f>'Quarter final consumption'!CB7</f>
        <v>3107.39</v>
      </c>
    </row>
    <row r="8" spans="1:31" x14ac:dyDescent="0.35">
      <c r="A8" s="50" t="s">
        <v>173</v>
      </c>
      <c r="B8" s="51">
        <f>'Quarter supply'!B8</f>
        <v>63631.94</v>
      </c>
      <c r="C8" s="51">
        <f>'Quarter supply'!H8</f>
        <v>19663.82</v>
      </c>
      <c r="D8" s="51">
        <f>'Quarter supply'!P8</f>
        <v>-29405.169999999995</v>
      </c>
      <c r="E8" s="51">
        <f>'Quarter supply'!X8</f>
        <v>-815.16</v>
      </c>
      <c r="F8" s="51">
        <f>'Quarter supply'!Z8</f>
        <v>-1125.3399999999999</v>
      </c>
      <c r="G8" s="51">
        <f>'Quarter supply'!AG8</f>
        <v>51950.090000000011</v>
      </c>
      <c r="H8" s="51">
        <f>'Quarter supply'!AP8</f>
        <v>263.3300000000163</v>
      </c>
      <c r="I8" s="51">
        <f>'Quarter demand'!B8</f>
        <v>51686.759999999995</v>
      </c>
      <c r="J8" s="51">
        <f>'Quarter demand'!K8</f>
        <v>-60.67000000000003</v>
      </c>
      <c r="K8" s="51">
        <f>'Quarter demand'!T8</f>
        <v>-12234.179999999997</v>
      </c>
      <c r="L8" s="51">
        <f>'Quarter demand'!AD8</f>
        <v>-11368.59</v>
      </c>
      <c r="M8" s="51">
        <f>'Quarter demand'!AL8</f>
        <v>0</v>
      </c>
      <c r="N8" s="51">
        <f>'Quarter demand'!AS8</f>
        <v>-179.43999999999869</v>
      </c>
      <c r="O8" s="51">
        <f>'Quarter demand'!AV8</f>
        <v>-79.279999999999973</v>
      </c>
      <c r="P8" s="51">
        <f>'Quarter demand'!AZ8</f>
        <v>-606.94999999999993</v>
      </c>
      <c r="Q8" s="51">
        <f>'Quarter demand'!BD8</f>
        <v>7.9999999999984084E-2</v>
      </c>
      <c r="R8" s="51">
        <f>'Quarter demand'!BH8</f>
        <v>0</v>
      </c>
      <c r="S8" s="51">
        <f>'Quarter demand'!BK8</f>
        <v>4055.4500000000003</v>
      </c>
      <c r="T8" s="51">
        <f>'Quarter demand'!BT8</f>
        <v>924.92000000000007</v>
      </c>
      <c r="U8" s="51">
        <f>'Quarter final consumption'!B8</f>
        <v>34411.54</v>
      </c>
      <c r="V8" s="51">
        <f>'Quarter final consumption'!J8</f>
        <v>906.24999999999989</v>
      </c>
      <c r="W8" s="51">
        <f>'Quarter final consumption'!R8</f>
        <v>6410.11</v>
      </c>
      <c r="X8" s="51">
        <f>'Quarter final consumption'!Z8</f>
        <v>13881.210000000001</v>
      </c>
      <c r="Y8" s="51">
        <f>'Quarter final consumption'!AF8</f>
        <v>5935.93</v>
      </c>
      <c r="Z8" s="51">
        <f>'Quarter final consumption'!AN8</f>
        <v>4090.59</v>
      </c>
      <c r="AA8" s="51">
        <f>'Quarter final consumption'!AV8</f>
        <v>1487.09</v>
      </c>
      <c r="AB8" s="51">
        <f>'Quarter final consumption'!BD8</f>
        <v>1923.84</v>
      </c>
      <c r="AC8" s="51">
        <f>'Quarter final consumption'!BL8</f>
        <v>307.46999999999997</v>
      </c>
      <c r="AD8" s="51">
        <f>'Quarter final consumption'!BT8</f>
        <v>372.19</v>
      </c>
      <c r="AE8" s="51">
        <f>'Quarter final consumption'!CB8</f>
        <v>3187.45</v>
      </c>
    </row>
    <row r="9" spans="1:31" x14ac:dyDescent="0.35">
      <c r="A9" s="50" t="s">
        <v>174</v>
      </c>
      <c r="B9" s="51">
        <f>'Quarter supply'!B9</f>
        <v>80019.28</v>
      </c>
      <c r="C9" s="51">
        <f>'Quarter supply'!H9</f>
        <v>20377.87</v>
      </c>
      <c r="D9" s="51">
        <f>'Quarter supply'!P9</f>
        <v>-31780.22</v>
      </c>
      <c r="E9" s="51">
        <f>'Quarter supply'!X9</f>
        <v>-811.65</v>
      </c>
      <c r="F9" s="51">
        <f>'Quarter supply'!Z9</f>
        <v>-854.98</v>
      </c>
      <c r="G9" s="51">
        <f>'Quarter supply'!AG9</f>
        <v>66950.3</v>
      </c>
      <c r="H9" s="51">
        <f>'Quarter supply'!AP9</f>
        <v>-226.67999999999302</v>
      </c>
      <c r="I9" s="51">
        <f>'Quarter demand'!B9</f>
        <v>67176.98</v>
      </c>
      <c r="J9" s="51">
        <f>'Quarter demand'!K9</f>
        <v>-75.259999999999934</v>
      </c>
      <c r="K9" s="51">
        <f>'Quarter demand'!T9</f>
        <v>-14365.130000000001</v>
      </c>
      <c r="L9" s="51">
        <f>'Quarter demand'!AD9</f>
        <v>-13090.79</v>
      </c>
      <c r="M9" s="51">
        <f>'Quarter demand'!AL9</f>
        <v>0</v>
      </c>
      <c r="N9" s="51">
        <f>'Quarter demand'!AS9</f>
        <v>-548.11999999999898</v>
      </c>
      <c r="O9" s="51">
        <f>'Quarter demand'!AV9</f>
        <v>-127.58999999999992</v>
      </c>
      <c r="P9" s="51">
        <f>'Quarter demand'!AZ9</f>
        <v>-596.85</v>
      </c>
      <c r="Q9" s="51">
        <f>'Quarter demand'!BD9</f>
        <v>-1.7800000000000153</v>
      </c>
      <c r="R9" s="51">
        <f>'Quarter demand'!BH9</f>
        <v>0</v>
      </c>
      <c r="S9" s="51">
        <f>'Quarter demand'!BK9</f>
        <v>4331.8999999999996</v>
      </c>
      <c r="T9" s="51">
        <f>'Quarter demand'!BT9</f>
        <v>1181.6600000000001</v>
      </c>
      <c r="U9" s="51">
        <f>'Quarter final consumption'!B9</f>
        <v>47223.03</v>
      </c>
      <c r="V9" s="51">
        <f>'Quarter final consumption'!J9</f>
        <v>953.5100000000001</v>
      </c>
      <c r="W9" s="51">
        <f>'Quarter final consumption'!R9</f>
        <v>8285.5299999999988</v>
      </c>
      <c r="X9" s="51">
        <f>'Quarter final consumption'!Z9</f>
        <v>13702.1</v>
      </c>
      <c r="Y9" s="51">
        <f>'Quarter final consumption'!AF9</f>
        <v>14816.590000000002</v>
      </c>
      <c r="Z9" s="51">
        <f>'Quarter final consumption'!AN9</f>
        <v>6263.6900000000005</v>
      </c>
      <c r="AA9" s="51">
        <f>'Quarter final consumption'!AV9</f>
        <v>2370.14</v>
      </c>
      <c r="AB9" s="51">
        <f>'Quarter final consumption'!BD9</f>
        <v>2809.36</v>
      </c>
      <c r="AC9" s="51">
        <f>'Quarter final consumption'!BL9</f>
        <v>374.84999999999997</v>
      </c>
      <c r="AD9" s="51">
        <f>'Quarter final consumption'!BT9</f>
        <v>709.34</v>
      </c>
      <c r="AE9" s="51">
        <f>'Quarter final consumption'!CB9</f>
        <v>3201.61</v>
      </c>
    </row>
    <row r="10" spans="1:31" x14ac:dyDescent="0.35">
      <c r="A10" s="50" t="s">
        <v>175</v>
      </c>
      <c r="B10" s="51">
        <f>'Quarter supply'!B10</f>
        <v>80226.63</v>
      </c>
      <c r="C10" s="51">
        <f>'Quarter supply'!H10</f>
        <v>19628.32</v>
      </c>
      <c r="D10" s="51">
        <f>'Quarter supply'!P10</f>
        <v>-30087.93</v>
      </c>
      <c r="E10" s="51">
        <f>'Quarter supply'!X10</f>
        <v>-670.73</v>
      </c>
      <c r="F10" s="51">
        <f>'Quarter supply'!Z10</f>
        <v>1491.85</v>
      </c>
      <c r="G10" s="51">
        <f>'Quarter supply'!AG10</f>
        <v>70588.14</v>
      </c>
      <c r="H10" s="51">
        <f>'Quarter supply'!AP10</f>
        <v>561.7899999999936</v>
      </c>
      <c r="I10" s="51">
        <f>'Quarter demand'!B10</f>
        <v>70026.350000000006</v>
      </c>
      <c r="J10" s="51">
        <f>'Quarter demand'!K10</f>
        <v>-11.439999999999998</v>
      </c>
      <c r="K10" s="51">
        <f>'Quarter demand'!T10</f>
        <v>-14736.880000000001</v>
      </c>
      <c r="L10" s="51">
        <f>'Quarter demand'!AD10</f>
        <v>-12997.199999999999</v>
      </c>
      <c r="M10" s="51">
        <f>'Quarter demand'!AL10</f>
        <v>-356.82999999999993</v>
      </c>
      <c r="N10" s="51">
        <f>'Quarter demand'!AS10</f>
        <v>-552.5</v>
      </c>
      <c r="O10" s="51">
        <f>'Quarter demand'!AV10</f>
        <v>-155.06999999999994</v>
      </c>
      <c r="P10" s="51">
        <f>'Quarter demand'!AZ10</f>
        <v>-687.33</v>
      </c>
      <c r="Q10" s="51">
        <f>'Quarter demand'!BD10</f>
        <v>12.049999999999997</v>
      </c>
      <c r="R10" s="51">
        <f>'Quarter demand'!BH10</f>
        <v>0</v>
      </c>
      <c r="S10" s="51">
        <f>'Quarter demand'!BK10</f>
        <v>4344.2199999999993</v>
      </c>
      <c r="T10" s="51">
        <f>'Quarter demand'!BT10</f>
        <v>1002.9000000000001</v>
      </c>
      <c r="U10" s="51">
        <f>'Quarter final consumption'!B10</f>
        <v>50345.750000000007</v>
      </c>
      <c r="V10" s="51">
        <f>'Quarter final consumption'!J10</f>
        <v>951.40000000000009</v>
      </c>
      <c r="W10" s="51">
        <f>'Quarter final consumption'!R10</f>
        <v>9108.82</v>
      </c>
      <c r="X10" s="51">
        <f>'Quarter final consumption'!Z10</f>
        <v>13210.480000000001</v>
      </c>
      <c r="Y10" s="51">
        <f>'Quarter final consumption'!AF10</f>
        <v>16840.080000000002</v>
      </c>
      <c r="Z10" s="51">
        <f>'Quarter final consumption'!AN10</f>
        <v>6962.07</v>
      </c>
      <c r="AA10" s="51">
        <f>'Quarter final consumption'!AV10</f>
        <v>3020.9799999999996</v>
      </c>
      <c r="AB10" s="51">
        <f>'Quarter final consumption'!BD10</f>
        <v>2739.11</v>
      </c>
      <c r="AC10" s="51">
        <f>'Quarter final consumption'!BL10</f>
        <v>389.53999999999996</v>
      </c>
      <c r="AD10" s="51">
        <f>'Quarter final consumption'!BT10</f>
        <v>812.44</v>
      </c>
      <c r="AE10" s="51">
        <f>'Quarter final consumption'!CB10</f>
        <v>3272.9</v>
      </c>
    </row>
    <row r="11" spans="1:31" x14ac:dyDescent="0.35">
      <c r="A11" s="50" t="s">
        <v>176</v>
      </c>
      <c r="B11" s="51">
        <f>'Quarter supply'!B11</f>
        <v>69706.299999999988</v>
      </c>
      <c r="C11" s="51">
        <f>'Quarter supply'!H11</f>
        <v>19009.95</v>
      </c>
      <c r="D11" s="51">
        <f>'Quarter supply'!P11</f>
        <v>-32278.849999999995</v>
      </c>
      <c r="E11" s="51">
        <f>'Quarter supply'!X11</f>
        <v>-599.72</v>
      </c>
      <c r="F11" s="51">
        <f>'Quarter supply'!Z11</f>
        <v>-118.94999999999999</v>
      </c>
      <c r="G11" s="51">
        <f>'Quarter supply'!AG11</f>
        <v>55718.729999999989</v>
      </c>
      <c r="H11" s="51">
        <f>'Quarter supply'!AP11</f>
        <v>37.959999999984575</v>
      </c>
      <c r="I11" s="51">
        <f>'Quarter demand'!B11</f>
        <v>55680.770000000004</v>
      </c>
      <c r="J11" s="51">
        <f>'Quarter demand'!K11</f>
        <v>-17.17999999999995</v>
      </c>
      <c r="K11" s="51">
        <f>'Quarter demand'!T11</f>
        <v>-12578.83</v>
      </c>
      <c r="L11" s="51">
        <f>'Quarter demand'!AD11</f>
        <v>-11258.019999999999</v>
      </c>
      <c r="M11" s="51">
        <f>'Quarter demand'!AL11</f>
        <v>-287.7700000000001</v>
      </c>
      <c r="N11" s="51">
        <f>'Quarter demand'!AS11</f>
        <v>-180.22000000000116</v>
      </c>
      <c r="O11" s="51">
        <f>'Quarter demand'!AV11</f>
        <v>-121.69999999999982</v>
      </c>
      <c r="P11" s="51">
        <f>'Quarter demand'!AZ11</f>
        <v>-733.43000000000006</v>
      </c>
      <c r="Q11" s="51">
        <f>'Quarter demand'!BD11</f>
        <v>2.3100000000000023</v>
      </c>
      <c r="R11" s="51">
        <f>'Quarter demand'!BH11</f>
        <v>0</v>
      </c>
      <c r="S11" s="51">
        <f>'Quarter demand'!BK11</f>
        <v>3942.84</v>
      </c>
      <c r="T11" s="51">
        <f>'Quarter demand'!BT11</f>
        <v>891.49</v>
      </c>
      <c r="U11" s="51">
        <f>'Quarter final consumption'!B11</f>
        <v>38406.120000000003</v>
      </c>
      <c r="V11" s="51">
        <f>'Quarter final consumption'!J11</f>
        <v>785.8599999999999</v>
      </c>
      <c r="W11" s="51">
        <f>'Quarter final consumption'!R11</f>
        <v>7280.53</v>
      </c>
      <c r="X11" s="51">
        <f>'Quarter final consumption'!Z11</f>
        <v>13471.26</v>
      </c>
      <c r="Y11" s="51">
        <f>'Quarter final consumption'!AF11</f>
        <v>8918.94</v>
      </c>
      <c r="Z11" s="51">
        <f>'Quarter final consumption'!AN11</f>
        <v>4841.9500000000007</v>
      </c>
      <c r="AA11" s="51">
        <f>'Quarter final consumption'!AV11</f>
        <v>1949.6999999999998</v>
      </c>
      <c r="AB11" s="51">
        <f>'Quarter final consumption'!BD11</f>
        <v>2101.04</v>
      </c>
      <c r="AC11" s="51">
        <f>'Quarter final consumption'!BL11</f>
        <v>285.82</v>
      </c>
      <c r="AD11" s="51">
        <f>'Quarter final consumption'!BT11</f>
        <v>505.39000000000004</v>
      </c>
      <c r="AE11" s="51">
        <f>'Quarter final consumption'!CB11</f>
        <v>3107.58</v>
      </c>
    </row>
    <row r="12" spans="1:31" x14ac:dyDescent="0.35">
      <c r="A12" s="50" t="s">
        <v>177</v>
      </c>
      <c r="B12" s="51">
        <f>'Quarter supply'!B12</f>
        <v>67370.64</v>
      </c>
      <c r="C12" s="51">
        <f>'Quarter supply'!H12</f>
        <v>20655.46</v>
      </c>
      <c r="D12" s="51">
        <f>'Quarter supply'!P12</f>
        <v>-34199.35</v>
      </c>
      <c r="E12" s="51">
        <f>'Quarter supply'!X12</f>
        <v>-647</v>
      </c>
      <c r="F12" s="51">
        <f>'Quarter supply'!Z12</f>
        <v>-2493.5500000000002</v>
      </c>
      <c r="G12" s="51">
        <f>'Quarter supply'!AG12</f>
        <v>50686.200000000004</v>
      </c>
      <c r="H12" s="51">
        <f>'Quarter supply'!AP12</f>
        <v>-880.94999999998981</v>
      </c>
      <c r="I12" s="51">
        <f>'Quarter demand'!B12</f>
        <v>51567.149999999994</v>
      </c>
      <c r="J12" s="51">
        <f>'Quarter demand'!K12</f>
        <v>2.910000000000025</v>
      </c>
      <c r="K12" s="51">
        <f>'Quarter demand'!T12</f>
        <v>-12126.240000000002</v>
      </c>
      <c r="L12" s="51">
        <f>'Quarter demand'!AD12</f>
        <v>-10817.529999999999</v>
      </c>
      <c r="M12" s="51">
        <f>'Quarter demand'!AL12</f>
        <v>-255.35000000000008</v>
      </c>
      <c r="N12" s="51">
        <f>'Quarter demand'!AS12</f>
        <v>-290.76000000000204</v>
      </c>
      <c r="O12" s="51">
        <f>'Quarter demand'!AV12</f>
        <v>-115.3599999999999</v>
      </c>
      <c r="P12" s="51">
        <f>'Quarter demand'!AZ12</f>
        <v>-649.49</v>
      </c>
      <c r="Q12" s="51">
        <f>'Quarter demand'!BD12</f>
        <v>2.25</v>
      </c>
      <c r="R12" s="51">
        <f>'Quarter demand'!BH12</f>
        <v>0</v>
      </c>
      <c r="S12" s="51">
        <f>'Quarter demand'!BK12</f>
        <v>3888.81</v>
      </c>
      <c r="T12" s="51">
        <f>'Quarter demand'!BT12</f>
        <v>919.15000000000009</v>
      </c>
      <c r="U12" s="51">
        <f>'Quarter final consumption'!B12</f>
        <v>34470.03</v>
      </c>
      <c r="V12" s="51">
        <f>'Quarter final consumption'!J12</f>
        <v>684.70999999999992</v>
      </c>
      <c r="W12" s="51">
        <f>'Quarter final consumption'!R12</f>
        <v>6799.19</v>
      </c>
      <c r="X12" s="51">
        <f>'Quarter final consumption'!Z12</f>
        <v>14139.04</v>
      </c>
      <c r="Y12" s="51">
        <f>'Quarter final consumption'!AF12</f>
        <v>5732.1799999999994</v>
      </c>
      <c r="Z12" s="51">
        <f>'Quarter final consumption'!AN12</f>
        <v>3783.52</v>
      </c>
      <c r="AA12" s="51">
        <f>'Quarter final consumption'!AV12</f>
        <v>1268.49</v>
      </c>
      <c r="AB12" s="51">
        <f>'Quarter final consumption'!BD12</f>
        <v>1882.76</v>
      </c>
      <c r="AC12" s="51">
        <f>'Quarter final consumption'!BL12</f>
        <v>264.89</v>
      </c>
      <c r="AD12" s="51">
        <f>'Quarter final consumption'!BT12</f>
        <v>367.38</v>
      </c>
      <c r="AE12" s="51">
        <f>'Quarter final consumption'!CB12</f>
        <v>3331.39</v>
      </c>
    </row>
    <row r="13" spans="1:31" x14ac:dyDescent="0.35">
      <c r="A13" s="50" t="s">
        <v>178</v>
      </c>
      <c r="B13" s="51">
        <f>'Quarter supply'!B13</f>
        <v>80351.839999999997</v>
      </c>
      <c r="C13" s="51">
        <f>'Quarter supply'!H13</f>
        <v>21182.720000000001</v>
      </c>
      <c r="D13" s="51">
        <f>'Quarter supply'!P13</f>
        <v>-35409.96</v>
      </c>
      <c r="E13" s="51">
        <f>'Quarter supply'!X13</f>
        <v>-553.36</v>
      </c>
      <c r="F13" s="51">
        <f>'Quarter supply'!Z13</f>
        <v>1726.8200000000002</v>
      </c>
      <c r="G13" s="51">
        <f>'Quarter supply'!AG13</f>
        <v>67298.06</v>
      </c>
      <c r="H13" s="51">
        <f>'Quarter supply'!AP13</f>
        <v>996.13000000000466</v>
      </c>
      <c r="I13" s="51">
        <f>'Quarter demand'!B13</f>
        <v>66301.929999999993</v>
      </c>
      <c r="J13" s="51">
        <f>'Quarter demand'!K13</f>
        <v>6.1999999999999886</v>
      </c>
      <c r="K13" s="51">
        <f>'Quarter demand'!T13</f>
        <v>-14368.749999999998</v>
      </c>
      <c r="L13" s="51">
        <f>'Quarter demand'!AD13</f>
        <v>-12687.93</v>
      </c>
      <c r="M13" s="51">
        <f>'Quarter demand'!AL13</f>
        <v>-338.53999999999996</v>
      </c>
      <c r="N13" s="51">
        <f>'Quarter demand'!AS13</f>
        <v>-554.43000000000029</v>
      </c>
      <c r="O13" s="51">
        <f>'Quarter demand'!AV13</f>
        <v>-107.36000000000013</v>
      </c>
      <c r="P13" s="51">
        <f>'Quarter demand'!AZ13</f>
        <v>-677.99</v>
      </c>
      <c r="Q13" s="51">
        <f>'Quarter demand'!BD13</f>
        <v>-2.5</v>
      </c>
      <c r="R13" s="51">
        <f>'Quarter demand'!BH13</f>
        <v>0</v>
      </c>
      <c r="S13" s="51">
        <f>'Quarter demand'!BK13</f>
        <v>4215.3099999999995</v>
      </c>
      <c r="T13" s="51">
        <f>'Quarter demand'!BT13</f>
        <v>1044.75</v>
      </c>
      <c r="U13" s="51">
        <f>'Quarter final consumption'!B13</f>
        <v>46274.610000000008</v>
      </c>
      <c r="V13" s="51">
        <f>'Quarter final consumption'!J13</f>
        <v>717.76</v>
      </c>
      <c r="W13" s="51">
        <f>'Quarter final consumption'!R13</f>
        <v>7893.5700000000006</v>
      </c>
      <c r="X13" s="51">
        <f>'Quarter final consumption'!Z13</f>
        <v>14032.320000000002</v>
      </c>
      <c r="Y13" s="51">
        <f>'Quarter final consumption'!AF13</f>
        <v>14629.65</v>
      </c>
      <c r="Z13" s="51">
        <f>'Quarter final consumption'!AN13</f>
        <v>5750.31</v>
      </c>
      <c r="AA13" s="51">
        <f>'Quarter final consumption'!AV13</f>
        <v>1976.0400000000002</v>
      </c>
      <c r="AB13" s="51">
        <f>'Quarter final consumption'!BD13</f>
        <v>2646.5699999999997</v>
      </c>
      <c r="AC13" s="51">
        <f>'Quarter final consumption'!BL13</f>
        <v>346.29</v>
      </c>
      <c r="AD13" s="51">
        <f>'Quarter final consumption'!BT13</f>
        <v>781.41000000000008</v>
      </c>
      <c r="AE13" s="51">
        <f>'Quarter final consumption'!CB13</f>
        <v>3251</v>
      </c>
    </row>
    <row r="14" spans="1:31" x14ac:dyDescent="0.35">
      <c r="A14" s="50" t="s">
        <v>179</v>
      </c>
      <c r="B14" s="51">
        <f>'Quarter supply'!B14</f>
        <v>81029.89</v>
      </c>
      <c r="C14" s="51">
        <f>'Quarter supply'!H14</f>
        <v>22703.490000000005</v>
      </c>
      <c r="D14" s="51">
        <f>'Quarter supply'!P14</f>
        <v>-35336.92</v>
      </c>
      <c r="E14" s="51">
        <f>'Quarter supply'!X14</f>
        <v>-541.11</v>
      </c>
      <c r="F14" s="51">
        <f>'Quarter supply'!Z14</f>
        <v>3437.29</v>
      </c>
      <c r="G14" s="51">
        <f>'Quarter supply'!AG14</f>
        <v>71292.639999999985</v>
      </c>
      <c r="H14" s="51">
        <f>'Quarter supply'!AP14</f>
        <v>1289.9000000000087</v>
      </c>
      <c r="I14" s="51">
        <f>'Quarter demand'!B14</f>
        <v>70002.739999999976</v>
      </c>
      <c r="J14" s="51">
        <f>'Quarter demand'!K14</f>
        <v>-3.7399999999999807</v>
      </c>
      <c r="K14" s="51">
        <f>'Quarter demand'!T14</f>
        <v>-14445.349999999995</v>
      </c>
      <c r="L14" s="51">
        <f>'Quarter demand'!AD14</f>
        <v>-12870.139999999998</v>
      </c>
      <c r="M14" s="51">
        <f>'Quarter demand'!AL14</f>
        <v>-316.87999999999988</v>
      </c>
      <c r="N14" s="51">
        <f>'Quarter demand'!AS14</f>
        <v>-511.56000000000131</v>
      </c>
      <c r="O14" s="51">
        <f>'Quarter demand'!AV14</f>
        <v>-54.720000000000027</v>
      </c>
      <c r="P14" s="51">
        <f>'Quarter demand'!AZ14</f>
        <v>-691.58</v>
      </c>
      <c r="Q14" s="51">
        <f>'Quarter demand'!BD14</f>
        <v>-0.46999999999999886</v>
      </c>
      <c r="R14" s="51">
        <f>'Quarter demand'!BH14</f>
        <v>0</v>
      </c>
      <c r="S14" s="51">
        <f>'Quarter demand'!BK14</f>
        <v>4305.8599999999997</v>
      </c>
      <c r="T14" s="51">
        <f>'Quarter demand'!BT14</f>
        <v>1280.96</v>
      </c>
      <c r="U14" s="51">
        <f>'Quarter final consumption'!B14</f>
        <v>50006.46</v>
      </c>
      <c r="V14" s="51">
        <f>'Quarter final consumption'!J14</f>
        <v>607.15</v>
      </c>
      <c r="W14" s="51">
        <f>'Quarter final consumption'!R14</f>
        <v>9595.15</v>
      </c>
      <c r="X14" s="51">
        <f>'Quarter final consumption'!Z14</f>
        <v>13498.67</v>
      </c>
      <c r="Y14" s="51">
        <f>'Quarter final consumption'!AF14</f>
        <v>16537.82</v>
      </c>
      <c r="Z14" s="51">
        <f>'Quarter final consumption'!AN14</f>
        <v>6460.2599999999993</v>
      </c>
      <c r="AA14" s="51">
        <f>'Quarter final consumption'!AV14</f>
        <v>2564.92</v>
      </c>
      <c r="AB14" s="51">
        <f>'Quarter final consumption'!BD14</f>
        <v>2662.38</v>
      </c>
      <c r="AC14" s="51">
        <f>'Quarter final consumption'!BL14</f>
        <v>349.18</v>
      </c>
      <c r="AD14" s="51">
        <f>'Quarter final consumption'!BT14</f>
        <v>883.78000000000009</v>
      </c>
      <c r="AE14" s="51">
        <f>'Quarter final consumption'!CB14</f>
        <v>3307.41</v>
      </c>
    </row>
    <row r="15" spans="1:31" x14ac:dyDescent="0.35">
      <c r="A15" s="50" t="s">
        <v>180</v>
      </c>
      <c r="B15" s="51">
        <f>'Quarter supply'!B15</f>
        <v>69656.41</v>
      </c>
      <c r="C15" s="51">
        <f>'Quarter supply'!H15</f>
        <v>23148.74</v>
      </c>
      <c r="D15" s="51">
        <f>'Quarter supply'!P15</f>
        <v>-35987.440000000002</v>
      </c>
      <c r="E15" s="51">
        <f>'Quarter supply'!X15</f>
        <v>-693.97</v>
      </c>
      <c r="F15" s="51">
        <f>'Quarter supply'!Z15</f>
        <v>109.58000000000004</v>
      </c>
      <c r="G15" s="51">
        <f>'Quarter supply'!AG15</f>
        <v>56233.320000000007</v>
      </c>
      <c r="H15" s="51">
        <f>'Quarter supply'!AP15</f>
        <v>-570.21999999999389</v>
      </c>
      <c r="I15" s="51">
        <f>'Quarter demand'!B15</f>
        <v>56803.54</v>
      </c>
      <c r="J15" s="51">
        <f>'Quarter demand'!K15</f>
        <v>-11.930000000000007</v>
      </c>
      <c r="K15" s="51">
        <f>'Quarter demand'!T15</f>
        <v>-12708.019999999999</v>
      </c>
      <c r="L15" s="51">
        <f>'Quarter demand'!AD15</f>
        <v>-11294.07</v>
      </c>
      <c r="M15" s="51">
        <f>'Quarter demand'!AL15</f>
        <v>-222.43999999999994</v>
      </c>
      <c r="N15" s="51">
        <f>'Quarter demand'!AS15</f>
        <v>-371.5</v>
      </c>
      <c r="O15" s="51">
        <f>'Quarter demand'!AV15</f>
        <v>-97.349999999999909</v>
      </c>
      <c r="P15" s="51">
        <f>'Quarter demand'!AZ15</f>
        <v>-723.76</v>
      </c>
      <c r="Q15" s="51">
        <v>0</v>
      </c>
      <c r="R15" s="51">
        <f>'Quarter demand'!BH15</f>
        <v>0</v>
      </c>
      <c r="S15" s="51">
        <f>'Quarter demand'!BK15</f>
        <v>3978.48</v>
      </c>
      <c r="T15" s="51">
        <f>'Quarter demand'!BT15</f>
        <v>983.35</v>
      </c>
      <c r="U15" s="51">
        <f>'Quarter final consumption'!B15</f>
        <v>39099.120000000003</v>
      </c>
      <c r="V15" s="51">
        <f>'Quarter final consumption'!J15</f>
        <v>566.38</v>
      </c>
      <c r="W15" s="51">
        <f>'Quarter final consumption'!R15</f>
        <v>7727.43</v>
      </c>
      <c r="X15" s="51">
        <f>'Quarter final consumption'!Z15</f>
        <v>13569.06</v>
      </c>
      <c r="Y15" s="51">
        <f>'Quarter final consumption'!AF15</f>
        <v>9145.82</v>
      </c>
      <c r="Z15" s="51">
        <f>'Quarter final consumption'!AN15</f>
        <v>5208.0200000000004</v>
      </c>
      <c r="AA15" s="51">
        <f>'Quarter final consumption'!AV15</f>
        <v>1925.0600000000002</v>
      </c>
      <c r="AB15" s="51">
        <f>'Quarter final consumption'!BD15</f>
        <v>2357.4300000000003</v>
      </c>
      <c r="AC15" s="51">
        <f>'Quarter final consumption'!BL15</f>
        <v>270.52</v>
      </c>
      <c r="AD15" s="51">
        <f>'Quarter final consumption'!BT15</f>
        <v>655.01</v>
      </c>
      <c r="AE15" s="51">
        <f>'Quarter final consumption'!CB15</f>
        <v>2882.41</v>
      </c>
    </row>
    <row r="16" spans="1:31" x14ac:dyDescent="0.35">
      <c r="A16" s="50" t="s">
        <v>181</v>
      </c>
      <c r="B16" s="51">
        <f>'Quarter supply'!B16</f>
        <v>63732.37</v>
      </c>
      <c r="C16" s="51">
        <f>'Quarter supply'!H16</f>
        <v>23841.21</v>
      </c>
      <c r="D16" s="51">
        <f>'Quarter supply'!P16</f>
        <v>-33882.14</v>
      </c>
      <c r="E16" s="51">
        <f>'Quarter supply'!X16</f>
        <v>-588.71</v>
      </c>
      <c r="F16" s="51">
        <f>'Quarter supply'!Z16</f>
        <v>-1637.8706252610209</v>
      </c>
      <c r="G16" s="51">
        <f>'Quarter supply'!AG16</f>
        <v>51660.060000000005</v>
      </c>
      <c r="H16" s="51">
        <f>'Quarter supply'!AP16</f>
        <v>-352.90999999999622</v>
      </c>
      <c r="I16" s="51">
        <f>'Quarter demand'!B16</f>
        <v>52012.97</v>
      </c>
      <c r="J16" s="51">
        <f>'Quarter demand'!K16</f>
        <v>22.520000000000017</v>
      </c>
      <c r="K16" s="51">
        <f>'Quarter demand'!T16</f>
        <v>-12486.490000000002</v>
      </c>
      <c r="L16" s="51">
        <f>'Quarter demand'!AD16</f>
        <v>-11084.89</v>
      </c>
      <c r="M16" s="51">
        <f>'Quarter demand'!AL16</f>
        <v>-177.82</v>
      </c>
      <c r="N16" s="51">
        <f>'Quarter demand'!AS16</f>
        <v>-534.95000000000073</v>
      </c>
      <c r="O16" s="51">
        <f>'Quarter demand'!AV16</f>
        <v>-169.79999999999995</v>
      </c>
      <c r="P16" s="51">
        <f>'Quarter demand'!AZ16</f>
        <v>-521.85</v>
      </c>
      <c r="Q16" s="51">
        <f>'Quarter demand'!BD16</f>
        <v>2.8200000000000074</v>
      </c>
      <c r="R16" s="51">
        <f>'Quarter demand'!BH16</f>
        <v>0</v>
      </c>
      <c r="S16" s="51">
        <f>'Quarter demand'!BK16</f>
        <v>3732.47</v>
      </c>
      <c r="T16" s="51">
        <f>'Quarter demand'!BT16</f>
        <v>1004.8</v>
      </c>
      <c r="U16" s="51">
        <f>'Quarter final consumption'!B16</f>
        <v>34757.340000000004</v>
      </c>
      <c r="V16" s="51">
        <f>'Quarter final consumption'!J16</f>
        <v>477.38000000000005</v>
      </c>
      <c r="W16" s="51">
        <f>'Quarter final consumption'!R16</f>
        <v>6872.11</v>
      </c>
      <c r="X16" s="51">
        <f>'Quarter final consumption'!Z16</f>
        <v>14381.35</v>
      </c>
      <c r="Y16" s="51">
        <f>'Quarter final consumption'!AF16</f>
        <v>6009.25</v>
      </c>
      <c r="Z16" s="51">
        <f>'Quarter final consumption'!AN16</f>
        <v>4161.17</v>
      </c>
      <c r="AA16" s="51">
        <f>'Quarter final consumption'!AV16</f>
        <v>1419.2199999999998</v>
      </c>
      <c r="AB16" s="51">
        <f>'Quarter final consumption'!BD16</f>
        <v>2046.1100000000001</v>
      </c>
      <c r="AC16" s="51">
        <f>'Quarter final consumption'!BL16</f>
        <v>271.33</v>
      </c>
      <c r="AD16" s="51">
        <f>'Quarter final consumption'!BT16</f>
        <v>424.51</v>
      </c>
      <c r="AE16" s="51">
        <f>'Quarter final consumption'!CB16</f>
        <v>2856.08</v>
      </c>
    </row>
    <row r="17" spans="1:31" x14ac:dyDescent="0.35">
      <c r="A17" s="50" t="s">
        <v>182</v>
      </c>
      <c r="B17" s="51">
        <f>'Quarter supply'!B17</f>
        <v>74270.949999999983</v>
      </c>
      <c r="C17" s="51">
        <f>'Quarter supply'!H17</f>
        <v>24665.559999999998</v>
      </c>
      <c r="D17" s="51">
        <f>'Quarter supply'!P17</f>
        <v>-32123.779999999995</v>
      </c>
      <c r="E17" s="51">
        <f>'Quarter supply'!X17</f>
        <v>-383.79</v>
      </c>
      <c r="F17" s="51">
        <f>'Quarter supply'!Z17</f>
        <v>1474.86</v>
      </c>
      <c r="G17" s="51">
        <f>'Quarter supply'!AG17</f>
        <v>67903.799999999988</v>
      </c>
      <c r="H17" s="51">
        <f>'Quarter supply'!AP17</f>
        <v>708.21999999997206</v>
      </c>
      <c r="I17" s="51">
        <f>'Quarter demand'!B17</f>
        <v>67195.580000000016</v>
      </c>
      <c r="J17" s="51">
        <f>'Quarter demand'!K17</f>
        <v>5.6900000000000261</v>
      </c>
      <c r="K17" s="51">
        <f>'Quarter demand'!T17</f>
        <v>-14188.140000000001</v>
      </c>
      <c r="L17" s="51">
        <f>'Quarter demand'!AD17</f>
        <v>-12826.879999999997</v>
      </c>
      <c r="M17" s="51">
        <f>'Quarter demand'!AL17</f>
        <v>-293.14</v>
      </c>
      <c r="N17" s="51">
        <f>'Quarter demand'!AS17</f>
        <v>-376.90999999999985</v>
      </c>
      <c r="O17" s="51">
        <f>'Quarter demand'!AV17</f>
        <v>-123.93000000000006</v>
      </c>
      <c r="P17" s="51">
        <f>'Quarter demand'!AZ17</f>
        <v>-579.48</v>
      </c>
      <c r="Q17" s="51">
        <f>'Quarter demand'!BD17</f>
        <v>12.200000000000003</v>
      </c>
      <c r="R17" s="51">
        <f>'Quarter demand'!BH17</f>
        <v>0</v>
      </c>
      <c r="S17" s="51">
        <f>'Quarter demand'!BK17</f>
        <v>4213.29</v>
      </c>
      <c r="T17" s="51">
        <f>'Quarter demand'!BT17</f>
        <v>1206.1199999999999</v>
      </c>
      <c r="U17" s="51">
        <f>'Quarter final consumption'!B17</f>
        <v>47631.11</v>
      </c>
      <c r="V17" s="51">
        <f>'Quarter final consumption'!J17</f>
        <v>593.80999999999995</v>
      </c>
      <c r="W17" s="51">
        <f>'Quarter final consumption'!R17</f>
        <v>8912.2900000000009</v>
      </c>
      <c r="X17" s="51">
        <f>'Quarter final consumption'!Z17</f>
        <v>14012.03</v>
      </c>
      <c r="Y17" s="51">
        <f>'Quarter final consumption'!AF17</f>
        <v>15158.289999999999</v>
      </c>
      <c r="Z17" s="51">
        <f>'Quarter final consumption'!AN17</f>
        <v>5717.43</v>
      </c>
      <c r="AA17" s="51">
        <f>'Quarter final consumption'!AV17</f>
        <v>2180.4300000000003</v>
      </c>
      <c r="AB17" s="51">
        <f>'Quarter final consumption'!BD17</f>
        <v>2504.0200000000004</v>
      </c>
      <c r="AC17" s="51">
        <f>'Quarter final consumption'!BL17</f>
        <v>325.18</v>
      </c>
      <c r="AD17" s="51">
        <f>'Quarter final consumption'!BT17</f>
        <v>707.8</v>
      </c>
      <c r="AE17" s="51">
        <f>'Quarter final consumption'!CB17</f>
        <v>3237.26</v>
      </c>
    </row>
    <row r="18" spans="1:31" x14ac:dyDescent="0.35">
      <c r="A18" s="50" t="s">
        <v>183</v>
      </c>
      <c r="B18" s="51">
        <f>'Quarter supply'!B18</f>
        <v>74032.78</v>
      </c>
      <c r="C18" s="51">
        <f>'Quarter supply'!H18</f>
        <v>25368.77</v>
      </c>
      <c r="D18" s="51">
        <f>'Quarter supply'!P18</f>
        <v>-29743.7</v>
      </c>
      <c r="E18" s="51">
        <f>'Quarter supply'!X18</f>
        <v>-520.32000000000005</v>
      </c>
      <c r="F18" s="51">
        <f>'Quarter supply'!Z18</f>
        <v>2924.76</v>
      </c>
      <c r="G18" s="51">
        <f>'Quarter supply'!AG18</f>
        <v>72062.290000000008</v>
      </c>
      <c r="H18" s="51">
        <f>'Quarter supply'!AP18</f>
        <v>-814.22999999999593</v>
      </c>
      <c r="I18" s="51">
        <f>'Quarter demand'!B18</f>
        <v>72876.52</v>
      </c>
      <c r="J18" s="51">
        <f>'Quarter demand'!K18</f>
        <v>14.430000000000121</v>
      </c>
      <c r="K18" s="51">
        <f>'Quarter demand'!T18</f>
        <v>-15583.160000000003</v>
      </c>
      <c r="L18" s="51">
        <f>'Quarter demand'!AD18</f>
        <v>-13891.300000000001</v>
      </c>
      <c r="M18" s="51">
        <f>'Quarter demand'!AL18</f>
        <v>-310.93000000000006</v>
      </c>
      <c r="N18" s="51">
        <f>'Quarter demand'!AS18</f>
        <v>-660.47999999999956</v>
      </c>
      <c r="O18" s="51">
        <f>'Quarter demand'!AV18</f>
        <v>-117.58999999999992</v>
      </c>
      <c r="P18" s="51">
        <f>'Quarter demand'!AZ18</f>
        <v>-606.76</v>
      </c>
      <c r="Q18" s="51">
        <f>'Quarter demand'!BD18</f>
        <v>3.8999999999999915</v>
      </c>
      <c r="R18" s="51">
        <f>'Quarter demand'!BH18</f>
        <v>0</v>
      </c>
      <c r="S18" s="51">
        <f>'Quarter demand'!BK18</f>
        <v>4302.3900000000003</v>
      </c>
      <c r="T18" s="51">
        <f>'Quarter demand'!BT18</f>
        <v>1076.5900000000001</v>
      </c>
      <c r="U18" s="51">
        <f>'Quarter final consumption'!B18</f>
        <v>51970.55</v>
      </c>
      <c r="V18" s="51">
        <f>'Quarter final consumption'!J18</f>
        <v>628.44000000000005</v>
      </c>
      <c r="W18" s="51">
        <f>'Quarter final consumption'!R18</f>
        <v>10142.239999999998</v>
      </c>
      <c r="X18" s="51">
        <f>'Quarter final consumption'!Z18</f>
        <v>13595.74</v>
      </c>
      <c r="Y18" s="51">
        <f>'Quarter final consumption'!AF18</f>
        <v>18079.120000000003</v>
      </c>
      <c r="Z18" s="51">
        <f>'Quarter final consumption'!AN18</f>
        <v>6836.0299999999988</v>
      </c>
      <c r="AA18" s="51">
        <f>'Quarter final consumption'!AV18</f>
        <v>2551.6999999999998</v>
      </c>
      <c r="AB18" s="51">
        <f>'Quarter final consumption'!BD18</f>
        <v>3032.55</v>
      </c>
      <c r="AC18" s="51">
        <f>'Quarter final consumption'!BL18</f>
        <v>424.86000000000007</v>
      </c>
      <c r="AD18" s="51">
        <f>'Quarter final consumption'!BT18</f>
        <v>826.92000000000007</v>
      </c>
      <c r="AE18" s="51">
        <f>'Quarter final consumption'!CB18</f>
        <v>2688.98</v>
      </c>
    </row>
    <row r="19" spans="1:31" x14ac:dyDescent="0.35">
      <c r="A19" s="50" t="s">
        <v>184</v>
      </c>
      <c r="B19" s="51">
        <f>'Quarter supply'!B19</f>
        <v>66483.91</v>
      </c>
      <c r="C19" s="51">
        <f>'Quarter supply'!H19</f>
        <v>25402.220000000005</v>
      </c>
      <c r="D19" s="51">
        <f>'Quarter supply'!P19</f>
        <v>-32162.550000000003</v>
      </c>
      <c r="E19" s="51">
        <f>'Quarter supply'!X19</f>
        <v>-678.8</v>
      </c>
      <c r="F19" s="51">
        <f>'Quarter supply'!Z19</f>
        <v>-2167.7000000000003</v>
      </c>
      <c r="G19" s="51">
        <f>'Quarter supply'!AG19</f>
        <v>56877.079999999994</v>
      </c>
      <c r="H19" s="51">
        <f>'Quarter supply'!AP19</f>
        <v>-485.79000000000087</v>
      </c>
      <c r="I19" s="51">
        <f>'Quarter demand'!B19</f>
        <v>57362.869999999995</v>
      </c>
      <c r="J19" s="51">
        <f>'Quarter demand'!K19</f>
        <v>20.6</v>
      </c>
      <c r="K19" s="51">
        <f>'Quarter demand'!T19</f>
        <v>-12711.829999999998</v>
      </c>
      <c r="L19" s="51">
        <f>'Quarter demand'!AD19</f>
        <v>-11662.52</v>
      </c>
      <c r="M19" s="51">
        <f>'Quarter demand'!AL19</f>
        <v>-249.61999999999995</v>
      </c>
      <c r="N19" s="51">
        <f>'Quarter demand'!AS19</f>
        <v>38.490000000001601</v>
      </c>
      <c r="O19" s="51">
        <f>'Quarter demand'!AV19</f>
        <v>-86.130000000000109</v>
      </c>
      <c r="P19" s="51">
        <f>'Quarter demand'!AZ19</f>
        <v>-749.74</v>
      </c>
      <c r="Q19" s="51">
        <f>'Quarter demand'!BD19</f>
        <v>-2.3100000000000023</v>
      </c>
      <c r="R19" s="51">
        <f>'Quarter demand'!BH19</f>
        <v>0</v>
      </c>
      <c r="S19" s="51">
        <f>'Quarter demand'!BK19</f>
        <v>3943.9999999999995</v>
      </c>
      <c r="T19" s="51">
        <f>'Quarter demand'!BT19</f>
        <v>818.1099999999999</v>
      </c>
      <c r="U19" s="51">
        <f>'Quarter final consumption'!B19</f>
        <v>39891.85</v>
      </c>
      <c r="V19" s="51">
        <f>'Quarter final consumption'!J19</f>
        <v>607.99</v>
      </c>
      <c r="W19" s="51">
        <f>'Quarter final consumption'!R19</f>
        <v>8252.4499999999989</v>
      </c>
      <c r="X19" s="51">
        <f>'Quarter final consumption'!Z19</f>
        <v>13818.9</v>
      </c>
      <c r="Y19" s="51">
        <f>'Quarter final consumption'!AF19</f>
        <v>9334.3499999999985</v>
      </c>
      <c r="Z19" s="51">
        <f>'Quarter final consumption'!AN19</f>
        <v>5122.9399999999996</v>
      </c>
      <c r="AA19" s="51">
        <f>'Quarter final consumption'!AV19</f>
        <v>1815.8700000000001</v>
      </c>
      <c r="AB19" s="51">
        <f>'Quarter final consumption'!BD19</f>
        <v>2468</v>
      </c>
      <c r="AC19" s="51">
        <f>'Quarter final consumption'!BL19</f>
        <v>279.20999999999998</v>
      </c>
      <c r="AD19" s="51">
        <f>'Quarter final consumption'!BT19</f>
        <v>559.8599999999999</v>
      </c>
      <c r="AE19" s="51">
        <f>'Quarter final consumption'!CB19</f>
        <v>2755.22</v>
      </c>
    </row>
    <row r="20" spans="1:31" x14ac:dyDescent="0.35">
      <c r="A20" s="50" t="s">
        <v>185</v>
      </c>
      <c r="B20" s="51">
        <f>'Quarter supply'!B20</f>
        <v>63019.15</v>
      </c>
      <c r="C20" s="51">
        <f>'Quarter supply'!H20</f>
        <v>26318.179999999997</v>
      </c>
      <c r="D20" s="51">
        <f>'Quarter supply'!P20</f>
        <v>-32731.77</v>
      </c>
      <c r="E20" s="51">
        <f>'Quarter supply'!X20</f>
        <v>-677.87</v>
      </c>
      <c r="F20" s="51">
        <f>'Quarter supply'!Z20</f>
        <v>-3019.54</v>
      </c>
      <c r="G20" s="51">
        <f>'Quarter supply'!AG20</f>
        <v>52908.149999999994</v>
      </c>
      <c r="H20" s="51">
        <f>'Quarter supply'!AP20</f>
        <v>1667.9300000000003</v>
      </c>
      <c r="I20" s="51">
        <f>'Quarter demand'!B20</f>
        <v>51240.219999999994</v>
      </c>
      <c r="J20" s="51">
        <f>'Quarter demand'!K20</f>
        <v>-15.580000000000013</v>
      </c>
      <c r="K20" s="51">
        <f>'Quarter demand'!T20</f>
        <v>-12314.639999999998</v>
      </c>
      <c r="L20" s="51">
        <f>'Quarter demand'!AD20</f>
        <v>-11344.779999999999</v>
      </c>
      <c r="M20" s="51">
        <f>'Quarter demand'!AL20</f>
        <v>-224.84999999999997</v>
      </c>
      <c r="N20" s="51">
        <f>'Quarter demand'!AS20</f>
        <v>-106.61999999999898</v>
      </c>
      <c r="O20" s="51">
        <f>'Quarter demand'!AV20</f>
        <v>-55.069999999999936</v>
      </c>
      <c r="P20" s="51">
        <f>'Quarter demand'!AZ20</f>
        <v>-581.78</v>
      </c>
      <c r="Q20" s="51">
        <f>'Quarter demand'!BD20</f>
        <v>-1.5400000000000063</v>
      </c>
      <c r="R20" s="51">
        <f>'Quarter demand'!BH20</f>
        <v>0</v>
      </c>
      <c r="S20" s="51">
        <f>'Quarter demand'!BK20</f>
        <v>3995.8699999999994</v>
      </c>
      <c r="T20" s="51">
        <f>'Quarter demand'!BT20</f>
        <v>759.05000000000007</v>
      </c>
      <c r="U20" s="51">
        <f>'Quarter final consumption'!B20</f>
        <v>34113.409999999996</v>
      </c>
      <c r="V20" s="51">
        <f>'Quarter final consumption'!J20</f>
        <v>525.22</v>
      </c>
      <c r="W20" s="51">
        <f>'Quarter final consumption'!R20</f>
        <v>6766.55</v>
      </c>
      <c r="X20" s="51">
        <f>'Quarter final consumption'!Z20</f>
        <v>14123.17</v>
      </c>
      <c r="Y20" s="51">
        <f>'Quarter final consumption'!AF20</f>
        <v>6068.3</v>
      </c>
      <c r="Z20" s="51">
        <f>'Quarter final consumption'!AN20</f>
        <v>3942.3100000000004</v>
      </c>
      <c r="AA20" s="51">
        <f>'Quarter final consumption'!AV20</f>
        <v>1314.6599999999999</v>
      </c>
      <c r="AB20" s="51">
        <f>'Quarter final consumption'!BD20</f>
        <v>2031.6100000000001</v>
      </c>
      <c r="AC20" s="51">
        <f>'Quarter final consumption'!BL20</f>
        <v>237.91</v>
      </c>
      <c r="AD20" s="51">
        <f>'Quarter final consumption'!BT20</f>
        <v>358.13</v>
      </c>
      <c r="AE20" s="51">
        <f>'Quarter final consumption'!CB20</f>
        <v>2687.86</v>
      </c>
    </row>
    <row r="21" spans="1:31" x14ac:dyDescent="0.35">
      <c r="A21" s="50" t="s">
        <v>186</v>
      </c>
      <c r="B21" s="51">
        <f>'Quarter supply'!B21</f>
        <v>73890.500000000015</v>
      </c>
      <c r="C21" s="51">
        <f>'Quarter supply'!H21</f>
        <v>27247.65</v>
      </c>
      <c r="D21" s="51">
        <f>'Quarter supply'!P21</f>
        <v>-33638.76</v>
      </c>
      <c r="E21" s="51">
        <f>'Quarter supply'!X21</f>
        <v>-556.37</v>
      </c>
      <c r="F21" s="51">
        <f>'Quarter supply'!Z21</f>
        <v>-1204.1000000000001</v>
      </c>
      <c r="G21" s="51">
        <f>'Quarter supply'!AG21</f>
        <v>65738.92</v>
      </c>
      <c r="H21" s="51">
        <f>'Quarter supply'!AP21</f>
        <v>201.17999999999302</v>
      </c>
      <c r="I21" s="51">
        <f>'Quarter demand'!B21</f>
        <v>65537.740000000005</v>
      </c>
      <c r="J21" s="51">
        <f>'Quarter demand'!K21</f>
        <v>-11.439999999999998</v>
      </c>
      <c r="K21" s="51">
        <f>'Quarter demand'!T21</f>
        <v>-14580.630000000001</v>
      </c>
      <c r="L21" s="51">
        <f>'Quarter demand'!AD21</f>
        <v>-13361.909999999998</v>
      </c>
      <c r="M21" s="51">
        <f>'Quarter demand'!AL21</f>
        <v>-286.06999999999994</v>
      </c>
      <c r="N21" s="51">
        <f>'Quarter demand'!AS21</f>
        <v>-372.84999999999854</v>
      </c>
      <c r="O21" s="51">
        <f>'Quarter demand'!AV21</f>
        <v>-45.299999999999955</v>
      </c>
      <c r="P21" s="51">
        <f>'Quarter demand'!AZ21</f>
        <v>-520.76</v>
      </c>
      <c r="Q21" s="51">
        <f>'Quarter demand'!BD21</f>
        <v>6.2599999999999909</v>
      </c>
      <c r="R21" s="51">
        <f>'Quarter demand'!BH21</f>
        <v>0</v>
      </c>
      <c r="S21" s="51">
        <f>'Quarter demand'!BK21</f>
        <v>4413.4600000000009</v>
      </c>
      <c r="T21" s="51">
        <f>'Quarter demand'!BT21</f>
        <v>868.26</v>
      </c>
      <c r="U21" s="51">
        <f>'Quarter final consumption'!B21</f>
        <v>45681.59</v>
      </c>
      <c r="V21" s="51">
        <f>'Quarter final consumption'!J21</f>
        <v>527.53</v>
      </c>
      <c r="W21" s="51">
        <f>'Quarter final consumption'!R21</f>
        <v>7992.2300000000005</v>
      </c>
      <c r="X21" s="51">
        <f>'Quarter final consumption'!Z21</f>
        <v>13599.47</v>
      </c>
      <c r="Y21" s="51">
        <f>'Quarter final consumption'!AF21</f>
        <v>14696.56</v>
      </c>
      <c r="Z21" s="51">
        <f>'Quarter final consumption'!AN21</f>
        <v>6266.1900000000005</v>
      </c>
      <c r="AA21" s="51">
        <f>'Quarter final consumption'!AV21</f>
        <v>2363.0699999999997</v>
      </c>
      <c r="AB21" s="51">
        <f>'Quarter final consumption'!BD21</f>
        <v>2793.2</v>
      </c>
      <c r="AC21" s="51">
        <f>'Quarter final consumption'!BL21</f>
        <v>343.86999999999995</v>
      </c>
      <c r="AD21" s="51">
        <f>'Quarter final consumption'!BT21</f>
        <v>766.05</v>
      </c>
      <c r="AE21" s="51">
        <f>'Quarter final consumption'!CB21</f>
        <v>2599.61</v>
      </c>
    </row>
    <row r="22" spans="1:31" x14ac:dyDescent="0.35">
      <c r="A22" s="50" t="s">
        <v>187</v>
      </c>
      <c r="B22" s="51">
        <f>'Quarter supply'!B22</f>
        <v>73058.100000000006</v>
      </c>
      <c r="C22" s="51">
        <f>'Quarter supply'!H22</f>
        <v>25775.829999999998</v>
      </c>
      <c r="D22" s="51">
        <f>'Quarter supply'!P22</f>
        <v>-32180.899999999998</v>
      </c>
      <c r="E22" s="51">
        <f>'Quarter supply'!X22</f>
        <v>-502.68</v>
      </c>
      <c r="F22" s="51">
        <f>'Quarter supply'!Z22</f>
        <v>3309.41</v>
      </c>
      <c r="G22" s="51">
        <f>'Quarter supply'!AG22</f>
        <v>69459.760000000009</v>
      </c>
      <c r="H22" s="51">
        <f>'Quarter supply'!AP22</f>
        <v>-469.02999999998428</v>
      </c>
      <c r="I22" s="51">
        <f>'Quarter demand'!B22</f>
        <v>69928.789999999994</v>
      </c>
      <c r="J22" s="51">
        <f>'Quarter demand'!K22</f>
        <v>-32.989999999999952</v>
      </c>
      <c r="K22" s="51">
        <f>'Quarter demand'!T22</f>
        <v>-14476.010000000006</v>
      </c>
      <c r="L22" s="51">
        <f>'Quarter demand'!AD22</f>
        <v>-13645.65</v>
      </c>
      <c r="M22" s="51">
        <f>'Quarter demand'!AL22</f>
        <v>-202.85000000000002</v>
      </c>
      <c r="N22" s="51">
        <f>'Quarter demand'!AS22</f>
        <v>-95.619999999998981</v>
      </c>
      <c r="O22" s="51">
        <f>'Quarter demand'!AV22</f>
        <v>-12.589999999999954</v>
      </c>
      <c r="P22" s="51">
        <f>'Quarter demand'!AZ22</f>
        <v>-521.14</v>
      </c>
      <c r="Q22" s="51">
        <f>'Quarter demand'!BD22</f>
        <v>1.8400000000000034</v>
      </c>
      <c r="R22" s="51">
        <f>'Quarter demand'!BH22</f>
        <v>0</v>
      </c>
      <c r="S22" s="51">
        <f>'Quarter demand'!BK22</f>
        <v>4524.7299999999996</v>
      </c>
      <c r="T22" s="51">
        <f>'Quarter demand'!BT22</f>
        <v>965.31</v>
      </c>
      <c r="U22" s="51">
        <f>'Quarter final consumption'!B22</f>
        <v>49920.87000000001</v>
      </c>
      <c r="V22" s="51">
        <f>'Quarter final consumption'!J22</f>
        <v>545.36</v>
      </c>
      <c r="W22" s="51">
        <f>'Quarter final consumption'!R22</f>
        <v>9288.86</v>
      </c>
      <c r="X22" s="51">
        <f>'Quarter final consumption'!Z22</f>
        <v>13675.84</v>
      </c>
      <c r="Y22" s="51">
        <f>'Quarter final consumption'!AF22</f>
        <v>17526.419999999998</v>
      </c>
      <c r="Z22" s="51">
        <f>'Quarter final consumption'!AN22</f>
        <v>6085.92</v>
      </c>
      <c r="AA22" s="51">
        <f>'Quarter final consumption'!AV22</f>
        <v>2258.2299999999996</v>
      </c>
      <c r="AB22" s="51">
        <f>'Quarter final consumption'!BD22</f>
        <v>2804.03</v>
      </c>
      <c r="AC22" s="51">
        <f>'Quarter final consumption'!BL22</f>
        <v>411.89</v>
      </c>
      <c r="AD22" s="51">
        <f>'Quarter final consumption'!BT22</f>
        <v>611.77</v>
      </c>
      <c r="AE22" s="51">
        <f>'Quarter final consumption'!CB22</f>
        <v>2798.47</v>
      </c>
    </row>
    <row r="23" spans="1:31" x14ac:dyDescent="0.35">
      <c r="A23" s="50" t="s">
        <v>188</v>
      </c>
      <c r="B23" s="51">
        <f>'Quarter supply'!B23</f>
        <v>68091.72</v>
      </c>
      <c r="C23" s="51">
        <f>'Quarter supply'!H23</f>
        <v>28632.140000000003</v>
      </c>
      <c r="D23" s="51">
        <f>'Quarter supply'!P23</f>
        <v>-37722.65</v>
      </c>
      <c r="E23" s="51">
        <f>'Quarter supply'!X23</f>
        <v>-585.95000000000005</v>
      </c>
      <c r="F23" s="51">
        <f>'Quarter supply'!Z23</f>
        <v>-3795.01</v>
      </c>
      <c r="G23" s="51">
        <f>'Quarter supply'!AG23</f>
        <v>54620.25</v>
      </c>
      <c r="H23" s="51">
        <f>'Quarter supply'!AP23</f>
        <v>528.09999999999854</v>
      </c>
      <c r="I23" s="51">
        <f>'Quarter demand'!B23</f>
        <v>54092.15</v>
      </c>
      <c r="J23" s="51">
        <f>'Quarter demand'!K23</f>
        <v>-39.029999999999987</v>
      </c>
      <c r="K23" s="51">
        <f>'Quarter demand'!T23</f>
        <v>-11959.240000000003</v>
      </c>
      <c r="L23" s="51">
        <f>'Quarter demand'!AD23</f>
        <v>-11088.530000000002</v>
      </c>
      <c r="M23" s="51">
        <f>'Quarter demand'!AL23</f>
        <v>-149.03000000000003</v>
      </c>
      <c r="N23" s="51">
        <f>'Quarter demand'!AS23</f>
        <v>-202.36000000000058</v>
      </c>
      <c r="O23" s="51">
        <f>'Quarter demand'!AV23</f>
        <v>1.2900000000001091</v>
      </c>
      <c r="P23" s="51">
        <f>'Quarter demand'!AZ23</f>
        <v>-517.4</v>
      </c>
      <c r="Q23" s="51">
        <f>'Quarter demand'!BD23</f>
        <v>-3.210000000000008</v>
      </c>
      <c r="R23" s="51">
        <f>'Quarter demand'!BH23</f>
        <v>0</v>
      </c>
      <c r="S23" s="51">
        <f>'Quarter demand'!BK23</f>
        <v>4222.5399999999991</v>
      </c>
      <c r="T23" s="51">
        <f>'Quarter demand'!BT23</f>
        <v>792.04000000000008</v>
      </c>
      <c r="U23" s="51">
        <f>'Quarter final consumption'!B23</f>
        <v>37083.78</v>
      </c>
      <c r="V23" s="51">
        <f>'Quarter final consumption'!J23</f>
        <v>517.01</v>
      </c>
      <c r="W23" s="51">
        <f>'Quarter final consumption'!R23</f>
        <v>7102.6</v>
      </c>
      <c r="X23" s="51">
        <f>'Quarter final consumption'!Z23</f>
        <v>13808.81</v>
      </c>
      <c r="Y23" s="51">
        <f>'Quarter final consumption'!AF23</f>
        <v>8748.5400000000009</v>
      </c>
      <c r="Z23" s="51">
        <f>'Quarter final consumption'!AN23</f>
        <v>4452.7699999999995</v>
      </c>
      <c r="AA23" s="51">
        <f>'Quarter final consumption'!AV23</f>
        <v>1588.55</v>
      </c>
      <c r="AB23" s="51">
        <f>'Quarter final consumption'!BD23</f>
        <v>2210.17</v>
      </c>
      <c r="AC23" s="51">
        <f>'Quarter final consumption'!BL23</f>
        <v>263.92</v>
      </c>
      <c r="AD23" s="51">
        <f>'Quarter final consumption'!BT23</f>
        <v>390.13</v>
      </c>
      <c r="AE23" s="51">
        <f>'Quarter final consumption'!CB23</f>
        <v>2454.0500000000002</v>
      </c>
    </row>
    <row r="24" spans="1:31" x14ac:dyDescent="0.35">
      <c r="A24" s="50" t="s">
        <v>189</v>
      </c>
      <c r="B24" s="51">
        <f>'Quarter supply'!B24</f>
        <v>58936.530000000006</v>
      </c>
      <c r="C24" s="51">
        <f>'Quarter supply'!H24</f>
        <v>24422.41</v>
      </c>
      <c r="D24" s="51">
        <f>'Quarter supply'!P24</f>
        <v>-30447.829999999998</v>
      </c>
      <c r="E24" s="51">
        <f>'Quarter supply'!X24</f>
        <v>-444</v>
      </c>
      <c r="F24" s="51">
        <f>'Quarter supply'!Z24</f>
        <v>-1148.3800000000001</v>
      </c>
      <c r="G24" s="51">
        <f>'Quarter supply'!AG24</f>
        <v>51318.73</v>
      </c>
      <c r="H24" s="51">
        <f>'Quarter supply'!AP24</f>
        <v>314.28000000000611</v>
      </c>
      <c r="I24" s="51">
        <f>'Quarter demand'!B24</f>
        <v>51004.45</v>
      </c>
      <c r="J24" s="51">
        <f>'Quarter demand'!K24</f>
        <v>-40.000000000000057</v>
      </c>
      <c r="K24" s="51">
        <f>'Quarter demand'!T24</f>
        <v>-12114.459999999997</v>
      </c>
      <c r="L24" s="51">
        <f>'Quarter demand'!AD24</f>
        <v>-11256.489999999998</v>
      </c>
      <c r="M24" s="51">
        <f>'Quarter demand'!AL24</f>
        <v>-133.81999999999994</v>
      </c>
      <c r="N24" s="51">
        <f>'Quarter demand'!AS24</f>
        <v>-186.68000000000029</v>
      </c>
      <c r="O24" s="51">
        <f>'Quarter demand'!AV24</f>
        <v>-14.420000000000037</v>
      </c>
      <c r="P24" s="51">
        <f>'Quarter demand'!AZ24</f>
        <v>-523.25</v>
      </c>
      <c r="Q24" s="51">
        <f>'Quarter demand'!BD24</f>
        <v>0.20000000000000284</v>
      </c>
      <c r="R24" s="51">
        <f>'Quarter demand'!BH24</f>
        <v>0</v>
      </c>
      <c r="S24" s="51">
        <f>'Quarter demand'!BK24</f>
        <v>3992.68</v>
      </c>
      <c r="T24" s="51">
        <f>'Quarter demand'!BT24</f>
        <v>723.91</v>
      </c>
      <c r="U24" s="51">
        <f>'Quarter final consumption'!B24</f>
        <v>34143.329999999994</v>
      </c>
      <c r="V24" s="51">
        <f>'Quarter final consumption'!J24</f>
        <v>462.81999999999994</v>
      </c>
      <c r="W24" s="51">
        <f>'Quarter final consumption'!R24</f>
        <v>6717</v>
      </c>
      <c r="X24" s="51">
        <f>'Quarter final consumption'!Z24</f>
        <v>14371.039999999999</v>
      </c>
      <c r="Y24" s="51">
        <f>'Quarter final consumption'!AF24</f>
        <v>5793.41</v>
      </c>
      <c r="Z24" s="51">
        <f>'Quarter final consumption'!AN24</f>
        <v>3678.6100000000006</v>
      </c>
      <c r="AA24" s="51">
        <f>'Quarter final consumption'!AV24</f>
        <v>1202.5700000000002</v>
      </c>
      <c r="AB24" s="51">
        <f>'Quarter final consumption'!BD24</f>
        <v>1979.6</v>
      </c>
      <c r="AC24" s="51">
        <f>'Quarter final consumption'!BL24</f>
        <v>236.09</v>
      </c>
      <c r="AD24" s="51">
        <f>'Quarter final consumption'!BT24</f>
        <v>260.35000000000002</v>
      </c>
      <c r="AE24" s="51">
        <f>'Quarter final consumption'!CB24</f>
        <v>3120.45</v>
      </c>
    </row>
    <row r="25" spans="1:31" x14ac:dyDescent="0.35">
      <c r="A25" s="50" t="s">
        <v>190</v>
      </c>
      <c r="B25" s="51">
        <f>'Quarter supply'!B25</f>
        <v>72778.100000000006</v>
      </c>
      <c r="C25" s="51">
        <f>'Quarter supply'!H25</f>
        <v>24503.32</v>
      </c>
      <c r="D25" s="51">
        <f>'Quarter supply'!P25</f>
        <v>-34099.709999999992</v>
      </c>
      <c r="E25" s="51">
        <f>'Quarter supply'!X25</f>
        <v>-511</v>
      </c>
      <c r="F25" s="51">
        <f>'Quarter supply'!Z25</f>
        <v>3079.2900000000004</v>
      </c>
      <c r="G25" s="51">
        <f>'Quarter supply'!AG25</f>
        <v>65750</v>
      </c>
      <c r="H25" s="51">
        <f>'Quarter supply'!AP25</f>
        <v>-472.22999999999593</v>
      </c>
      <c r="I25" s="51">
        <f>'Quarter demand'!B25</f>
        <v>66222.23</v>
      </c>
      <c r="J25" s="51">
        <f>'Quarter demand'!K25</f>
        <v>-43.81</v>
      </c>
      <c r="K25" s="51">
        <f>'Quarter demand'!T25</f>
        <v>-13829.569999999996</v>
      </c>
      <c r="L25" s="51">
        <f>'Quarter demand'!AD25</f>
        <v>-13001.99</v>
      </c>
      <c r="M25" s="51">
        <f>'Quarter demand'!AL25</f>
        <v>-187.74999999999989</v>
      </c>
      <c r="N25" s="51">
        <f>'Quarter demand'!AS25</f>
        <v>-113.75</v>
      </c>
      <c r="O25" s="51">
        <f>'Quarter demand'!AV25</f>
        <v>-7.9500000000000774</v>
      </c>
      <c r="P25" s="51">
        <f>'Quarter demand'!AZ25</f>
        <v>-521.21</v>
      </c>
      <c r="Q25" s="51">
        <f>'Quarter demand'!BD25</f>
        <v>3.0799999999999983</v>
      </c>
      <c r="R25" s="51">
        <f>'Quarter demand'!BH25</f>
        <v>0</v>
      </c>
      <c r="S25" s="51">
        <f>'Quarter demand'!BK25</f>
        <v>4454.83</v>
      </c>
      <c r="T25" s="51">
        <f>'Quarter demand'!BT25</f>
        <v>1016.63</v>
      </c>
      <c r="U25" s="51">
        <f>'Quarter final consumption'!B25</f>
        <v>46871.86</v>
      </c>
      <c r="V25" s="51">
        <f>'Quarter final consumption'!J25</f>
        <v>486.19999999999993</v>
      </c>
      <c r="W25" s="51">
        <f>'Quarter final consumption'!R25</f>
        <v>8644.0400000000009</v>
      </c>
      <c r="X25" s="51">
        <f>'Quarter final consumption'!Z25</f>
        <v>13829.14</v>
      </c>
      <c r="Y25" s="51">
        <f>'Quarter final consumption'!AF25</f>
        <v>15402.250000000002</v>
      </c>
      <c r="Z25" s="51">
        <f>'Quarter final consumption'!AN25</f>
        <v>5339.04</v>
      </c>
      <c r="AA25" s="51">
        <f>'Quarter final consumption'!AV25</f>
        <v>1973.0300000000002</v>
      </c>
      <c r="AB25" s="51">
        <f>'Quarter final consumption'!BD25</f>
        <v>2589.58</v>
      </c>
      <c r="AC25" s="51">
        <f>'Quarter final consumption'!BL25</f>
        <v>276.94</v>
      </c>
      <c r="AD25" s="51">
        <f>'Quarter final consumption'!BT25</f>
        <v>499.49</v>
      </c>
      <c r="AE25" s="51">
        <f>'Quarter final consumption'!CB25</f>
        <v>3171.19</v>
      </c>
    </row>
    <row r="26" spans="1:31" x14ac:dyDescent="0.35">
      <c r="A26" s="50" t="s">
        <v>191</v>
      </c>
      <c r="B26" s="51">
        <f>'Quarter supply'!B26</f>
        <v>72984.98000000001</v>
      </c>
      <c r="C26" s="51">
        <f>'Quarter supply'!H26</f>
        <v>26213.119999999999</v>
      </c>
      <c r="D26" s="51">
        <f>'Quarter supply'!P26</f>
        <v>-32228.43</v>
      </c>
      <c r="E26" s="51">
        <f>'Quarter supply'!X26</f>
        <v>-486.58</v>
      </c>
      <c r="F26" s="51">
        <f>'Quarter supply'!Z26</f>
        <v>4328.8099999999995</v>
      </c>
      <c r="G26" s="51">
        <f>'Quarter supply'!AG26</f>
        <v>70811.900000000009</v>
      </c>
      <c r="H26" s="51">
        <f>'Quarter supply'!AP26</f>
        <v>-236.45999999999185</v>
      </c>
      <c r="I26" s="51">
        <f>'Quarter demand'!B26</f>
        <v>71048.36</v>
      </c>
      <c r="J26" s="51">
        <f>'Quarter demand'!K26</f>
        <v>-4.859999999999971</v>
      </c>
      <c r="K26" s="51">
        <f>'Quarter demand'!T26</f>
        <v>-14571.220000000001</v>
      </c>
      <c r="L26" s="51">
        <f>'Quarter demand'!AD26</f>
        <v>-13812.589999999998</v>
      </c>
      <c r="M26" s="51">
        <f>'Quarter demand'!AL26</f>
        <v>-185.82000000000005</v>
      </c>
      <c r="N26" s="51">
        <f>'Quarter demand'!AS26</f>
        <v>20.799999999999272</v>
      </c>
      <c r="O26" s="51">
        <f>'Quarter demand'!AV26</f>
        <v>3.5099999999999136</v>
      </c>
      <c r="P26" s="51">
        <f>'Quarter demand'!AZ26</f>
        <v>-600.74000000000012</v>
      </c>
      <c r="Q26" s="51">
        <f>'Quarter demand'!BD26</f>
        <v>3.6200000000000045</v>
      </c>
      <c r="R26" s="51">
        <f>'Quarter demand'!BH26</f>
        <v>0</v>
      </c>
      <c r="S26" s="51">
        <f>'Quarter demand'!BK26</f>
        <v>4609.0199999999995</v>
      </c>
      <c r="T26" s="51">
        <f>'Quarter demand'!BT26</f>
        <v>962.34999999999991</v>
      </c>
      <c r="U26" s="51">
        <f>'Quarter final consumption'!B26</f>
        <v>50886.349999999991</v>
      </c>
      <c r="V26" s="51">
        <f>'Quarter final consumption'!J26</f>
        <v>505.48</v>
      </c>
      <c r="W26" s="51">
        <f>'Quarter final consumption'!R26</f>
        <v>9343.69</v>
      </c>
      <c r="X26" s="51">
        <f>'Quarter final consumption'!Z26</f>
        <v>13395.75</v>
      </c>
      <c r="Y26" s="51">
        <f>'Quarter final consumption'!AF26</f>
        <v>18328.649999999998</v>
      </c>
      <c r="Z26" s="51">
        <f>'Quarter final consumption'!AN26</f>
        <v>5809.4099999999989</v>
      </c>
      <c r="AA26" s="51">
        <f>'Quarter final consumption'!AV26</f>
        <v>2114.16</v>
      </c>
      <c r="AB26" s="51">
        <f>'Quarter final consumption'!BD26</f>
        <v>2782.6800000000003</v>
      </c>
      <c r="AC26" s="51">
        <f>'Quarter final consumption'!BL26</f>
        <v>292.81</v>
      </c>
      <c r="AD26" s="51">
        <f>'Quarter final consumption'!BT26</f>
        <v>619.76</v>
      </c>
      <c r="AE26" s="51">
        <f>'Quarter final consumption'!CB26</f>
        <v>3503.37</v>
      </c>
    </row>
    <row r="27" spans="1:31" x14ac:dyDescent="0.35">
      <c r="A27" s="50" t="s">
        <v>192</v>
      </c>
      <c r="B27" s="51">
        <f>'Quarter supply'!B27</f>
        <v>63188.369999999995</v>
      </c>
      <c r="C27" s="51">
        <f>'Quarter supply'!H27</f>
        <v>24893.309999999998</v>
      </c>
      <c r="D27" s="51">
        <f>'Quarter supply'!P27</f>
        <v>-31550.9</v>
      </c>
      <c r="E27" s="51">
        <f>'Quarter supply'!X27</f>
        <v>-500.61</v>
      </c>
      <c r="F27" s="51">
        <f>'Quarter supply'!Z27</f>
        <v>-698.08999999999992</v>
      </c>
      <c r="G27" s="51">
        <f>'Quarter supply'!AG27</f>
        <v>55332.079999999994</v>
      </c>
      <c r="H27" s="51">
        <f>'Quarter supply'!AP27</f>
        <v>690.36999999999534</v>
      </c>
      <c r="I27" s="51">
        <f>'Quarter demand'!B27</f>
        <v>54641.71</v>
      </c>
      <c r="J27" s="51">
        <f>'Quarter demand'!K27</f>
        <v>-35.639999999999986</v>
      </c>
      <c r="K27" s="51">
        <f>'Quarter demand'!T27</f>
        <v>-12469.949999999995</v>
      </c>
      <c r="L27" s="51">
        <f>'Quarter demand'!AD27</f>
        <v>-11829.89</v>
      </c>
      <c r="M27" s="51">
        <f>'Quarter demand'!AL27</f>
        <v>-122.44</v>
      </c>
      <c r="N27" s="51">
        <f>'Quarter demand'!AS27</f>
        <v>63.380000000001019</v>
      </c>
      <c r="O27" s="51">
        <f>'Quarter demand'!AV27</f>
        <v>11.930000000000064</v>
      </c>
      <c r="P27" s="51">
        <f>'Quarter demand'!AZ27</f>
        <v>-594.38</v>
      </c>
      <c r="Q27" s="51">
        <f>'Quarter demand'!BD27</f>
        <v>1.4499999999999886</v>
      </c>
      <c r="R27" s="51">
        <f>'Quarter demand'!BH27</f>
        <v>0</v>
      </c>
      <c r="S27" s="51">
        <f>'Quarter demand'!BK27</f>
        <v>4042.07</v>
      </c>
      <c r="T27" s="51">
        <f>'Quarter demand'!BT27</f>
        <v>622.41</v>
      </c>
      <c r="U27" s="51">
        <f>'Quarter final consumption'!B27</f>
        <v>37479.729999999996</v>
      </c>
      <c r="V27" s="51">
        <f>'Quarter final consumption'!J27</f>
        <v>491.49</v>
      </c>
      <c r="W27" s="51">
        <f>'Quarter final consumption'!R27</f>
        <v>7510.7800000000007</v>
      </c>
      <c r="X27" s="51">
        <f>'Quarter final consumption'!Z27</f>
        <v>14189.109999999999</v>
      </c>
      <c r="Y27" s="51">
        <f>'Quarter final consumption'!AF27</f>
        <v>8410.7300000000014</v>
      </c>
      <c r="Z27" s="51">
        <f>'Quarter final consumption'!AN27</f>
        <v>4329.41</v>
      </c>
      <c r="AA27" s="51">
        <f>'Quarter final consumption'!AV27</f>
        <v>1457.84</v>
      </c>
      <c r="AB27" s="51">
        <f>'Quarter final consumption'!BD27</f>
        <v>2261.25</v>
      </c>
      <c r="AC27" s="51">
        <f>'Quarter final consumption'!BL27</f>
        <v>210.77999999999997</v>
      </c>
      <c r="AD27" s="51">
        <f>'Quarter final consumption'!BT27</f>
        <v>399.54</v>
      </c>
      <c r="AE27" s="51">
        <f>'Quarter final consumption'!CB27</f>
        <v>2548.21</v>
      </c>
    </row>
    <row r="28" spans="1:31" x14ac:dyDescent="0.35">
      <c r="A28" s="50" t="s">
        <v>193</v>
      </c>
      <c r="B28" s="51">
        <f>'Quarter supply'!B28</f>
        <v>57479.040000000001</v>
      </c>
      <c r="C28" s="51">
        <f>'Quarter supply'!H28</f>
        <v>26627.86</v>
      </c>
      <c r="D28" s="51">
        <f>'Quarter supply'!P28</f>
        <v>-30672.43</v>
      </c>
      <c r="E28" s="51">
        <f>'Quarter supply'!X28</f>
        <v>-461.83</v>
      </c>
      <c r="F28" s="51">
        <f>'Quarter supply'!Z28</f>
        <v>-2089.4499999999998</v>
      </c>
      <c r="G28" s="51">
        <f>'Quarter supply'!AG28</f>
        <v>50883.189999999995</v>
      </c>
      <c r="H28" s="51">
        <f>'Quarter supply'!AP28</f>
        <v>-565.58000000000902</v>
      </c>
      <c r="I28" s="51">
        <f>'Quarter demand'!B28</f>
        <v>51448.770000000004</v>
      </c>
      <c r="J28" s="51">
        <f>'Quarter demand'!K28</f>
        <v>-60.069999999999986</v>
      </c>
      <c r="K28" s="51">
        <f>'Quarter demand'!T28</f>
        <v>-12299.180000000004</v>
      </c>
      <c r="L28" s="51">
        <f>'Quarter demand'!AD28</f>
        <v>-11576.55</v>
      </c>
      <c r="M28" s="51">
        <f>'Quarter demand'!AL28</f>
        <v>-102.88999999999999</v>
      </c>
      <c r="N28" s="51">
        <f>'Quarter demand'!AS28</f>
        <v>-30.770000000000437</v>
      </c>
      <c r="O28" s="51">
        <f>'Quarter demand'!AV28</f>
        <v>16.650000000000027</v>
      </c>
      <c r="P28" s="51">
        <f>'Quarter demand'!AZ28</f>
        <v>-609.2299999999999</v>
      </c>
      <c r="Q28" s="51">
        <f>'Quarter demand'!BD28</f>
        <v>3.6099999999999994</v>
      </c>
      <c r="R28" s="51">
        <f>'Quarter demand'!BH28</f>
        <v>0</v>
      </c>
      <c r="S28" s="51">
        <f>'Quarter demand'!BK28</f>
        <v>3935.89</v>
      </c>
      <c r="T28" s="51">
        <f>'Quarter demand'!BT28</f>
        <v>741.23</v>
      </c>
      <c r="U28" s="51">
        <f>'Quarter final consumption'!B28</f>
        <v>34427.24</v>
      </c>
      <c r="V28" s="51">
        <f>'Quarter final consumption'!J28</f>
        <v>451.93</v>
      </c>
      <c r="W28" s="51">
        <f>'Quarter final consumption'!R28</f>
        <v>6882.06</v>
      </c>
      <c r="X28" s="51">
        <f>'Quarter final consumption'!Z28</f>
        <v>14815.429999999998</v>
      </c>
      <c r="Y28" s="51">
        <f>'Quarter final consumption'!AF28</f>
        <v>5692.9</v>
      </c>
      <c r="Z28" s="51">
        <f>'Quarter final consumption'!AN28</f>
        <v>3380.92</v>
      </c>
      <c r="AA28" s="51">
        <f>'Quarter final consumption'!AV28</f>
        <v>1051.01</v>
      </c>
      <c r="AB28" s="51">
        <f>'Quarter final consumption'!BD28</f>
        <v>1906.83</v>
      </c>
      <c r="AC28" s="51">
        <f>'Quarter final consumption'!BL28</f>
        <v>191.27</v>
      </c>
      <c r="AD28" s="51">
        <f>'Quarter final consumption'!BT28</f>
        <v>231.81</v>
      </c>
      <c r="AE28" s="51">
        <f>'Quarter final consumption'!CB28</f>
        <v>3204</v>
      </c>
    </row>
    <row r="29" spans="1:31" x14ac:dyDescent="0.35">
      <c r="A29" s="50" t="s">
        <v>194</v>
      </c>
      <c r="B29" s="51">
        <f>'Quarter supply'!B29</f>
        <v>66657.88</v>
      </c>
      <c r="C29" s="51">
        <f>'Quarter supply'!H29</f>
        <v>28695.4</v>
      </c>
      <c r="D29" s="51">
        <f>'Quarter supply'!P29</f>
        <v>-28756.139999999996</v>
      </c>
      <c r="E29" s="51">
        <f>'Quarter supply'!X29</f>
        <v>-430.34</v>
      </c>
      <c r="F29" s="51">
        <f>'Quarter supply'!Z29</f>
        <v>957.86999999999978</v>
      </c>
      <c r="G29" s="51">
        <f>'Quarter supply'!AG29</f>
        <v>67124.67</v>
      </c>
      <c r="H29" s="51">
        <f>'Quarter supply'!AP29</f>
        <v>-161.02999999999884</v>
      </c>
      <c r="I29" s="51">
        <f>'Quarter demand'!B29</f>
        <v>67285.7</v>
      </c>
      <c r="J29" s="51">
        <f>'Quarter demand'!K29</f>
        <v>-102.10000000000004</v>
      </c>
      <c r="K29" s="51">
        <f>'Quarter demand'!T29</f>
        <v>-14308.570000000003</v>
      </c>
      <c r="L29" s="51">
        <f>'Quarter demand'!AD29</f>
        <v>-13594.27</v>
      </c>
      <c r="M29" s="51">
        <f>'Quarter demand'!AL29</f>
        <v>-164.72000000000003</v>
      </c>
      <c r="N29" s="51">
        <f>'Quarter demand'!AS29</f>
        <v>115.92999999999665</v>
      </c>
      <c r="O29" s="51">
        <f>'Quarter demand'!AV29</f>
        <v>10.18000000000009</v>
      </c>
      <c r="P29" s="51">
        <f>'Quarter demand'!AZ29</f>
        <v>-676.72</v>
      </c>
      <c r="Q29" s="51">
        <f>'Quarter demand'!BD29</f>
        <v>1.0299999999999869</v>
      </c>
      <c r="R29" s="51">
        <f>'Quarter demand'!BH29</f>
        <v>0</v>
      </c>
      <c r="S29" s="51">
        <f>'Quarter demand'!BK29</f>
        <v>4292.4599999999991</v>
      </c>
      <c r="T29" s="51">
        <f>'Quarter demand'!BT29</f>
        <v>935.77</v>
      </c>
      <c r="U29" s="51">
        <f>'Quarter final consumption'!B29</f>
        <v>47638.410000000011</v>
      </c>
      <c r="V29" s="51">
        <f>'Quarter final consumption'!J29</f>
        <v>498.02000000000004</v>
      </c>
      <c r="W29" s="51">
        <f>'Quarter final consumption'!R29</f>
        <v>8390.74</v>
      </c>
      <c r="X29" s="51">
        <f>'Quarter final consumption'!Z29</f>
        <v>13965.5</v>
      </c>
      <c r="Y29" s="51">
        <f>'Quarter final consumption'!AF29</f>
        <v>15860.730000000001</v>
      </c>
      <c r="Z29" s="51">
        <f>'Quarter final consumption'!AN29</f>
        <v>5893.93</v>
      </c>
      <c r="AA29" s="51">
        <f>'Quarter final consumption'!AV29</f>
        <v>2085.71</v>
      </c>
      <c r="AB29" s="51">
        <f>'Quarter final consumption'!BD29</f>
        <v>2928.13</v>
      </c>
      <c r="AC29" s="51">
        <f>'Quarter final consumption'!BL29</f>
        <v>254.19</v>
      </c>
      <c r="AD29" s="51">
        <f>'Quarter final consumption'!BT29</f>
        <v>625.90000000000009</v>
      </c>
      <c r="AE29" s="51">
        <f>'Quarter final consumption'!CB29</f>
        <v>3029.49</v>
      </c>
    </row>
    <row r="30" spans="1:31" x14ac:dyDescent="0.35">
      <c r="A30" s="50" t="s">
        <v>195</v>
      </c>
      <c r="B30" s="51">
        <f>'Quarter supply'!B30</f>
        <v>65495.780000000006</v>
      </c>
      <c r="C30" s="51">
        <f>'Quarter supply'!H30</f>
        <v>32013.549999999996</v>
      </c>
      <c r="D30" s="51">
        <f>'Quarter supply'!P30</f>
        <v>-28799.83</v>
      </c>
      <c r="E30" s="51">
        <f>'Quarter supply'!X30</f>
        <v>-401.18</v>
      </c>
      <c r="F30" s="51">
        <f>'Quarter supply'!Z30</f>
        <v>4338.3899999999994</v>
      </c>
      <c r="G30" s="51">
        <f>'Quarter supply'!AG30</f>
        <v>72646.710000000006</v>
      </c>
      <c r="H30" s="51">
        <f>'Quarter supply'!AP30</f>
        <v>887.02999999999884</v>
      </c>
      <c r="I30" s="51">
        <f>'Quarter demand'!B30</f>
        <v>71759.680000000008</v>
      </c>
      <c r="J30" s="51">
        <f>'Quarter demand'!K30</f>
        <v>115.48000000000005</v>
      </c>
      <c r="K30" s="51">
        <f>'Quarter demand'!T30</f>
        <v>-14912.29</v>
      </c>
      <c r="L30" s="51">
        <f>'Quarter demand'!AD30</f>
        <v>-13974.589999999997</v>
      </c>
      <c r="M30" s="51">
        <f>'Quarter demand'!AL30</f>
        <v>-310.71999999999997</v>
      </c>
      <c r="N30" s="51">
        <f>'Quarter demand'!AS30</f>
        <v>-24.909999999999854</v>
      </c>
      <c r="O30" s="51">
        <f>'Quarter demand'!AV30</f>
        <v>-6.9000000000000909</v>
      </c>
      <c r="P30" s="51">
        <f>'Quarter demand'!AZ30</f>
        <v>-597.89</v>
      </c>
      <c r="Q30" s="51">
        <f>'Quarter demand'!BD30</f>
        <v>2.7199999999999989</v>
      </c>
      <c r="R30" s="51">
        <f>'Quarter demand'!BH30</f>
        <v>0</v>
      </c>
      <c r="S30" s="51">
        <f>'Quarter demand'!BK30</f>
        <v>4236.2</v>
      </c>
      <c r="T30" s="51">
        <f>'Quarter demand'!BT30</f>
        <v>1040.06</v>
      </c>
      <c r="U30" s="51">
        <f>'Quarter final consumption'!B30</f>
        <v>51683.500000000015</v>
      </c>
      <c r="V30" s="51">
        <f>'Quarter final consumption'!J30</f>
        <v>502.08</v>
      </c>
      <c r="W30" s="51">
        <f>'Quarter final consumption'!R30</f>
        <v>9245.3299999999981</v>
      </c>
      <c r="X30" s="51">
        <f>'Quarter final consumption'!Z30</f>
        <v>13770.529999999999</v>
      </c>
      <c r="Y30" s="51">
        <f>'Quarter final consumption'!AF30</f>
        <v>18356.73</v>
      </c>
      <c r="Z30" s="51">
        <f>'Quarter final consumption'!AN30</f>
        <v>6693.9899999999989</v>
      </c>
      <c r="AA30" s="51">
        <f>'Quarter final consumption'!AV30</f>
        <v>2396.5299999999997</v>
      </c>
      <c r="AB30" s="51">
        <f>'Quarter final consumption'!BD30</f>
        <v>3342.02</v>
      </c>
      <c r="AC30" s="51">
        <f>'Quarter final consumption'!BL30</f>
        <v>237.07</v>
      </c>
      <c r="AD30" s="51">
        <f>'Quarter final consumption'!BT30</f>
        <v>718.37</v>
      </c>
      <c r="AE30" s="51">
        <f>'Quarter final consumption'!CB30</f>
        <v>3114.8399999999997</v>
      </c>
    </row>
    <row r="31" spans="1:31" x14ac:dyDescent="0.35">
      <c r="A31" s="50" t="s">
        <v>196</v>
      </c>
      <c r="B31" s="51">
        <f>'Quarter supply'!B31</f>
        <v>59773.070000000007</v>
      </c>
      <c r="C31" s="51">
        <f>'Quarter supply'!H31</f>
        <v>29866.129999999997</v>
      </c>
      <c r="D31" s="51">
        <f>'Quarter supply'!P31</f>
        <v>-30295.080000000005</v>
      </c>
      <c r="E31" s="51">
        <f>'Quarter supply'!X31</f>
        <v>-630.12</v>
      </c>
      <c r="F31" s="51">
        <f>'Quarter supply'!Z31</f>
        <v>-3684.2799999999997</v>
      </c>
      <c r="G31" s="51">
        <f>'Quarter supply'!AG31</f>
        <v>55029.72</v>
      </c>
      <c r="H31" s="51">
        <f>'Quarter supply'!AP31</f>
        <v>-339.06000000000495</v>
      </c>
      <c r="I31" s="51">
        <f>'Quarter demand'!B31</f>
        <v>55368.780000000006</v>
      </c>
      <c r="J31" s="51">
        <f>'Quarter demand'!K31</f>
        <v>-6.4500000000000028</v>
      </c>
      <c r="K31" s="51">
        <f>'Quarter demand'!T31</f>
        <v>-11810.529999999999</v>
      </c>
      <c r="L31" s="51">
        <f>'Quarter demand'!AD31</f>
        <v>-11111.879999999997</v>
      </c>
      <c r="M31" s="51">
        <f>'Quarter demand'!AL31</f>
        <v>-226.97999999999996</v>
      </c>
      <c r="N31" s="51">
        <f>'Quarter demand'!AS31</f>
        <v>158.40000000000146</v>
      </c>
      <c r="O31" s="51">
        <f>'Quarter demand'!AV31</f>
        <v>15.850000000000136</v>
      </c>
      <c r="P31" s="51">
        <f>'Quarter demand'!AZ31</f>
        <v>-643.74</v>
      </c>
      <c r="Q31" s="51">
        <f>'Quarter demand'!BD31</f>
        <v>-2.1799999999999997</v>
      </c>
      <c r="R31" s="51">
        <f>'Quarter demand'!BH31</f>
        <v>0</v>
      </c>
      <c r="S31" s="51">
        <f>'Quarter demand'!BK31</f>
        <v>4196.9599999999991</v>
      </c>
      <c r="T31" s="51">
        <f>'Quarter demand'!BT31</f>
        <v>758.2</v>
      </c>
      <c r="U31" s="51">
        <f>'Quarter final consumption'!B31</f>
        <v>38598.300000000003</v>
      </c>
      <c r="V31" s="51">
        <f>'Quarter final consumption'!J31</f>
        <v>496.27</v>
      </c>
      <c r="W31" s="51">
        <f>'Quarter final consumption'!R31</f>
        <v>7141.91</v>
      </c>
      <c r="X31" s="51">
        <f>'Quarter final consumption'!Z31</f>
        <v>14346.859999999999</v>
      </c>
      <c r="Y31" s="51">
        <f>'Quarter final consumption'!AF31</f>
        <v>8983.1299999999992</v>
      </c>
      <c r="Z31" s="51">
        <f>'Quarter final consumption'!AN31</f>
        <v>4434.2</v>
      </c>
      <c r="AA31" s="51">
        <f>'Quarter final consumption'!AV31</f>
        <v>1571.9699999999998</v>
      </c>
      <c r="AB31" s="51">
        <f>'Quarter final consumption'!BD31</f>
        <v>2128.16</v>
      </c>
      <c r="AC31" s="51">
        <f>'Quarter final consumption'!BL31</f>
        <v>237.8</v>
      </c>
      <c r="AD31" s="51">
        <f>'Quarter final consumption'!BT31</f>
        <v>496.27</v>
      </c>
      <c r="AE31" s="51">
        <f>'Quarter final consumption'!CB31</f>
        <v>3195.93</v>
      </c>
    </row>
    <row r="32" spans="1:31" x14ac:dyDescent="0.35">
      <c r="A32" s="50" t="s">
        <v>197</v>
      </c>
      <c r="B32" s="51">
        <f>'Quarter supply'!B32</f>
        <v>52340.82</v>
      </c>
      <c r="C32" s="51">
        <f>'Quarter supply'!H32</f>
        <v>30984.969999999998</v>
      </c>
      <c r="D32" s="51">
        <f>'Quarter supply'!P32</f>
        <v>-28240.180000000004</v>
      </c>
      <c r="E32" s="51">
        <f>'Quarter supply'!X32</f>
        <v>-621.87</v>
      </c>
      <c r="F32" s="51">
        <f>'Quarter supply'!Z32</f>
        <v>-3676.04</v>
      </c>
      <c r="G32" s="51">
        <f>'Quarter supply'!AG32</f>
        <v>50787.7</v>
      </c>
      <c r="H32" s="51">
        <f>'Quarter supply'!AP32</f>
        <v>-1006.5000000000073</v>
      </c>
      <c r="I32" s="51">
        <f>'Quarter demand'!B32</f>
        <v>51794.200000000004</v>
      </c>
      <c r="J32" s="51">
        <f>'Quarter demand'!K32</f>
        <v>-147.91000000000005</v>
      </c>
      <c r="K32" s="51">
        <f>'Quarter demand'!T32</f>
        <v>-12199.150000000001</v>
      </c>
      <c r="L32" s="51">
        <f>'Quarter demand'!AD32</f>
        <v>-11537.439999999999</v>
      </c>
      <c r="M32" s="51">
        <f>'Quarter demand'!AL32</f>
        <v>-200.32999999999996</v>
      </c>
      <c r="N32" s="51">
        <f>'Quarter demand'!AS32</f>
        <v>160.03999999999724</v>
      </c>
      <c r="O32" s="51">
        <f>'Quarter demand'!AV32</f>
        <v>-4.0099999999999909</v>
      </c>
      <c r="P32" s="51">
        <f>'Quarter demand'!AZ32</f>
        <v>-617.39</v>
      </c>
      <c r="Q32" s="51">
        <f>'Quarter demand'!BD32</f>
        <v>-1.9999999999996021E-2</v>
      </c>
      <c r="R32" s="51">
        <f>'Quarter demand'!BH32</f>
        <v>0</v>
      </c>
      <c r="S32" s="51">
        <f>'Quarter demand'!BK32</f>
        <v>3817.4399999999996</v>
      </c>
      <c r="T32" s="51">
        <f>'Quarter demand'!BT32</f>
        <v>767.88</v>
      </c>
      <c r="U32" s="51">
        <f>'Quarter final consumption'!B32</f>
        <v>34865</v>
      </c>
      <c r="V32" s="51">
        <f>'Quarter final consumption'!J32</f>
        <v>453.89000000000004</v>
      </c>
      <c r="W32" s="51">
        <f>'Quarter final consumption'!R32</f>
        <v>6409.85</v>
      </c>
      <c r="X32" s="51">
        <f>'Quarter final consumption'!Z32</f>
        <v>14973.619999999999</v>
      </c>
      <c r="Y32" s="51">
        <f>'Quarter final consumption'!AF32</f>
        <v>6198.89</v>
      </c>
      <c r="Z32" s="51">
        <f>'Quarter final consumption'!AN32</f>
        <v>3693.1</v>
      </c>
      <c r="AA32" s="51">
        <f>'Quarter final consumption'!AV32</f>
        <v>1194.72</v>
      </c>
      <c r="AB32" s="51">
        <f>'Quarter final consumption'!BD32</f>
        <v>1988.06</v>
      </c>
      <c r="AC32" s="51">
        <f>'Quarter final consumption'!BL32</f>
        <v>223.29000000000002</v>
      </c>
      <c r="AD32" s="51">
        <f>'Quarter final consumption'!BT32</f>
        <v>287.02999999999997</v>
      </c>
      <c r="AE32" s="51">
        <f>'Quarter final consumption'!CB32</f>
        <v>3135.6499999999996</v>
      </c>
    </row>
    <row r="33" spans="1:31" x14ac:dyDescent="0.35">
      <c r="A33" s="50" t="s">
        <v>198</v>
      </c>
      <c r="B33" s="51">
        <f>'Quarter supply'!B33</f>
        <v>60768.37999999999</v>
      </c>
      <c r="C33" s="51">
        <f>'Quarter supply'!H33</f>
        <v>32393.760000000002</v>
      </c>
      <c r="D33" s="51">
        <f>'Quarter supply'!P33</f>
        <v>-26867.03</v>
      </c>
      <c r="E33" s="51">
        <f>'Quarter supply'!X33</f>
        <v>-567.84</v>
      </c>
      <c r="F33" s="51">
        <f>'Quarter supply'!Z33</f>
        <v>1870.2900000000002</v>
      </c>
      <c r="G33" s="51">
        <f>'Quarter supply'!AG33</f>
        <v>67597.56</v>
      </c>
      <c r="H33" s="51">
        <f>'Quarter supply'!AP33</f>
        <v>451.80000000000291</v>
      </c>
      <c r="I33" s="51">
        <f>'Quarter demand'!B33</f>
        <v>67145.759999999995</v>
      </c>
      <c r="J33" s="51">
        <f>'Quarter demand'!K33</f>
        <v>-99.920000000000158</v>
      </c>
      <c r="K33" s="51">
        <f>'Quarter demand'!T33</f>
        <v>-14514.719999999998</v>
      </c>
      <c r="L33" s="51">
        <f>'Quarter demand'!AD33</f>
        <v>-13484.92</v>
      </c>
      <c r="M33" s="51">
        <f>'Quarter demand'!AL33</f>
        <v>-286.23999999999995</v>
      </c>
      <c r="N33" s="51">
        <f>'Quarter demand'!AS33</f>
        <v>-76.680000000000291</v>
      </c>
      <c r="O33" s="51">
        <f>'Quarter demand'!AV33</f>
        <v>-23.370000000000005</v>
      </c>
      <c r="P33" s="51">
        <f>'Quarter demand'!AZ33</f>
        <v>-642.79</v>
      </c>
      <c r="Q33" s="51">
        <f>'Quarter demand'!BD33</f>
        <v>-0.71999999999999886</v>
      </c>
      <c r="R33" s="51">
        <f>'Quarter demand'!BH33</f>
        <v>0</v>
      </c>
      <c r="S33" s="51">
        <f>'Quarter demand'!BK33</f>
        <v>4328.1699999999992</v>
      </c>
      <c r="T33" s="51">
        <f>'Quarter demand'!BT33</f>
        <v>982.81</v>
      </c>
      <c r="U33" s="51">
        <f>'Quarter final consumption'!B33</f>
        <v>47218.41</v>
      </c>
      <c r="V33" s="51">
        <f>'Quarter final consumption'!J33</f>
        <v>465.28999999999996</v>
      </c>
      <c r="W33" s="51">
        <f>'Quarter final consumption'!R33</f>
        <v>8197.86</v>
      </c>
      <c r="X33" s="51">
        <f>'Quarter final consumption'!Z33</f>
        <v>14283.119999999999</v>
      </c>
      <c r="Y33" s="51">
        <f>'Quarter final consumption'!AF33</f>
        <v>15794.060000000001</v>
      </c>
      <c r="Z33" s="51">
        <f>'Quarter final consumption'!AN33</f>
        <v>5495.97</v>
      </c>
      <c r="AA33" s="51">
        <f>'Quarter final consumption'!AV33</f>
        <v>2020.6599999999999</v>
      </c>
      <c r="AB33" s="51">
        <f>'Quarter final consumption'!BD33</f>
        <v>2671.1800000000003</v>
      </c>
      <c r="AC33" s="51">
        <f>'Quarter final consumption'!BL33</f>
        <v>207.83999999999997</v>
      </c>
      <c r="AD33" s="51">
        <f>'Quarter final consumption'!BT33</f>
        <v>596.29</v>
      </c>
      <c r="AE33" s="51">
        <f>'Quarter final consumption'!CB33</f>
        <v>2982.1099999999997</v>
      </c>
    </row>
    <row r="34" spans="1:31" x14ac:dyDescent="0.35">
      <c r="A34" s="50" t="s">
        <v>199</v>
      </c>
      <c r="B34" s="51">
        <f>'Quarter supply'!B34</f>
        <v>60126.15</v>
      </c>
      <c r="C34" s="51">
        <f>'Quarter supply'!H34</f>
        <v>32491.649999999998</v>
      </c>
      <c r="D34" s="51">
        <f>'Quarter supply'!P34</f>
        <v>-25617.829999999994</v>
      </c>
      <c r="E34" s="51">
        <f>'Quarter supply'!X34</f>
        <v>-494.63</v>
      </c>
      <c r="F34" s="51">
        <f>'Quarter supply'!Z34</f>
        <v>5683.73</v>
      </c>
      <c r="G34" s="51">
        <f>'Quarter supply'!AG34</f>
        <v>72189.070000000007</v>
      </c>
      <c r="H34" s="51">
        <f>'Quarter supply'!AP34</f>
        <v>442.38000000001921</v>
      </c>
      <c r="I34" s="51">
        <f>'Quarter demand'!B34</f>
        <v>71746.689999999988</v>
      </c>
      <c r="J34" s="51">
        <f>'Quarter demand'!K34</f>
        <v>134.80000000000007</v>
      </c>
      <c r="K34" s="51">
        <f>'Quarter demand'!T34</f>
        <v>-15327.880000000008</v>
      </c>
      <c r="L34" s="51">
        <f>'Quarter demand'!AD34</f>
        <v>-14313.710000000005</v>
      </c>
      <c r="M34" s="51">
        <f>'Quarter demand'!AL34</f>
        <v>-299.07</v>
      </c>
      <c r="N34" s="51">
        <f>'Quarter demand'!AS34</f>
        <v>-119.77999999999884</v>
      </c>
      <c r="O34" s="51">
        <f>'Quarter demand'!AV34</f>
        <v>7.3099999999999454</v>
      </c>
      <c r="P34" s="51">
        <f>'Quarter demand'!AZ34</f>
        <v>-602.04999999999995</v>
      </c>
      <c r="Q34" s="51">
        <f>'Quarter demand'!BD34</f>
        <v>-0.57999999999999829</v>
      </c>
      <c r="R34" s="51">
        <f>'Quarter demand'!BH34</f>
        <v>0</v>
      </c>
      <c r="S34" s="51">
        <f>'Quarter demand'!BK34</f>
        <v>4530.26</v>
      </c>
      <c r="T34" s="51">
        <f>'Quarter demand'!BT34</f>
        <v>1082.94</v>
      </c>
      <c r="U34" s="51">
        <f>'Quarter final consumption'!B34</f>
        <v>50936.680000000008</v>
      </c>
      <c r="V34" s="51">
        <f>'Quarter final consumption'!J34</f>
        <v>458.78000000000003</v>
      </c>
      <c r="W34" s="51">
        <f>'Quarter final consumption'!R34</f>
        <v>9077.2999999999993</v>
      </c>
      <c r="X34" s="51">
        <f>'Quarter final consumption'!Z34</f>
        <v>14081.75</v>
      </c>
      <c r="Y34" s="51">
        <f>'Quarter final consumption'!AF34</f>
        <v>17828.189999999999</v>
      </c>
      <c r="Z34" s="51">
        <f>'Quarter final consumption'!AN34</f>
        <v>6501.7300000000005</v>
      </c>
      <c r="AA34" s="51">
        <f>'Quarter final consumption'!AV34</f>
        <v>2393.42</v>
      </c>
      <c r="AB34" s="51">
        <f>'Quarter final consumption'!BD34</f>
        <v>3107.7699999999995</v>
      </c>
      <c r="AC34" s="51">
        <f>'Quarter final consumption'!BL34</f>
        <v>261.09000000000003</v>
      </c>
      <c r="AD34" s="51">
        <f>'Quarter final consumption'!BT34</f>
        <v>739.45</v>
      </c>
      <c r="AE34" s="51">
        <f>'Quarter final consumption'!CB34</f>
        <v>2988.93</v>
      </c>
    </row>
    <row r="35" spans="1:31" x14ac:dyDescent="0.35">
      <c r="A35" s="50" t="s">
        <v>200</v>
      </c>
      <c r="B35" s="51">
        <f>'Quarter supply'!B35</f>
        <v>55572.81</v>
      </c>
      <c r="C35" s="51">
        <f>'Quarter supply'!H35</f>
        <v>33159.760000000002</v>
      </c>
      <c r="D35" s="51">
        <f>'Quarter supply'!P35</f>
        <v>-27462.14</v>
      </c>
      <c r="E35" s="51">
        <f>'Quarter supply'!X35</f>
        <v>-565.76</v>
      </c>
      <c r="F35" s="51">
        <f>'Quarter supply'!Z35</f>
        <v>-3395.5</v>
      </c>
      <c r="G35" s="51">
        <f>'Quarter supply'!AG35</f>
        <v>57309.17</v>
      </c>
      <c r="H35" s="51">
        <f>'Quarter supply'!AP35</f>
        <v>239.16999999999825</v>
      </c>
      <c r="I35" s="51">
        <f>'Quarter demand'!B35</f>
        <v>57070</v>
      </c>
      <c r="J35" s="51">
        <f>'Quarter demand'!K35</f>
        <v>-24.159999999999997</v>
      </c>
      <c r="K35" s="51">
        <f>'Quarter demand'!T35</f>
        <v>-12799.510000000002</v>
      </c>
      <c r="L35" s="51">
        <f>'Quarter demand'!AD35</f>
        <v>-11855.539999999997</v>
      </c>
      <c r="M35" s="51">
        <f>'Quarter demand'!AL35</f>
        <v>-217.68</v>
      </c>
      <c r="N35" s="51">
        <f>'Quarter demand'!AS35</f>
        <v>-94.950000000000728</v>
      </c>
      <c r="O35" s="51">
        <f>'Quarter demand'!AV35</f>
        <v>12.989999999999895</v>
      </c>
      <c r="P35" s="51">
        <f>'Quarter demand'!AZ35</f>
        <v>-646.94999999999993</v>
      </c>
      <c r="Q35" s="51">
        <f>'Quarter demand'!BD35</f>
        <v>2.6200000000000045</v>
      </c>
      <c r="R35" s="51">
        <f>'Quarter demand'!BH35</f>
        <v>0</v>
      </c>
      <c r="S35" s="51">
        <f>'Quarter demand'!BK35</f>
        <v>4312.33</v>
      </c>
      <c r="T35" s="51">
        <f>'Quarter demand'!BT35</f>
        <v>832.63</v>
      </c>
      <c r="U35" s="51">
        <f>'Quarter final consumption'!B35</f>
        <v>39103.049999999996</v>
      </c>
      <c r="V35" s="51">
        <f>'Quarter final consumption'!J35</f>
        <v>457.11</v>
      </c>
      <c r="W35" s="51">
        <f>'Quarter final consumption'!R35</f>
        <v>7175.82</v>
      </c>
      <c r="X35" s="51">
        <f>'Quarter final consumption'!Z35</f>
        <v>14774.58</v>
      </c>
      <c r="Y35" s="51">
        <f>'Quarter final consumption'!AF35</f>
        <v>9061.44</v>
      </c>
      <c r="Z35" s="51">
        <f>'Quarter final consumption'!AN35</f>
        <v>4780.78</v>
      </c>
      <c r="AA35" s="51">
        <f>'Quarter final consumption'!AV35</f>
        <v>1590.72</v>
      </c>
      <c r="AB35" s="51">
        <f>'Quarter final consumption'!BD35</f>
        <v>2437.33</v>
      </c>
      <c r="AC35" s="51">
        <f>'Quarter final consumption'!BL35</f>
        <v>224.20999999999998</v>
      </c>
      <c r="AD35" s="51">
        <f>'Quarter final consumption'!BT35</f>
        <v>528.52</v>
      </c>
      <c r="AE35" s="51">
        <f>'Quarter final consumption'!CB35</f>
        <v>2853.3199999999997</v>
      </c>
    </row>
    <row r="36" spans="1:31" x14ac:dyDescent="0.35">
      <c r="A36" s="50" t="s">
        <v>201</v>
      </c>
      <c r="B36" s="51">
        <f>'Quarter supply'!B36</f>
        <v>46142.14</v>
      </c>
      <c r="C36" s="51">
        <f>'Quarter supply'!H36</f>
        <v>33829.339999999997</v>
      </c>
      <c r="D36" s="51">
        <f>'Quarter supply'!P36</f>
        <v>-22971</v>
      </c>
      <c r="E36" s="51">
        <f>'Quarter supply'!X36</f>
        <v>-600.16999999999996</v>
      </c>
      <c r="F36" s="51">
        <f>'Quarter supply'!Z36</f>
        <v>-4780.7000000000007</v>
      </c>
      <c r="G36" s="51">
        <f>'Quarter supply'!AG36</f>
        <v>51619.610000000008</v>
      </c>
      <c r="H36" s="51">
        <f>'Quarter supply'!AP36</f>
        <v>-192.21999999999389</v>
      </c>
      <c r="I36" s="51">
        <f>'Quarter demand'!B36</f>
        <v>51811.83</v>
      </c>
      <c r="J36" s="51">
        <f>'Quarter demand'!K36</f>
        <v>-32.750000000000028</v>
      </c>
      <c r="K36" s="51">
        <f>'Quarter demand'!T36</f>
        <v>-12222.019999999999</v>
      </c>
      <c r="L36" s="51">
        <f>'Quarter demand'!AD36</f>
        <v>-11505.879999999997</v>
      </c>
      <c r="M36" s="51">
        <f>'Quarter demand'!AL36</f>
        <v>-184.86</v>
      </c>
      <c r="N36" s="51">
        <f>'Quarter demand'!AS36</f>
        <v>76.680000000000291</v>
      </c>
      <c r="O36" s="51">
        <f>'Quarter demand'!AV36</f>
        <v>-20.449999999999818</v>
      </c>
      <c r="P36" s="51">
        <f>'Quarter demand'!AZ36</f>
        <v>-589.76</v>
      </c>
      <c r="Q36" s="51">
        <f>'Quarter demand'!BD36</f>
        <v>2.25</v>
      </c>
      <c r="R36" s="51">
        <f>'Quarter demand'!BH36</f>
        <v>0</v>
      </c>
      <c r="S36" s="51">
        <f>'Quarter demand'!BK36</f>
        <v>4012.46</v>
      </c>
      <c r="T36" s="51">
        <f>'Quarter demand'!BT36</f>
        <v>734.5</v>
      </c>
      <c r="U36" s="51">
        <f>'Quarter final consumption'!B36</f>
        <v>34813.960000000006</v>
      </c>
      <c r="V36" s="51">
        <f>'Quarter final consumption'!J36</f>
        <v>408.94</v>
      </c>
      <c r="W36" s="51">
        <f>'Quarter final consumption'!R36</f>
        <v>6224.7699999999995</v>
      </c>
      <c r="X36" s="51">
        <f>'Quarter final consumption'!Z36</f>
        <v>15382.140000000001</v>
      </c>
      <c r="Y36" s="51">
        <f>'Quarter final consumption'!AF36</f>
        <v>5776.86</v>
      </c>
      <c r="Z36" s="51">
        <f>'Quarter final consumption'!AN36</f>
        <v>3791.7599999999998</v>
      </c>
      <c r="AA36" s="51">
        <f>'Quarter final consumption'!AV36</f>
        <v>1128.1500000000001</v>
      </c>
      <c r="AB36" s="51">
        <f>'Quarter final consumption'!BD36</f>
        <v>2126.8000000000002</v>
      </c>
      <c r="AC36" s="51">
        <f>'Quarter final consumption'!BL36</f>
        <v>229.75</v>
      </c>
      <c r="AD36" s="51">
        <f>'Quarter final consumption'!BT36</f>
        <v>307.06</v>
      </c>
      <c r="AE36" s="51">
        <f>'Quarter final consumption'!CB36</f>
        <v>3229.49</v>
      </c>
    </row>
    <row r="37" spans="1:31" x14ac:dyDescent="0.35">
      <c r="A37" s="50" t="s">
        <v>202</v>
      </c>
      <c r="B37" s="51">
        <f>'Quarter supply'!B37</f>
        <v>54699.969999999987</v>
      </c>
      <c r="C37" s="51">
        <f>'Quarter supply'!H37</f>
        <v>34831.550000000003</v>
      </c>
      <c r="D37" s="51">
        <f>'Quarter supply'!P37</f>
        <v>-24475.699999999997</v>
      </c>
      <c r="E37" s="51">
        <f>'Quarter supply'!X37</f>
        <v>-519.16</v>
      </c>
      <c r="F37" s="51">
        <f>'Quarter supply'!Z37</f>
        <v>2780.16</v>
      </c>
      <c r="G37" s="51">
        <f>'Quarter supply'!AG37</f>
        <v>67316.820000000007</v>
      </c>
      <c r="H37" s="51">
        <f>'Quarter supply'!AP37</f>
        <v>-99.839999999981956</v>
      </c>
      <c r="I37" s="51">
        <f>'Quarter demand'!B37</f>
        <v>67416.659999999989</v>
      </c>
      <c r="J37" s="51">
        <f>'Quarter demand'!K37</f>
        <v>-194.23</v>
      </c>
      <c r="K37" s="51">
        <f>'Quarter demand'!T37</f>
        <v>-14980.21</v>
      </c>
      <c r="L37" s="51">
        <f>'Quarter demand'!AD37</f>
        <v>-14002.530000000002</v>
      </c>
      <c r="M37" s="51">
        <f>'Quarter demand'!AL37</f>
        <v>-269.19</v>
      </c>
      <c r="N37" s="51">
        <f>'Quarter demand'!AS37</f>
        <v>-33.779999999998836</v>
      </c>
      <c r="O37" s="51">
        <f>'Quarter demand'!AV37</f>
        <v>-28.809999999999945</v>
      </c>
      <c r="P37" s="51">
        <f>'Quarter demand'!AZ37</f>
        <v>-644.88</v>
      </c>
      <c r="Q37" s="51">
        <f>'Quarter demand'!BD37</f>
        <v>-1.0200000000000031</v>
      </c>
      <c r="R37" s="51">
        <f>'Quarter demand'!BH37</f>
        <v>0</v>
      </c>
      <c r="S37" s="51">
        <f>'Quarter demand'!BK37</f>
        <v>4389.45</v>
      </c>
      <c r="T37" s="51">
        <f>'Quarter demand'!BT37</f>
        <v>883.34999999999991</v>
      </c>
      <c r="U37" s="51">
        <f>'Quarter final consumption'!B37</f>
        <v>46967.6</v>
      </c>
      <c r="V37" s="51">
        <f>'Quarter final consumption'!J37</f>
        <v>436.03</v>
      </c>
      <c r="W37" s="51">
        <f>'Quarter final consumption'!R37</f>
        <v>8064.4600000000009</v>
      </c>
      <c r="X37" s="51">
        <f>'Quarter final consumption'!Z37</f>
        <v>14554.689999999999</v>
      </c>
      <c r="Y37" s="51">
        <f>'Quarter final consumption'!AF37</f>
        <v>15138.93</v>
      </c>
      <c r="Z37" s="51">
        <f>'Quarter final consumption'!AN37</f>
        <v>5700.27</v>
      </c>
      <c r="AA37" s="51">
        <f>'Quarter final consumption'!AV37</f>
        <v>1985.9</v>
      </c>
      <c r="AB37" s="51">
        <f>'Quarter final consumption'!BD37</f>
        <v>2814.45</v>
      </c>
      <c r="AC37" s="51">
        <f>'Quarter final consumption'!BL37</f>
        <v>291.75</v>
      </c>
      <c r="AD37" s="51">
        <f>'Quarter final consumption'!BT37</f>
        <v>608.16999999999996</v>
      </c>
      <c r="AE37" s="51">
        <f>'Quarter final consumption'!CB37</f>
        <v>3073.22</v>
      </c>
    </row>
    <row r="38" spans="1:31" x14ac:dyDescent="0.35">
      <c r="A38" s="50" t="s">
        <v>203</v>
      </c>
      <c r="B38" s="51">
        <f>'Quarter supply'!B38</f>
        <v>57189.15</v>
      </c>
      <c r="C38" s="51">
        <f>'Quarter supply'!H38</f>
        <v>38232.75</v>
      </c>
      <c r="D38" s="51">
        <f>'Quarter supply'!P38</f>
        <v>-23824.170000000002</v>
      </c>
      <c r="E38" s="51">
        <f>'Quarter supply'!X38</f>
        <v>-547.53</v>
      </c>
      <c r="F38" s="51">
        <f>'Quarter supply'!Z38</f>
        <v>2975.55</v>
      </c>
      <c r="G38" s="51">
        <f>'Quarter supply'!AG38</f>
        <v>74025.75</v>
      </c>
      <c r="H38" s="51">
        <f>'Quarter supply'!AP38</f>
        <v>268.88999999998487</v>
      </c>
      <c r="I38" s="51">
        <f>'Quarter demand'!B38</f>
        <v>73756.860000000015</v>
      </c>
      <c r="J38" s="51">
        <f>'Quarter demand'!K38</f>
        <v>68.949999999999989</v>
      </c>
      <c r="K38" s="51">
        <f>'Quarter demand'!T38</f>
        <v>-16009.02</v>
      </c>
      <c r="L38" s="51">
        <f>'Quarter demand'!AD38</f>
        <v>-14862.099999999997</v>
      </c>
      <c r="M38" s="51">
        <f>'Quarter demand'!AL38</f>
        <v>-311.24</v>
      </c>
      <c r="N38" s="51">
        <f>'Quarter demand'!AS38</f>
        <v>-120.90999999999985</v>
      </c>
      <c r="O38" s="51">
        <f>'Quarter demand'!AV38</f>
        <v>-5.1500000000000909</v>
      </c>
      <c r="P38" s="51">
        <f>'Quarter demand'!AZ38</f>
        <v>-710.61</v>
      </c>
      <c r="Q38" s="51">
        <f>'Quarter demand'!BD38</f>
        <v>0.99000000000000199</v>
      </c>
      <c r="R38" s="51">
        <f>'Quarter demand'!BH38</f>
        <v>0</v>
      </c>
      <c r="S38" s="51">
        <f>'Quarter demand'!BK38</f>
        <v>4188.7700000000004</v>
      </c>
      <c r="T38" s="51">
        <f>'Quarter demand'!BT38</f>
        <v>1089.9299999999998</v>
      </c>
      <c r="U38" s="51">
        <f>'Quarter final consumption'!B38</f>
        <v>52534.189999999995</v>
      </c>
      <c r="V38" s="51">
        <f>'Quarter final consumption'!J38</f>
        <v>484.22</v>
      </c>
      <c r="W38" s="51">
        <f>'Quarter final consumption'!R38</f>
        <v>10062.439999999999</v>
      </c>
      <c r="X38" s="51">
        <f>'Quarter final consumption'!Z38</f>
        <v>14113.99</v>
      </c>
      <c r="Y38" s="51">
        <f>'Quarter final consumption'!AF38</f>
        <v>18144.73</v>
      </c>
      <c r="Z38" s="51">
        <f>'Quarter final consumption'!AN38</f>
        <v>6627</v>
      </c>
      <c r="AA38" s="51">
        <f>'Quarter final consumption'!AV38</f>
        <v>2385.8599999999997</v>
      </c>
      <c r="AB38" s="51">
        <f>'Quarter final consumption'!BD38</f>
        <v>3124.2400000000002</v>
      </c>
      <c r="AC38" s="51">
        <f>'Quarter final consumption'!BL38</f>
        <v>322.04000000000002</v>
      </c>
      <c r="AD38" s="51">
        <f>'Quarter final consumption'!BT38</f>
        <v>794.86</v>
      </c>
      <c r="AE38" s="51">
        <f>'Quarter final consumption'!CB38</f>
        <v>3101.8100000000004</v>
      </c>
    </row>
    <row r="39" spans="1:31" x14ac:dyDescent="0.35">
      <c r="A39" s="50" t="s">
        <v>204</v>
      </c>
      <c r="B39" s="51">
        <f>'Quarter supply'!B39</f>
        <v>49247.94</v>
      </c>
      <c r="C39" s="51">
        <f>'Quarter supply'!H39</f>
        <v>35277.73000000001</v>
      </c>
      <c r="D39" s="51">
        <f>'Quarter supply'!P39</f>
        <v>-25384.9</v>
      </c>
      <c r="E39" s="51">
        <f>'Quarter supply'!X39</f>
        <v>-744.8</v>
      </c>
      <c r="F39" s="51">
        <f>'Quarter supply'!Z39</f>
        <v>-2540.2900000000004</v>
      </c>
      <c r="G39" s="51">
        <f>'Quarter supply'!AG39</f>
        <v>55855.679999999993</v>
      </c>
      <c r="H39" s="51">
        <f>'Quarter supply'!AP39</f>
        <v>-173.45000000001164</v>
      </c>
      <c r="I39" s="51">
        <f>'Quarter demand'!B39</f>
        <v>56029.130000000005</v>
      </c>
      <c r="J39" s="51">
        <f>'Quarter demand'!K39</f>
        <v>-190.08000000000004</v>
      </c>
      <c r="K39" s="51">
        <f>'Quarter demand'!T39</f>
        <v>-12670.249999999998</v>
      </c>
      <c r="L39" s="51">
        <f>'Quarter demand'!AD39</f>
        <v>-11941.150000000003</v>
      </c>
      <c r="M39" s="51">
        <f>'Quarter demand'!AL39</f>
        <v>-224.55000000000007</v>
      </c>
      <c r="N39" s="51">
        <f>'Quarter demand'!AS39</f>
        <v>169.56999999999971</v>
      </c>
      <c r="O39" s="51">
        <f>'Quarter demand'!AV39</f>
        <v>4.0299999999999727</v>
      </c>
      <c r="P39" s="51">
        <f>'Quarter demand'!AZ39</f>
        <v>-682.93999999999994</v>
      </c>
      <c r="Q39" s="51">
        <f>'Quarter demand'!BD39</f>
        <v>4.7899999999999991</v>
      </c>
      <c r="R39" s="51">
        <f>'Quarter demand'!BH39</f>
        <v>0</v>
      </c>
      <c r="S39" s="51">
        <f>'Quarter demand'!BK39</f>
        <v>3997.43</v>
      </c>
      <c r="T39" s="51">
        <f>'Quarter demand'!BT39</f>
        <v>821.74</v>
      </c>
      <c r="U39" s="51">
        <f>'Quarter final consumption'!B39</f>
        <v>38351.049999999996</v>
      </c>
      <c r="V39" s="51">
        <f>'Quarter final consumption'!J39</f>
        <v>482.88</v>
      </c>
      <c r="W39" s="51">
        <f>'Quarter final consumption'!R39</f>
        <v>5952.6899999999987</v>
      </c>
      <c r="X39" s="51">
        <f>'Quarter final consumption'!Z39</f>
        <v>15170.31</v>
      </c>
      <c r="Y39" s="51">
        <f>'Quarter final consumption'!AF39</f>
        <v>9391.98</v>
      </c>
      <c r="Z39" s="51">
        <f>'Quarter final consumption'!AN39</f>
        <v>4275.04</v>
      </c>
      <c r="AA39" s="51">
        <f>'Quarter final consumption'!AV39</f>
        <v>1449.7300000000002</v>
      </c>
      <c r="AB39" s="51">
        <f>'Quarter final consumption'!BD39</f>
        <v>2220.61</v>
      </c>
      <c r="AC39" s="51">
        <f>'Quarter final consumption'!BL39</f>
        <v>208.41000000000003</v>
      </c>
      <c r="AD39" s="51">
        <f>'Quarter final consumption'!BT39</f>
        <v>396.29</v>
      </c>
      <c r="AE39" s="51">
        <f>'Quarter final consumption'!CB39</f>
        <v>3078.15</v>
      </c>
    </row>
    <row r="40" spans="1:31" x14ac:dyDescent="0.35">
      <c r="A40" s="50" t="s">
        <v>205</v>
      </c>
      <c r="B40" s="51">
        <f>'Quarter supply'!B40</f>
        <v>42552.73</v>
      </c>
      <c r="C40" s="51">
        <f>'Quarter supply'!H40</f>
        <v>35696.270000000004</v>
      </c>
      <c r="D40" s="51">
        <f>'Quarter supply'!P40</f>
        <v>-24347.45</v>
      </c>
      <c r="E40" s="51">
        <f>'Quarter supply'!X40</f>
        <v>-593.29</v>
      </c>
      <c r="F40" s="51">
        <f>'Quarter supply'!Z40</f>
        <v>-2840.91</v>
      </c>
      <c r="G40" s="51">
        <f>'Quarter supply'!AG40</f>
        <v>50467.350000000006</v>
      </c>
      <c r="H40" s="51">
        <f>'Quarter supply'!AP40</f>
        <v>-640.09999999999854</v>
      </c>
      <c r="I40" s="51">
        <f>'Quarter demand'!B40</f>
        <v>51107.450000000004</v>
      </c>
      <c r="J40" s="51">
        <f>'Quarter demand'!K40</f>
        <v>-29.61000000000007</v>
      </c>
      <c r="K40" s="51">
        <f>'Quarter demand'!T40</f>
        <v>-12879.580000000004</v>
      </c>
      <c r="L40" s="51">
        <f>'Quarter demand'!AD40</f>
        <v>-11791.820000000003</v>
      </c>
      <c r="M40" s="51">
        <f>'Quarter demand'!AL40</f>
        <v>-187.73999999999995</v>
      </c>
      <c r="N40" s="51">
        <f>'Quarter demand'!AS40</f>
        <v>-218.51000000000204</v>
      </c>
      <c r="O40" s="51">
        <f>'Quarter demand'!AV40</f>
        <v>-18.839999999999918</v>
      </c>
      <c r="P40" s="51">
        <f>'Quarter demand'!AZ40</f>
        <v>-664.97</v>
      </c>
      <c r="Q40" s="51">
        <f>'Quarter demand'!BD40</f>
        <v>2.2999999999999972</v>
      </c>
      <c r="R40" s="51">
        <f>'Quarter demand'!BH40</f>
        <v>0</v>
      </c>
      <c r="S40" s="51">
        <f>'Quarter demand'!BK40</f>
        <v>3842.1499999999996</v>
      </c>
      <c r="T40" s="51">
        <f>'Quarter demand'!BT40</f>
        <v>766.57999999999993</v>
      </c>
      <c r="U40" s="51">
        <f>'Quarter final consumption'!B40</f>
        <v>33593.22</v>
      </c>
      <c r="V40" s="51">
        <f>'Quarter final consumption'!J40</f>
        <v>443.74</v>
      </c>
      <c r="W40" s="51">
        <f>'Quarter final consumption'!R40</f>
        <v>6072.7</v>
      </c>
      <c r="X40" s="51">
        <f>'Quarter final consumption'!Z40</f>
        <v>15611.300000000001</v>
      </c>
      <c r="Y40" s="51">
        <f>'Quarter final consumption'!AF40</f>
        <v>5199.53</v>
      </c>
      <c r="Z40" s="51">
        <f>'Quarter final consumption'!AN40</f>
        <v>3602.2200000000003</v>
      </c>
      <c r="AA40" s="51">
        <f>'Quarter final consumption'!AV40</f>
        <v>1117.2</v>
      </c>
      <c r="AB40" s="51">
        <f>'Quarter final consumption'!BD40</f>
        <v>2028.44</v>
      </c>
      <c r="AC40" s="51">
        <f>'Quarter final consumption'!BL40</f>
        <v>177.67000000000002</v>
      </c>
      <c r="AD40" s="51">
        <f>'Quarter final consumption'!BT40</f>
        <v>278.91000000000003</v>
      </c>
      <c r="AE40" s="51">
        <f>'Quarter final consumption'!CB40</f>
        <v>2663.73</v>
      </c>
    </row>
    <row r="41" spans="1:31" x14ac:dyDescent="0.35">
      <c r="A41" s="50" t="s">
        <v>206</v>
      </c>
      <c r="B41" s="51">
        <f>'Quarter supply'!B41</f>
        <v>48256.53</v>
      </c>
      <c r="C41" s="51">
        <f>'Quarter supply'!H41</f>
        <v>40806.5</v>
      </c>
      <c r="D41" s="51">
        <f>'Quarter supply'!P41</f>
        <v>-23889.430000000004</v>
      </c>
      <c r="E41" s="51">
        <f>'Quarter supply'!X41</f>
        <v>-600.76</v>
      </c>
      <c r="F41" s="51">
        <f>'Quarter supply'!Z41</f>
        <v>-433.7</v>
      </c>
      <c r="G41" s="51">
        <f>'Quarter supply'!AG41</f>
        <v>64139.139999999992</v>
      </c>
      <c r="H41" s="51">
        <f>'Quarter supply'!AP41</f>
        <v>398.76000000000204</v>
      </c>
      <c r="I41" s="51">
        <f>'Quarter demand'!B41</f>
        <v>63740.37999999999</v>
      </c>
      <c r="J41" s="51">
        <f>'Quarter demand'!K41</f>
        <v>71.109999999999957</v>
      </c>
      <c r="K41" s="51">
        <f>'Quarter demand'!T41</f>
        <v>-14943.599999999995</v>
      </c>
      <c r="L41" s="51">
        <f>'Quarter demand'!AD41</f>
        <v>-13842.490000000003</v>
      </c>
      <c r="M41" s="51">
        <f>'Quarter demand'!AL41</f>
        <v>-267.77999999999997</v>
      </c>
      <c r="N41" s="51">
        <f>'Quarter demand'!AS41</f>
        <v>-154.93999999999869</v>
      </c>
      <c r="O41" s="51">
        <f>'Quarter demand'!AV41</f>
        <v>-23.740000000000009</v>
      </c>
      <c r="P41" s="51">
        <f>'Quarter demand'!AZ41</f>
        <v>-654.90000000000009</v>
      </c>
      <c r="Q41" s="51">
        <f>'Quarter demand'!BD41</f>
        <v>0.25</v>
      </c>
      <c r="R41" s="51">
        <f>'Quarter demand'!BH41</f>
        <v>0</v>
      </c>
      <c r="S41" s="51">
        <f>'Quarter demand'!BK41</f>
        <v>3999.8199999999997</v>
      </c>
      <c r="T41" s="51">
        <f>'Quarter demand'!BT41</f>
        <v>888.86000000000013</v>
      </c>
      <c r="U41" s="51">
        <f>'Quarter final consumption'!B41</f>
        <v>43977.979999999989</v>
      </c>
      <c r="V41" s="51">
        <f>'Quarter final consumption'!J41</f>
        <v>452.62</v>
      </c>
      <c r="W41" s="51">
        <f>'Quarter final consumption'!R41</f>
        <v>7490.9199999999992</v>
      </c>
      <c r="X41" s="51">
        <f>'Quarter final consumption'!Z41</f>
        <v>14605.85</v>
      </c>
      <c r="Y41" s="51">
        <f>'Quarter final consumption'!AF41</f>
        <v>13838.900000000001</v>
      </c>
      <c r="Z41" s="51">
        <f>'Quarter final consumption'!AN41</f>
        <v>5018.66</v>
      </c>
      <c r="AA41" s="51">
        <f>'Quarter final consumption'!AV41</f>
        <v>1668.2</v>
      </c>
      <c r="AB41" s="51">
        <f>'Quarter final consumption'!BD41</f>
        <v>2672.2000000000003</v>
      </c>
      <c r="AC41" s="51">
        <f>'Quarter final consumption'!BL41</f>
        <v>208.42000000000002</v>
      </c>
      <c r="AD41" s="51">
        <f>'Quarter final consumption'!BT41</f>
        <v>469.84000000000003</v>
      </c>
      <c r="AE41" s="51">
        <f>'Quarter final consumption'!CB41</f>
        <v>2571.0300000000002</v>
      </c>
    </row>
    <row r="42" spans="1:31" x14ac:dyDescent="0.35">
      <c r="A42" s="50" t="s">
        <v>207</v>
      </c>
      <c r="B42" s="51">
        <f>'Quarter supply'!B42</f>
        <v>49736.480000000003</v>
      </c>
      <c r="C42" s="51">
        <f>'Quarter supply'!H42</f>
        <v>39346.35</v>
      </c>
      <c r="D42" s="51">
        <f>'Quarter supply'!P42</f>
        <v>-23456.689999999995</v>
      </c>
      <c r="E42" s="51">
        <f>'Quarter supply'!X42</f>
        <v>-681.15</v>
      </c>
      <c r="F42" s="51">
        <f>'Quarter supply'!Z42</f>
        <v>2792.1099999999997</v>
      </c>
      <c r="G42" s="51">
        <f>'Quarter supply'!AG42</f>
        <v>67737.100000000006</v>
      </c>
      <c r="H42" s="51">
        <f>'Quarter supply'!AP42</f>
        <v>-162.91000000000349</v>
      </c>
      <c r="I42" s="51">
        <f>'Quarter demand'!B42</f>
        <v>67900.010000000009</v>
      </c>
      <c r="J42" s="51">
        <f>'Quarter demand'!K42</f>
        <v>-114.7299999999999</v>
      </c>
      <c r="K42" s="51">
        <f>'Quarter demand'!T42</f>
        <v>-14909.330000000002</v>
      </c>
      <c r="L42" s="51">
        <f>'Quarter demand'!AD42</f>
        <v>-13510.839999999997</v>
      </c>
      <c r="M42" s="51">
        <f>'Quarter demand'!AL42</f>
        <v>-309.69999999999993</v>
      </c>
      <c r="N42" s="51">
        <f>'Quarter demand'!AS42</f>
        <v>-107.69000000000233</v>
      </c>
      <c r="O42" s="51">
        <f>'Quarter demand'!AV42</f>
        <v>-38.779999999999973</v>
      </c>
      <c r="P42" s="51">
        <f>'Quarter demand'!AZ42</f>
        <v>-938.3900000000001</v>
      </c>
      <c r="Q42" s="51">
        <f>'Quarter demand'!BD42</f>
        <v>-3.9299999999999997</v>
      </c>
      <c r="R42" s="51">
        <f>'Quarter demand'!BH42</f>
        <v>0</v>
      </c>
      <c r="S42" s="51">
        <f>'Quarter demand'!BK42</f>
        <v>3915.2200000000003</v>
      </c>
      <c r="T42" s="51">
        <f>'Quarter demand'!BT42</f>
        <v>1104.5900000000001</v>
      </c>
      <c r="U42" s="51">
        <f>'Quarter final consumption'!B42</f>
        <v>47853.02</v>
      </c>
      <c r="V42" s="51">
        <f>'Quarter final consumption'!J42</f>
        <v>472.37999999999994</v>
      </c>
      <c r="W42" s="51">
        <f>'Quarter final consumption'!R42</f>
        <v>8545.5799999999981</v>
      </c>
      <c r="X42" s="51">
        <f>'Quarter final consumption'!Z42</f>
        <v>14365.76</v>
      </c>
      <c r="Y42" s="51">
        <f>'Quarter final consumption'!AF42</f>
        <v>15360.800000000001</v>
      </c>
      <c r="Z42" s="51">
        <f>'Quarter final consumption'!AN42</f>
        <v>6425.73</v>
      </c>
      <c r="AA42" s="51">
        <f>'Quarter final consumption'!AV42</f>
        <v>2245.1</v>
      </c>
      <c r="AB42" s="51">
        <f>'Quarter final consumption'!BD42</f>
        <v>3203.17</v>
      </c>
      <c r="AC42" s="51">
        <f>'Quarter final consumption'!BL42</f>
        <v>294.51</v>
      </c>
      <c r="AD42" s="51">
        <f>'Quarter final consumption'!BT42</f>
        <v>682.94999999999993</v>
      </c>
      <c r="AE42" s="51">
        <f>'Quarter final consumption'!CB42</f>
        <v>2682.77</v>
      </c>
    </row>
    <row r="43" spans="1:31" x14ac:dyDescent="0.35">
      <c r="A43" s="50" t="s">
        <v>208</v>
      </c>
      <c r="B43" s="51">
        <f>'Quarter supply'!B43</f>
        <v>46664.78</v>
      </c>
      <c r="C43" s="51">
        <f>'Quarter supply'!H43</f>
        <v>34267.1</v>
      </c>
      <c r="D43" s="51">
        <f>'Quarter supply'!P43</f>
        <v>-26111.600000000002</v>
      </c>
      <c r="E43" s="51">
        <f>'Quarter supply'!X43</f>
        <v>-593.91999999999996</v>
      </c>
      <c r="F43" s="51">
        <f>'Quarter supply'!Z43</f>
        <v>-886.18999999999994</v>
      </c>
      <c r="G43" s="51">
        <f>'Quarter supply'!AG43</f>
        <v>53340.170000000006</v>
      </c>
      <c r="H43" s="51">
        <f>'Quarter supply'!AP43</f>
        <v>-367.27000000001135</v>
      </c>
      <c r="I43" s="51">
        <f>'Quarter demand'!B43</f>
        <v>53707.440000000017</v>
      </c>
      <c r="J43" s="51">
        <f>'Quarter demand'!K43</f>
        <v>-134.43999999999997</v>
      </c>
      <c r="K43" s="51">
        <f>'Quarter demand'!T43</f>
        <v>-12626.660000000002</v>
      </c>
      <c r="L43" s="51">
        <f>'Quarter demand'!AD43</f>
        <v>-11337.269999999999</v>
      </c>
      <c r="M43" s="51">
        <f>'Quarter demand'!AL43</f>
        <v>-230.32999999999998</v>
      </c>
      <c r="N43" s="51">
        <f>'Quarter demand'!AS43</f>
        <v>-305.36000000000058</v>
      </c>
      <c r="O43" s="51">
        <f>'Quarter demand'!AV43</f>
        <v>-40.960000000000036</v>
      </c>
      <c r="P43" s="51">
        <f>'Quarter demand'!AZ43</f>
        <v>-708.76</v>
      </c>
      <c r="Q43" s="51">
        <f>'Quarter demand'!BD43</f>
        <v>-3.980000000000004</v>
      </c>
      <c r="R43" s="51">
        <f>'Quarter demand'!BH43</f>
        <v>0</v>
      </c>
      <c r="S43" s="51">
        <f>'Quarter demand'!BK43</f>
        <v>3844.17</v>
      </c>
      <c r="T43" s="51">
        <f>'Quarter demand'!BT43</f>
        <v>790.93000000000006</v>
      </c>
      <c r="U43" s="51">
        <f>'Quarter final consumption'!B43</f>
        <v>36313.300000000003</v>
      </c>
      <c r="V43" s="51">
        <f>'Quarter final consumption'!J43</f>
        <v>451.65999999999997</v>
      </c>
      <c r="W43" s="51">
        <f>'Quarter final consumption'!R43</f>
        <v>6395.3300000000008</v>
      </c>
      <c r="X43" s="51">
        <f>'Quarter final consumption'!Z43</f>
        <v>15354.76</v>
      </c>
      <c r="Y43" s="51">
        <f>'Quarter final consumption'!AF43</f>
        <v>7751.369999999999</v>
      </c>
      <c r="Z43" s="51">
        <f>'Quarter final consumption'!AN43</f>
        <v>4140.4699999999993</v>
      </c>
      <c r="AA43" s="51">
        <f>'Quarter final consumption'!AV43</f>
        <v>1353.1</v>
      </c>
      <c r="AB43" s="51">
        <f>'Quarter final consumption'!BD43</f>
        <v>2187.3000000000002</v>
      </c>
      <c r="AC43" s="51">
        <f>'Quarter final consumption'!BL43</f>
        <v>223.45</v>
      </c>
      <c r="AD43" s="51">
        <f>'Quarter final consumption'!BT43</f>
        <v>376.62</v>
      </c>
      <c r="AE43" s="51">
        <f>'Quarter final consumption'!CB43</f>
        <v>2219.71</v>
      </c>
    </row>
    <row r="44" spans="1:31" x14ac:dyDescent="0.35">
      <c r="A44" s="50" t="s">
        <v>209</v>
      </c>
      <c r="B44" s="51">
        <f>'Quarter supply'!B44</f>
        <v>41225.399999999994</v>
      </c>
      <c r="C44" s="51">
        <f>'Quarter supply'!H44</f>
        <v>35899.37000000001</v>
      </c>
      <c r="D44" s="51">
        <f>'Quarter supply'!P44</f>
        <v>-25003.59</v>
      </c>
      <c r="E44" s="51">
        <f>'Quarter supply'!X44</f>
        <v>-647.04999999999995</v>
      </c>
      <c r="F44" s="51">
        <f>'Quarter supply'!Z44</f>
        <v>-279.05</v>
      </c>
      <c r="G44" s="51">
        <f>'Quarter supply'!AG44</f>
        <v>51195.079999999994</v>
      </c>
      <c r="H44" s="51">
        <f>'Quarter supply'!AP44</f>
        <v>181.27999999999156</v>
      </c>
      <c r="I44" s="51">
        <f>'Quarter demand'!B44</f>
        <v>51013.8</v>
      </c>
      <c r="J44" s="51">
        <f>'Quarter demand'!K44</f>
        <v>-191.45000000000002</v>
      </c>
      <c r="K44" s="51">
        <f>'Quarter demand'!T44</f>
        <v>-12071.890000000001</v>
      </c>
      <c r="L44" s="51">
        <f>'Quarter demand'!AD44</f>
        <v>-11317.02</v>
      </c>
      <c r="M44" s="51">
        <f>'Quarter demand'!AL44</f>
        <v>-208.76999999999998</v>
      </c>
      <c r="N44" s="51">
        <f>'Quarter demand'!AS44</f>
        <v>165.45999999999913</v>
      </c>
      <c r="O44" s="51">
        <f>'Quarter demand'!AV44</f>
        <v>-37.340000000000146</v>
      </c>
      <c r="P44" s="51">
        <f>'Quarter demand'!AZ44</f>
        <v>-673.35</v>
      </c>
      <c r="Q44" s="51">
        <f>'Quarter demand'!BD44</f>
        <v>-0.87000000000000455</v>
      </c>
      <c r="R44" s="51">
        <f>'Quarter demand'!BH44</f>
        <v>0</v>
      </c>
      <c r="S44" s="51">
        <f>'Quarter demand'!BK44</f>
        <v>3645.43</v>
      </c>
      <c r="T44" s="51">
        <f>'Quarter demand'!BT44</f>
        <v>776.53</v>
      </c>
      <c r="U44" s="51">
        <f>'Quarter final consumption'!B44</f>
        <v>34331.949999999997</v>
      </c>
      <c r="V44" s="51">
        <f>'Quarter final consumption'!J44</f>
        <v>412.04</v>
      </c>
      <c r="W44" s="51">
        <f>'Quarter final consumption'!R44</f>
        <v>6006.45</v>
      </c>
      <c r="X44" s="51">
        <f>'Quarter final consumption'!Z44</f>
        <v>15605.769999999999</v>
      </c>
      <c r="Y44" s="51">
        <f>'Quarter final consumption'!AF44</f>
        <v>6296.57</v>
      </c>
      <c r="Z44" s="51">
        <f>'Quarter final consumption'!AN44</f>
        <v>3588.46</v>
      </c>
      <c r="AA44" s="51">
        <f>'Quarter final consumption'!AV44</f>
        <v>1108.3</v>
      </c>
      <c r="AB44" s="51">
        <f>'Quarter final consumption'!BD44</f>
        <v>2019.5900000000001</v>
      </c>
      <c r="AC44" s="51">
        <f>'Quarter final consumption'!BL44</f>
        <v>177.57999999999998</v>
      </c>
      <c r="AD44" s="51">
        <f>'Quarter final consumption'!BT44</f>
        <v>282.99</v>
      </c>
      <c r="AE44" s="51">
        <f>'Quarter final consumption'!CB44</f>
        <v>2422.66</v>
      </c>
    </row>
    <row r="45" spans="1:31" x14ac:dyDescent="0.35">
      <c r="A45" s="50" t="s">
        <v>210</v>
      </c>
      <c r="B45" s="51">
        <f>'Quarter supply'!B45</f>
        <v>48342.96</v>
      </c>
      <c r="C45" s="51">
        <f>'Quarter supply'!H45</f>
        <v>39827.64</v>
      </c>
      <c r="D45" s="51">
        <f>'Quarter supply'!P45</f>
        <v>-25438.999999999996</v>
      </c>
      <c r="E45" s="51">
        <f>'Quarter supply'!X45</f>
        <v>-590.54999999999995</v>
      </c>
      <c r="F45" s="51">
        <f>'Quarter supply'!Z45</f>
        <v>2808</v>
      </c>
      <c r="G45" s="51">
        <f>'Quarter supply'!AG45</f>
        <v>64949.05</v>
      </c>
      <c r="H45" s="51">
        <f>'Quarter supply'!AP45</f>
        <v>127.44000000000233</v>
      </c>
      <c r="I45" s="51">
        <f>'Quarter demand'!B45</f>
        <v>64821.61</v>
      </c>
      <c r="J45" s="51">
        <f>'Quarter demand'!K45</f>
        <v>331.15</v>
      </c>
      <c r="K45" s="51">
        <f>'Quarter demand'!T45</f>
        <v>-14742.420000000007</v>
      </c>
      <c r="L45" s="51">
        <f>'Quarter demand'!AD45</f>
        <v>-14017.090000000002</v>
      </c>
      <c r="M45" s="51">
        <f>'Quarter demand'!AL45</f>
        <v>-298.68</v>
      </c>
      <c r="N45" s="51">
        <f>'Quarter demand'!AS45</f>
        <v>30.649999999997817</v>
      </c>
      <c r="O45" s="51">
        <f>'Quarter demand'!AV45</f>
        <v>-30.380000000000109</v>
      </c>
      <c r="P45" s="51">
        <f>'Quarter demand'!AZ45</f>
        <v>-426.3</v>
      </c>
      <c r="Q45" s="51">
        <f>'Quarter demand'!BD45</f>
        <v>-0.61999999999999744</v>
      </c>
      <c r="R45" s="51">
        <f>'Quarter demand'!BH45</f>
        <v>0</v>
      </c>
      <c r="S45" s="51">
        <f>'Quarter demand'!BK45</f>
        <v>3908.01</v>
      </c>
      <c r="T45" s="51">
        <f>'Quarter demand'!BT45</f>
        <v>1009.51</v>
      </c>
      <c r="U45" s="51">
        <f>'Quarter final consumption'!B45</f>
        <v>45490.420000000006</v>
      </c>
      <c r="V45" s="51">
        <f>'Quarter final consumption'!J45</f>
        <v>439.59999999999997</v>
      </c>
      <c r="W45" s="51">
        <f>'Quarter final consumption'!R45</f>
        <v>7817.2400000000007</v>
      </c>
      <c r="X45" s="51">
        <f>'Quarter final consumption'!Z45</f>
        <v>14444.660000000002</v>
      </c>
      <c r="Y45" s="51">
        <f>'Quarter final consumption'!AF45</f>
        <v>15523.7</v>
      </c>
      <c r="Z45" s="51">
        <f>'Quarter final consumption'!AN45</f>
        <v>4861.13</v>
      </c>
      <c r="AA45" s="51">
        <f>'Quarter final consumption'!AV45</f>
        <v>1639.36</v>
      </c>
      <c r="AB45" s="51">
        <f>'Quarter final consumption'!BD45</f>
        <v>2554.0800000000004</v>
      </c>
      <c r="AC45" s="51">
        <f>'Quarter final consumption'!BL45</f>
        <v>211.44</v>
      </c>
      <c r="AD45" s="51">
        <f>'Quarter final consumption'!BT45</f>
        <v>456.25</v>
      </c>
      <c r="AE45" s="51">
        <f>'Quarter final consumption'!CB45</f>
        <v>2404.0899999999997</v>
      </c>
    </row>
    <row r="46" spans="1:31" x14ac:dyDescent="0.35">
      <c r="A46" s="50" t="s">
        <v>211</v>
      </c>
      <c r="B46" s="51">
        <f>'Quarter supply'!B46</f>
        <v>47719.18</v>
      </c>
      <c r="C46" s="51">
        <f>'Quarter supply'!H46</f>
        <v>41747.549999999996</v>
      </c>
      <c r="D46" s="51">
        <f>'Quarter supply'!P46</f>
        <v>-22656.719999999998</v>
      </c>
      <c r="E46" s="51">
        <f>'Quarter supply'!X46</f>
        <v>-882.87</v>
      </c>
      <c r="F46" s="51">
        <f>'Quarter supply'!Z46</f>
        <v>2509.2399999999998</v>
      </c>
      <c r="G46" s="51">
        <f>'Quarter supply'!AG46</f>
        <v>68436.38</v>
      </c>
      <c r="H46" s="51">
        <f>'Quarter supply'!AP46</f>
        <v>-123.73999999997613</v>
      </c>
      <c r="I46" s="51">
        <f>'Quarter demand'!B46</f>
        <v>68560.119999999981</v>
      </c>
      <c r="J46" s="51">
        <f>'Quarter demand'!K46</f>
        <v>-25.57000000000005</v>
      </c>
      <c r="K46" s="51">
        <f>'Quarter demand'!T46</f>
        <v>-14493.469999999998</v>
      </c>
      <c r="L46" s="51">
        <f>'Quarter demand'!AD46</f>
        <v>-13101.97</v>
      </c>
      <c r="M46" s="51">
        <f>'Quarter demand'!AL46</f>
        <v>-336.99</v>
      </c>
      <c r="N46" s="51">
        <f>'Quarter demand'!AS46</f>
        <v>-267.34000000000015</v>
      </c>
      <c r="O46" s="51">
        <f>'Quarter demand'!AV46</f>
        <v>-44.819999999999936</v>
      </c>
      <c r="P46" s="51">
        <f>'Quarter demand'!AZ46</f>
        <v>-736.45999999999992</v>
      </c>
      <c r="Q46" s="51">
        <f>'Quarter demand'!BD46</f>
        <v>-5.8899999999999935</v>
      </c>
      <c r="R46" s="51">
        <f>'Quarter demand'!BH46</f>
        <v>0</v>
      </c>
      <c r="S46" s="51">
        <f>'Quarter demand'!BK46</f>
        <v>3852.9</v>
      </c>
      <c r="T46" s="51">
        <f>'Quarter demand'!BT46</f>
        <v>890.82</v>
      </c>
      <c r="U46" s="51">
        <f>'Quarter final consumption'!B46</f>
        <v>49294.390000000007</v>
      </c>
      <c r="V46" s="51">
        <f>'Quarter final consumption'!J46</f>
        <v>424.7</v>
      </c>
      <c r="W46" s="51">
        <f>'Quarter final consumption'!R46</f>
        <v>8664.6200000000008</v>
      </c>
      <c r="X46" s="51">
        <f>'Quarter final consumption'!Z46</f>
        <v>14379.269999999999</v>
      </c>
      <c r="Y46" s="51">
        <f>'Quarter final consumption'!AF46</f>
        <v>16568.87</v>
      </c>
      <c r="Z46" s="51">
        <f>'Quarter final consumption'!AN46</f>
        <v>6698.3099999999995</v>
      </c>
      <c r="AA46" s="51">
        <f>'Quarter final consumption'!AV46</f>
        <v>2107.86</v>
      </c>
      <c r="AB46" s="51">
        <f>'Quarter final consumption'!BD46</f>
        <v>3655.1</v>
      </c>
      <c r="AC46" s="51">
        <f>'Quarter final consumption'!BL46</f>
        <v>327.45</v>
      </c>
      <c r="AD46" s="51">
        <f>'Quarter final consumption'!BT46</f>
        <v>607.9</v>
      </c>
      <c r="AE46" s="51">
        <f>'Quarter final consumption'!CB46</f>
        <v>2558.62</v>
      </c>
    </row>
    <row r="47" spans="1:31" x14ac:dyDescent="0.35">
      <c r="A47" s="50" t="s">
        <v>212</v>
      </c>
      <c r="B47" s="51">
        <f>'Quarter supply'!B47</f>
        <v>45018.020000000004</v>
      </c>
      <c r="C47" s="51">
        <f>'Quarter supply'!H47</f>
        <v>37578.78</v>
      </c>
      <c r="D47" s="51">
        <f>'Quarter supply'!P47</f>
        <v>-24706.32</v>
      </c>
      <c r="E47" s="51">
        <f>'Quarter supply'!X47</f>
        <v>-978.32</v>
      </c>
      <c r="F47" s="51">
        <f>'Quarter supply'!Z47</f>
        <v>-2585.08</v>
      </c>
      <c r="G47" s="51">
        <f>'Quarter supply'!AG47</f>
        <v>54327.079999999987</v>
      </c>
      <c r="H47" s="51">
        <f>'Quarter supply'!AP47</f>
        <v>100.07999999997992</v>
      </c>
      <c r="I47" s="51">
        <f>'Quarter demand'!B47</f>
        <v>54227.000000000007</v>
      </c>
      <c r="J47" s="51">
        <f>'Quarter demand'!K47</f>
        <v>-75.099999999999966</v>
      </c>
      <c r="K47" s="51">
        <f>'Quarter demand'!T47</f>
        <v>-12424.630000000003</v>
      </c>
      <c r="L47" s="51">
        <f>'Quarter demand'!AD47</f>
        <v>-11206.300000000001</v>
      </c>
      <c r="M47" s="51">
        <f>'Quarter demand'!AL47</f>
        <v>-251.14999999999998</v>
      </c>
      <c r="N47" s="51">
        <f>'Quarter demand'!AS47</f>
        <v>-127.65999999999985</v>
      </c>
      <c r="O47" s="51">
        <f>'Quarter demand'!AV47</f>
        <v>-91.799999999999955</v>
      </c>
      <c r="P47" s="51">
        <f>'Quarter demand'!AZ47</f>
        <v>-743.54</v>
      </c>
      <c r="Q47" s="51">
        <f>'Quarter demand'!BD47</f>
        <v>-4.18</v>
      </c>
      <c r="R47" s="51">
        <f>'Quarter demand'!BH47</f>
        <v>0</v>
      </c>
      <c r="S47" s="51">
        <f>'Quarter demand'!BK47</f>
        <v>3675.0599999999995</v>
      </c>
      <c r="T47" s="51">
        <f>'Quarter demand'!BT47</f>
        <v>780.25</v>
      </c>
      <c r="U47" s="51">
        <f>'Quarter final consumption'!B47</f>
        <v>37275.679999999993</v>
      </c>
      <c r="V47" s="51">
        <f>'Quarter final consumption'!J47</f>
        <v>423.36000000000007</v>
      </c>
      <c r="W47" s="51">
        <f>'Quarter final consumption'!R47</f>
        <v>6656.06</v>
      </c>
      <c r="X47" s="51">
        <f>'Quarter final consumption'!Z47</f>
        <v>14472.71</v>
      </c>
      <c r="Y47" s="51">
        <f>'Quarter final consumption'!AF47</f>
        <v>8220.36</v>
      </c>
      <c r="Z47" s="51">
        <f>'Quarter final consumption'!AN47</f>
        <v>5123.9900000000016</v>
      </c>
      <c r="AA47" s="51">
        <f>'Quarter final consumption'!AV47</f>
        <v>1553.8</v>
      </c>
      <c r="AB47" s="51">
        <f>'Quarter final consumption'!BD47</f>
        <v>2839.6100000000006</v>
      </c>
      <c r="AC47" s="51">
        <f>'Quarter final consumption'!BL47</f>
        <v>234.69</v>
      </c>
      <c r="AD47" s="51">
        <f>'Quarter final consumption'!BT47</f>
        <v>495.89000000000004</v>
      </c>
      <c r="AE47" s="51">
        <f>'Quarter final consumption'!CB47</f>
        <v>2379.2000000000003</v>
      </c>
    </row>
    <row r="48" spans="1:31" x14ac:dyDescent="0.35">
      <c r="A48" s="50" t="s">
        <v>213</v>
      </c>
      <c r="B48" s="51">
        <f>'Quarter supply'!B48</f>
        <v>38838.5</v>
      </c>
      <c r="C48" s="51">
        <f>'Quarter supply'!H48</f>
        <v>37062.14</v>
      </c>
      <c r="D48" s="51">
        <f>'Quarter supply'!P48</f>
        <v>-23577.760000000002</v>
      </c>
      <c r="E48" s="51">
        <f>'Quarter supply'!X48</f>
        <v>-854.39</v>
      </c>
      <c r="F48" s="51">
        <f>'Quarter supply'!Z48</f>
        <v>-2219.6399999999994</v>
      </c>
      <c r="G48" s="51">
        <f>'Quarter supply'!AG48</f>
        <v>49248.849999999991</v>
      </c>
      <c r="H48" s="51">
        <f>'Quarter supply'!AP48</f>
        <v>550.61999999998807</v>
      </c>
      <c r="I48" s="51">
        <f>'Quarter demand'!B48</f>
        <v>48698.23</v>
      </c>
      <c r="J48" s="51">
        <f>'Quarter demand'!K48</f>
        <v>-57.63999999999993</v>
      </c>
      <c r="K48" s="51">
        <f>'Quarter demand'!T48</f>
        <v>-11842.58</v>
      </c>
      <c r="L48" s="51">
        <f>'Quarter demand'!AD48</f>
        <v>-10913.470000000001</v>
      </c>
      <c r="M48" s="51">
        <f>'Quarter demand'!AL48</f>
        <v>-228.28999999999996</v>
      </c>
      <c r="N48" s="51">
        <f>'Quarter demand'!AS48</f>
        <v>65.920000000001892</v>
      </c>
      <c r="O48" s="51">
        <f>'Quarter demand'!AV48</f>
        <v>-46</v>
      </c>
      <c r="P48" s="51">
        <f>'Quarter demand'!AZ48</f>
        <v>-717.85</v>
      </c>
      <c r="Q48" s="51">
        <f>'Quarter demand'!BD48</f>
        <v>-2.8900000000000006</v>
      </c>
      <c r="R48" s="51">
        <f>'Quarter demand'!BH48</f>
        <v>0</v>
      </c>
      <c r="S48" s="51">
        <f>'Quarter demand'!BK48</f>
        <v>3442.18</v>
      </c>
      <c r="T48" s="51">
        <f>'Quarter demand'!BT48</f>
        <v>764.82</v>
      </c>
      <c r="U48" s="51">
        <f>'Quarter final consumption'!B48</f>
        <v>32590.22</v>
      </c>
      <c r="V48" s="51">
        <f>'Quarter final consumption'!J48</f>
        <v>396.85</v>
      </c>
      <c r="W48" s="51">
        <f>'Quarter final consumption'!R48</f>
        <v>5951.1</v>
      </c>
      <c r="X48" s="51">
        <f>'Quarter final consumption'!Z48</f>
        <v>14851.729999999998</v>
      </c>
      <c r="Y48" s="51">
        <f>'Quarter final consumption'!AF48</f>
        <v>5641.39</v>
      </c>
      <c r="Z48" s="51">
        <f>'Quarter final consumption'!AN48</f>
        <v>3616.5499999999997</v>
      </c>
      <c r="AA48" s="51">
        <f>'Quarter final consumption'!AV48</f>
        <v>1026.8599999999999</v>
      </c>
      <c r="AB48" s="51">
        <f>'Quarter final consumption'!BD48</f>
        <v>2236.92</v>
      </c>
      <c r="AC48" s="51">
        <f>'Quarter final consumption'!BL48</f>
        <v>165.55</v>
      </c>
      <c r="AD48" s="51">
        <f>'Quarter final consumption'!BT48</f>
        <v>187.22</v>
      </c>
      <c r="AE48" s="51">
        <f>'Quarter final consumption'!CB48</f>
        <v>2132.6</v>
      </c>
    </row>
    <row r="49" spans="1:31" x14ac:dyDescent="0.35">
      <c r="A49" s="50" t="s">
        <v>214</v>
      </c>
      <c r="B49" s="51">
        <f>'Quarter supply'!B49</f>
        <v>46055.07</v>
      </c>
      <c r="C49" s="51">
        <f>'Quarter supply'!H49</f>
        <v>41847.69</v>
      </c>
      <c r="D49" s="51">
        <f>'Quarter supply'!P49</f>
        <v>-24440.499999999996</v>
      </c>
      <c r="E49" s="51">
        <f>'Quarter supply'!X49</f>
        <v>-947.48</v>
      </c>
      <c r="F49" s="51">
        <f>'Quarter supply'!Z49</f>
        <v>290.00999999999993</v>
      </c>
      <c r="G49" s="51">
        <f>'Quarter supply'!AG49</f>
        <v>62804.79</v>
      </c>
      <c r="H49" s="51">
        <f>'Quarter supply'!AP49</f>
        <v>-12.040000000008149</v>
      </c>
      <c r="I49" s="51">
        <f>'Quarter demand'!B49</f>
        <v>62816.830000000009</v>
      </c>
      <c r="J49" s="51">
        <f>'Quarter demand'!K49</f>
        <v>22.899999999999977</v>
      </c>
      <c r="K49" s="51">
        <f>'Quarter demand'!T49</f>
        <v>-14004.250000000004</v>
      </c>
      <c r="L49" s="51">
        <f>'Quarter demand'!AD49</f>
        <v>-12974.840000000002</v>
      </c>
      <c r="M49" s="51">
        <f>'Quarter demand'!AL49</f>
        <v>-313.03999999999996</v>
      </c>
      <c r="N49" s="51">
        <f>'Quarter demand'!AS49</f>
        <v>-90.710000000002765</v>
      </c>
      <c r="O49" s="51">
        <f>'Quarter demand'!AV49</f>
        <v>-34.110000000000127</v>
      </c>
      <c r="P49" s="51">
        <f>'Quarter demand'!AZ49</f>
        <v>-588.79</v>
      </c>
      <c r="Q49" s="51">
        <f>'Quarter demand'!BD49</f>
        <v>-2.759999999999998</v>
      </c>
      <c r="R49" s="51">
        <f>'Quarter demand'!BH49</f>
        <v>0</v>
      </c>
      <c r="S49" s="51">
        <f>'Quarter demand'!BK49</f>
        <v>3793.89</v>
      </c>
      <c r="T49" s="51">
        <f>'Quarter demand'!BT49</f>
        <v>799.88</v>
      </c>
      <c r="U49" s="51">
        <f>'Quarter final consumption'!B49</f>
        <v>44241.750000000007</v>
      </c>
      <c r="V49" s="51">
        <f>'Quarter final consumption'!J49</f>
        <v>348.73</v>
      </c>
      <c r="W49" s="51">
        <f>'Quarter final consumption'!R49</f>
        <v>7354.16</v>
      </c>
      <c r="X49" s="51">
        <f>'Quarter final consumption'!Z49</f>
        <v>13689.619999999999</v>
      </c>
      <c r="Y49" s="51">
        <f>'Quarter final consumption'!AF49</f>
        <v>14922.960000000001</v>
      </c>
      <c r="Z49" s="51">
        <f>'Quarter final consumption'!AN49</f>
        <v>5833.7500000000009</v>
      </c>
      <c r="AA49" s="51">
        <f>'Quarter final consumption'!AV49</f>
        <v>1835.27</v>
      </c>
      <c r="AB49" s="51">
        <f>'Quarter final consumption'!BD49</f>
        <v>3297.7700000000004</v>
      </c>
      <c r="AC49" s="51">
        <f>'Quarter final consumption'!BL49</f>
        <v>186.84</v>
      </c>
      <c r="AD49" s="51">
        <f>'Quarter final consumption'!BT49</f>
        <v>513.87</v>
      </c>
      <c r="AE49" s="51">
        <f>'Quarter final consumption'!CB49</f>
        <v>2092.5300000000002</v>
      </c>
    </row>
    <row r="50" spans="1:31" x14ac:dyDescent="0.35">
      <c r="A50" s="50" t="s">
        <v>215</v>
      </c>
      <c r="B50" s="51">
        <f>'Quarter supply'!B50</f>
        <v>45349.85</v>
      </c>
      <c r="C50" s="51">
        <f>'Quarter supply'!H50</f>
        <v>41522.6</v>
      </c>
      <c r="D50" s="51">
        <f>'Quarter supply'!P50</f>
        <v>-22708.809999999998</v>
      </c>
      <c r="E50" s="51">
        <f>'Quarter supply'!X50</f>
        <v>-795.46</v>
      </c>
      <c r="F50" s="51">
        <f>'Quarter supply'!Z50</f>
        <v>2030.06</v>
      </c>
      <c r="G50" s="51">
        <f>'Quarter supply'!AG50</f>
        <v>65398.239999999998</v>
      </c>
      <c r="H50" s="51">
        <f>'Quarter supply'!AP50</f>
        <v>-156.4800000000032</v>
      </c>
      <c r="I50" s="51">
        <f>'Quarter demand'!B50</f>
        <v>65554.720000000001</v>
      </c>
      <c r="J50" s="51">
        <f>'Quarter demand'!K50</f>
        <v>64.430000000000064</v>
      </c>
      <c r="K50" s="51">
        <f>'Quarter demand'!T50</f>
        <v>-14457.460000000001</v>
      </c>
      <c r="L50" s="51">
        <f>'Quarter demand'!AD50</f>
        <v>-13281.739999999996</v>
      </c>
      <c r="M50" s="51">
        <f>'Quarter demand'!AL50</f>
        <v>-366.43999999999988</v>
      </c>
      <c r="N50" s="51">
        <f>'Quarter demand'!AS50</f>
        <v>-271.85000000000218</v>
      </c>
      <c r="O50" s="51">
        <f>'Quarter demand'!AV50</f>
        <v>-101.75</v>
      </c>
      <c r="P50" s="51">
        <f>'Quarter demand'!AZ50</f>
        <v>-429.43</v>
      </c>
      <c r="Q50" s="51">
        <f>'Quarter demand'!BD50</f>
        <v>-6.25</v>
      </c>
      <c r="R50" s="51">
        <f>'Quarter demand'!BH50</f>
        <v>0</v>
      </c>
      <c r="S50" s="51">
        <f>'Quarter demand'!BK50</f>
        <v>3777.4600000000005</v>
      </c>
      <c r="T50" s="51">
        <f>'Quarter demand'!BT50</f>
        <v>948.02</v>
      </c>
      <c r="U50" s="51">
        <f>'Quarter final consumption'!B50</f>
        <v>46424.35</v>
      </c>
      <c r="V50" s="51">
        <f>'Quarter final consumption'!J50</f>
        <v>316.08</v>
      </c>
      <c r="W50" s="51">
        <f>'Quarter final consumption'!R50</f>
        <v>6467.61</v>
      </c>
      <c r="X50" s="51">
        <f>'Quarter final consumption'!Z50</f>
        <v>13783.21</v>
      </c>
      <c r="Y50" s="51">
        <f>'Quarter final consumption'!AF50</f>
        <v>17293.03</v>
      </c>
      <c r="Z50" s="51">
        <f>'Quarter final consumption'!AN50</f>
        <v>6380.5700000000006</v>
      </c>
      <c r="AA50" s="51">
        <f>'Quarter final consumption'!AV50</f>
        <v>2012.3200000000002</v>
      </c>
      <c r="AB50" s="51">
        <f>'Quarter final consumption'!BD50</f>
        <v>3608.3</v>
      </c>
      <c r="AC50" s="51">
        <f>'Quarter final consumption'!BL50</f>
        <v>360.6</v>
      </c>
      <c r="AD50" s="51">
        <f>'Quarter final consumption'!BT50</f>
        <v>399.34999999999997</v>
      </c>
      <c r="AE50" s="51">
        <f>'Quarter final consumption'!CB50</f>
        <v>2183.85</v>
      </c>
    </row>
    <row r="51" spans="1:31" x14ac:dyDescent="0.35">
      <c r="A51" s="50" t="s">
        <v>216</v>
      </c>
      <c r="B51" s="51">
        <f>'Quarter supply'!B51</f>
        <v>43710.3</v>
      </c>
      <c r="C51" s="51">
        <f>'Quarter supply'!H51</f>
        <v>34906.030000000006</v>
      </c>
      <c r="D51" s="51">
        <f>'Quarter supply'!P51</f>
        <v>-24435.179999999997</v>
      </c>
      <c r="E51" s="51">
        <f>'Quarter supply'!X51</f>
        <v>-847.98</v>
      </c>
      <c r="F51" s="51">
        <f>'Quarter supply'!Z51</f>
        <v>-3607.22</v>
      </c>
      <c r="G51" s="51">
        <f>'Quarter supply'!AG51</f>
        <v>49725.95</v>
      </c>
      <c r="H51" s="51">
        <f>'Quarter supply'!AP51</f>
        <v>9.0499999999956344</v>
      </c>
      <c r="I51" s="51">
        <f>'Quarter demand'!B51</f>
        <v>49716.9</v>
      </c>
      <c r="J51" s="51">
        <f>'Quarter demand'!K51</f>
        <v>58.03</v>
      </c>
      <c r="K51" s="51">
        <f>'Quarter demand'!T51</f>
        <v>-11484.379999999997</v>
      </c>
      <c r="L51" s="51">
        <f>'Quarter demand'!AD51</f>
        <v>-10466.369999999999</v>
      </c>
      <c r="M51" s="51">
        <f>'Quarter demand'!AL51</f>
        <v>-247.82999999999998</v>
      </c>
      <c r="N51" s="51">
        <f>'Quarter demand'!AS51</f>
        <v>-190.95999999999913</v>
      </c>
      <c r="O51" s="51">
        <f>'Quarter demand'!AV51</f>
        <v>-103.98000000000002</v>
      </c>
      <c r="P51" s="51">
        <f>'Quarter demand'!AZ51</f>
        <v>-459.36</v>
      </c>
      <c r="Q51" s="51">
        <f>'Quarter demand'!BD51</f>
        <v>-15.879999999999999</v>
      </c>
      <c r="R51" s="51">
        <f>'Quarter demand'!BH51</f>
        <v>0</v>
      </c>
      <c r="S51" s="51">
        <f>'Quarter demand'!BK51</f>
        <v>3477.4199999999996</v>
      </c>
      <c r="T51" s="51">
        <f>'Quarter demand'!BT51</f>
        <v>796.9</v>
      </c>
      <c r="U51" s="51">
        <f>'Quarter final consumption'!B51</f>
        <v>34013.479999999996</v>
      </c>
      <c r="V51" s="51">
        <f>'Quarter final consumption'!J51</f>
        <v>304.61</v>
      </c>
      <c r="W51" s="51">
        <f>'Quarter final consumption'!R51</f>
        <v>4731.170000000001</v>
      </c>
      <c r="X51" s="51">
        <f>'Quarter final consumption'!Z51</f>
        <v>14136.45</v>
      </c>
      <c r="Y51" s="51">
        <f>'Quarter final consumption'!AF51</f>
        <v>7473.3700000000008</v>
      </c>
      <c r="Z51" s="51">
        <f>'Quarter final consumption'!AN51</f>
        <v>4969.1399999999994</v>
      </c>
      <c r="AA51" s="51">
        <f>'Quarter final consumption'!AV51</f>
        <v>1402.8799999999999</v>
      </c>
      <c r="AB51" s="51">
        <f>'Quarter final consumption'!BD51</f>
        <v>2841.4300000000003</v>
      </c>
      <c r="AC51" s="51">
        <f>'Quarter final consumption'!BL51</f>
        <v>368.37</v>
      </c>
      <c r="AD51" s="51">
        <f>'Quarter final consumption'!BT51</f>
        <v>356.46</v>
      </c>
      <c r="AE51" s="51">
        <f>'Quarter final consumption'!CB51</f>
        <v>2398.7400000000002</v>
      </c>
    </row>
    <row r="52" spans="1:31" x14ac:dyDescent="0.35">
      <c r="A52" s="50" t="s">
        <v>217</v>
      </c>
      <c r="B52" s="51">
        <f>'Quarter supply'!B52</f>
        <v>35716.800000000003</v>
      </c>
      <c r="C52" s="51">
        <f>'Quarter supply'!H52</f>
        <v>34948.21</v>
      </c>
      <c r="D52" s="51">
        <f>'Quarter supply'!P52</f>
        <v>-20143.310000000001</v>
      </c>
      <c r="E52" s="51">
        <f>'Quarter supply'!X52</f>
        <v>-1014.98</v>
      </c>
      <c r="F52" s="51">
        <f>'Quarter supply'!Z52</f>
        <v>-3567.98</v>
      </c>
      <c r="G52" s="51">
        <f>'Quarter supply'!AG52</f>
        <v>45938.74</v>
      </c>
      <c r="H52" s="51">
        <f>'Quarter supply'!AP52</f>
        <v>-221.17000000000553</v>
      </c>
      <c r="I52" s="51">
        <f>'Quarter demand'!B52</f>
        <v>46159.91</v>
      </c>
      <c r="J52" s="51">
        <f>'Quarter demand'!K52</f>
        <v>39.579999999999899</v>
      </c>
      <c r="K52" s="51">
        <f>'Quarter demand'!T52</f>
        <v>-11067.640000000003</v>
      </c>
      <c r="L52" s="51">
        <f>'Quarter demand'!AD52</f>
        <v>-10216.829999999998</v>
      </c>
      <c r="M52" s="51">
        <f>'Quarter demand'!AL52</f>
        <v>-220.13</v>
      </c>
      <c r="N52" s="51">
        <f>'Quarter demand'!AS52</f>
        <v>-9.430000000000291</v>
      </c>
      <c r="O52" s="51">
        <f>'Quarter demand'!AV52</f>
        <v>-101.63</v>
      </c>
      <c r="P52" s="51">
        <f>'Quarter demand'!AZ52</f>
        <v>-504.49</v>
      </c>
      <c r="Q52" s="51">
        <f>'Quarter demand'!BD52</f>
        <v>-15.129999999999999</v>
      </c>
      <c r="R52" s="51">
        <f>'Quarter demand'!BH52</f>
        <v>0</v>
      </c>
      <c r="S52" s="51">
        <f>'Quarter demand'!BK52</f>
        <v>3242.04</v>
      </c>
      <c r="T52" s="51">
        <f>'Quarter demand'!BT52</f>
        <v>779.23</v>
      </c>
      <c r="U52" s="51">
        <f>'Quarter final consumption'!B52</f>
        <v>31112.07</v>
      </c>
      <c r="V52" s="51">
        <f>'Quarter final consumption'!J52</f>
        <v>317.19</v>
      </c>
      <c r="W52" s="51">
        <f>'Quarter final consumption'!R52</f>
        <v>4500.53</v>
      </c>
      <c r="X52" s="51">
        <f>'Quarter final consumption'!Z52</f>
        <v>14377.09</v>
      </c>
      <c r="Y52" s="51">
        <f>'Quarter final consumption'!AF52</f>
        <v>5183.1499999999996</v>
      </c>
      <c r="Z52" s="51">
        <f>'Quarter final consumption'!AN52</f>
        <v>4434.2600000000011</v>
      </c>
      <c r="AA52" s="51">
        <f>'Quarter final consumption'!AV52</f>
        <v>1190.6199999999999</v>
      </c>
      <c r="AB52" s="51">
        <f>'Quarter final consumption'!BD52</f>
        <v>2647.1400000000003</v>
      </c>
      <c r="AC52" s="51">
        <f>'Quarter final consumption'!BL52</f>
        <v>371.91</v>
      </c>
      <c r="AD52" s="51">
        <f>'Quarter final consumption'!BT52</f>
        <v>224.58999999999997</v>
      </c>
      <c r="AE52" s="51">
        <f>'Quarter final consumption'!CB52</f>
        <v>2299.85</v>
      </c>
    </row>
    <row r="53" spans="1:31" x14ac:dyDescent="0.35">
      <c r="A53" s="50" t="s">
        <v>218</v>
      </c>
      <c r="B53" s="51">
        <f>'Quarter supply'!B53</f>
        <v>41395.220000000008</v>
      </c>
      <c r="C53" s="51">
        <f>'Quarter supply'!H53</f>
        <v>40658.17</v>
      </c>
      <c r="D53" s="51">
        <f>'Quarter supply'!P53</f>
        <v>-22930.04</v>
      </c>
      <c r="E53" s="51">
        <f>'Quarter supply'!X53</f>
        <v>-846.18</v>
      </c>
      <c r="F53" s="51">
        <f>'Quarter supply'!Z53</f>
        <v>1431.3899999999999</v>
      </c>
      <c r="G53" s="51">
        <f>'Quarter supply'!AG53</f>
        <v>59708.560000000012</v>
      </c>
      <c r="H53" s="51">
        <f>'Quarter supply'!AP53</f>
        <v>-19.499999999992724</v>
      </c>
      <c r="I53" s="51">
        <f>'Quarter demand'!B53</f>
        <v>59728.060000000005</v>
      </c>
      <c r="J53" s="51">
        <f>'Quarter demand'!K53</f>
        <v>110.65</v>
      </c>
      <c r="K53" s="51">
        <f>'Quarter demand'!T53</f>
        <v>-13402.139999999996</v>
      </c>
      <c r="L53" s="51">
        <f>'Quarter demand'!AD53</f>
        <v>-12187.819999999996</v>
      </c>
      <c r="M53" s="51">
        <f>'Quarter demand'!AL53</f>
        <v>-312.82999999999993</v>
      </c>
      <c r="N53" s="51">
        <f>'Quarter demand'!AS53</f>
        <v>-161.72999999999956</v>
      </c>
      <c r="O53" s="51">
        <f>'Quarter demand'!AV53</f>
        <v>-94.949999999999932</v>
      </c>
      <c r="P53" s="51">
        <f>'Quarter demand'!AZ53</f>
        <v>-637.4</v>
      </c>
      <c r="Q53" s="51">
        <f>'Quarter demand'!BD53</f>
        <v>-7.41</v>
      </c>
      <c r="R53" s="51">
        <f>'Quarter demand'!BH53</f>
        <v>0</v>
      </c>
      <c r="S53" s="51">
        <f>'Quarter demand'!BK53</f>
        <v>3597.8300000000004</v>
      </c>
      <c r="T53" s="51">
        <f>'Quarter demand'!BT53</f>
        <v>855.11999999999989</v>
      </c>
      <c r="U53" s="51">
        <f>'Quarter final consumption'!B53</f>
        <v>41996.73</v>
      </c>
      <c r="V53" s="51">
        <f>'Quarter final consumption'!J53</f>
        <v>351.90999999999997</v>
      </c>
      <c r="W53" s="51">
        <f>'Quarter final consumption'!R53</f>
        <v>5934.36</v>
      </c>
      <c r="X53" s="51">
        <f>'Quarter final consumption'!Z53</f>
        <v>13533.390000000001</v>
      </c>
      <c r="Y53" s="51">
        <f>'Quarter final consumption'!AF53</f>
        <v>13917.140000000001</v>
      </c>
      <c r="Z53" s="51">
        <f>'Quarter final consumption'!AN53</f>
        <v>6191.3200000000006</v>
      </c>
      <c r="AA53" s="51">
        <f>'Quarter final consumption'!AV53</f>
        <v>1910.0600000000002</v>
      </c>
      <c r="AB53" s="51">
        <f>'Quarter final consumption'!BD53</f>
        <v>3444.82</v>
      </c>
      <c r="AC53" s="51">
        <f>'Quarter final consumption'!BL53</f>
        <v>414.01000000000005</v>
      </c>
      <c r="AD53" s="51">
        <f>'Quarter final consumption'!BT53</f>
        <v>422.43</v>
      </c>
      <c r="AE53" s="51">
        <f>'Quarter final consumption'!CB53</f>
        <v>2068.61</v>
      </c>
    </row>
    <row r="54" spans="1:31" x14ac:dyDescent="0.35">
      <c r="A54" s="50" t="s">
        <v>219</v>
      </c>
      <c r="B54" s="51">
        <f>'Quarter supply'!B54</f>
        <v>42469.98</v>
      </c>
      <c r="C54" s="51">
        <f>'Quarter supply'!H54</f>
        <v>42035.68</v>
      </c>
      <c r="D54" s="51">
        <f>'Quarter supply'!P54</f>
        <v>-22226.730000000003</v>
      </c>
      <c r="E54" s="51">
        <f>'Quarter supply'!X54</f>
        <v>-684.12</v>
      </c>
      <c r="F54" s="51">
        <f>'Quarter supply'!Z54</f>
        <v>5515.32</v>
      </c>
      <c r="G54" s="51">
        <f>'Quarter supply'!AG54</f>
        <v>67110.12999999999</v>
      </c>
      <c r="H54" s="51">
        <f>'Quarter supply'!AP54</f>
        <v>490.31999999997788</v>
      </c>
      <c r="I54" s="51">
        <f>'Quarter demand'!B54</f>
        <v>66619.810000000012</v>
      </c>
      <c r="J54" s="51">
        <f>'Quarter demand'!K54</f>
        <v>-4.1800000000000068</v>
      </c>
      <c r="K54" s="51">
        <f>'Quarter demand'!T54</f>
        <v>-14449.149999999998</v>
      </c>
      <c r="L54" s="51">
        <f>'Quarter demand'!AD54</f>
        <v>-13239.390000000001</v>
      </c>
      <c r="M54" s="51">
        <f>'Quarter demand'!AL54</f>
        <v>-342.3</v>
      </c>
      <c r="N54" s="51">
        <f>'Quarter demand'!AS54</f>
        <v>-317.20000000000073</v>
      </c>
      <c r="O54" s="51">
        <f>'Quarter demand'!AV54</f>
        <v>-28.700000000000045</v>
      </c>
      <c r="P54" s="51">
        <f>'Quarter demand'!AZ54</f>
        <v>-517.84</v>
      </c>
      <c r="Q54" s="51">
        <f>'Quarter demand'!BD54</f>
        <v>-3.7199999999999953</v>
      </c>
      <c r="R54" s="51">
        <f>'Quarter demand'!BH54</f>
        <v>0</v>
      </c>
      <c r="S54" s="51">
        <f>'Quarter demand'!BK54</f>
        <v>3675.69</v>
      </c>
      <c r="T54" s="51">
        <f>'Quarter demand'!BT54</f>
        <v>1006.04</v>
      </c>
      <c r="U54" s="51">
        <f>'Quarter final consumption'!B54</f>
        <v>47489.94000000001</v>
      </c>
      <c r="V54" s="51">
        <f>'Quarter final consumption'!J54</f>
        <v>368.61</v>
      </c>
      <c r="W54" s="51">
        <f>'Quarter final consumption'!R54</f>
        <v>6717.61</v>
      </c>
      <c r="X54" s="51">
        <f>'Quarter final consumption'!Z54</f>
        <v>12921.51</v>
      </c>
      <c r="Y54" s="51">
        <f>'Quarter final consumption'!AF54</f>
        <v>18700.260000000002</v>
      </c>
      <c r="Z54" s="51">
        <f>'Quarter final consumption'!AN54</f>
        <v>6722.87</v>
      </c>
      <c r="AA54" s="51">
        <f>'Quarter final consumption'!AV54</f>
        <v>2086.7700000000004</v>
      </c>
      <c r="AB54" s="51">
        <f>'Quarter final consumption'!BD54</f>
        <v>3807.63</v>
      </c>
      <c r="AC54" s="51">
        <f>'Quarter final consumption'!BL54</f>
        <v>412.65000000000003</v>
      </c>
      <c r="AD54" s="51">
        <f>'Quarter final consumption'!BT54</f>
        <v>415.81999999999994</v>
      </c>
      <c r="AE54" s="51">
        <f>'Quarter final consumption'!CB54</f>
        <v>2059.08</v>
      </c>
    </row>
    <row r="55" spans="1:31" x14ac:dyDescent="0.35">
      <c r="A55" s="50" t="s">
        <v>220</v>
      </c>
      <c r="B55" s="51">
        <f>'Quarter supply'!B55</f>
        <v>39624.31</v>
      </c>
      <c r="C55" s="51">
        <f>'Quarter supply'!H55</f>
        <v>38370.629999999997</v>
      </c>
      <c r="D55" s="51">
        <f>'Quarter supply'!P55</f>
        <v>-24203.280000000002</v>
      </c>
      <c r="E55" s="51">
        <f>'Quarter supply'!X55</f>
        <v>-663.97</v>
      </c>
      <c r="F55" s="51">
        <f>'Quarter supply'!Z55</f>
        <v>-2542.91</v>
      </c>
      <c r="G55" s="51">
        <f>'Quarter supply'!AG55</f>
        <v>50584.78</v>
      </c>
      <c r="H55" s="51">
        <f>'Quarter supply'!AP55</f>
        <v>120.08000000000175</v>
      </c>
      <c r="I55" s="51">
        <f>'Quarter demand'!B55</f>
        <v>50464.7</v>
      </c>
      <c r="J55" s="51">
        <f>'Quarter demand'!K55</f>
        <v>-4.4500000000000455</v>
      </c>
      <c r="K55" s="51">
        <f>'Quarter demand'!T55</f>
        <v>-11416.83</v>
      </c>
      <c r="L55" s="51">
        <f>'Quarter demand'!AD55</f>
        <v>-10485.650000000001</v>
      </c>
      <c r="M55" s="51">
        <f>'Quarter demand'!AL55</f>
        <v>-246.27999999999992</v>
      </c>
      <c r="N55" s="51">
        <f>'Quarter demand'!AS55</f>
        <v>-170.72999999999956</v>
      </c>
      <c r="O55" s="51">
        <f>'Quarter demand'!AV55</f>
        <v>-32.840000000000032</v>
      </c>
      <c r="P55" s="51">
        <f>'Quarter demand'!AZ55</f>
        <v>-475.28</v>
      </c>
      <c r="Q55" s="51">
        <f>'Quarter demand'!BD55</f>
        <v>-6.0500000000000007</v>
      </c>
      <c r="R55" s="51">
        <f>'Quarter demand'!BH55</f>
        <v>0</v>
      </c>
      <c r="S55" s="51">
        <f>'Quarter demand'!BK55</f>
        <v>3626.82</v>
      </c>
      <c r="T55" s="51">
        <f>'Quarter demand'!BT55</f>
        <v>915.83999999999992</v>
      </c>
      <c r="U55" s="51">
        <f>'Quarter final consumption'!B55</f>
        <v>34493.090000000004</v>
      </c>
      <c r="V55" s="51">
        <f>'Quarter final consumption'!J55</f>
        <v>361.75</v>
      </c>
      <c r="W55" s="51">
        <f>'Quarter final consumption'!R55</f>
        <v>4996.96</v>
      </c>
      <c r="X55" s="51">
        <f>'Quarter final consumption'!Z55</f>
        <v>13804.92</v>
      </c>
      <c r="Y55" s="51">
        <f>'Quarter final consumption'!AF55</f>
        <v>7899.0599999999995</v>
      </c>
      <c r="Z55" s="51">
        <f>'Quarter final consumption'!AN55</f>
        <v>5010.13</v>
      </c>
      <c r="AA55" s="51">
        <f>'Quarter final consumption'!AV55</f>
        <v>1448.09</v>
      </c>
      <c r="AB55" s="51">
        <f>'Quarter final consumption'!BD55</f>
        <v>2872.49</v>
      </c>
      <c r="AC55" s="51">
        <f>'Quarter final consumption'!BL55</f>
        <v>376.48</v>
      </c>
      <c r="AD55" s="51">
        <f>'Quarter final consumption'!BT55</f>
        <v>313.07</v>
      </c>
      <c r="AE55" s="51">
        <f>'Quarter final consumption'!CB55</f>
        <v>2420.27</v>
      </c>
    </row>
    <row r="56" spans="1:31" x14ac:dyDescent="0.35">
      <c r="A56" s="50" t="s">
        <v>221</v>
      </c>
      <c r="B56" s="51">
        <f>'Quarter supply'!B56</f>
        <v>35270.86</v>
      </c>
      <c r="C56" s="51">
        <f>'Quarter supply'!H56</f>
        <v>34562.879999999997</v>
      </c>
      <c r="D56" s="51">
        <f>'Quarter supply'!P56</f>
        <v>-21306.050000000003</v>
      </c>
      <c r="E56" s="51">
        <f>'Quarter supply'!X56</f>
        <v>-817.53</v>
      </c>
      <c r="F56" s="51">
        <f>'Quarter supply'!Z56</f>
        <v>-1396.35</v>
      </c>
      <c r="G56" s="51">
        <f>'Quarter supply'!AG56</f>
        <v>46313.81</v>
      </c>
      <c r="H56" s="51">
        <f>'Quarter supply'!AP56</f>
        <v>8.000000000174623E-2</v>
      </c>
      <c r="I56" s="51">
        <f>'Quarter demand'!B56</f>
        <v>46313.729999999996</v>
      </c>
      <c r="J56" s="51">
        <f>'Quarter demand'!K56</f>
        <v>-13.089999999999975</v>
      </c>
      <c r="K56" s="51">
        <f>'Quarter demand'!T56</f>
        <v>-10614.580000000002</v>
      </c>
      <c r="L56" s="51">
        <f>'Quarter demand'!AD56</f>
        <v>-10056.89</v>
      </c>
      <c r="M56" s="51">
        <f>'Quarter demand'!AL56</f>
        <v>-218.87000000000006</v>
      </c>
      <c r="N56" s="51">
        <f>'Quarter demand'!AS56</f>
        <v>130.38000000000102</v>
      </c>
      <c r="O56" s="51">
        <f>'Quarter demand'!AV56</f>
        <v>-32.650000000000091</v>
      </c>
      <c r="P56" s="51">
        <f>'Quarter demand'!AZ56</f>
        <v>-414.75</v>
      </c>
      <c r="Q56" s="51">
        <f>'Quarter demand'!BD56</f>
        <v>-21.799999999999997</v>
      </c>
      <c r="R56" s="51">
        <f>'Quarter demand'!BH56</f>
        <v>0</v>
      </c>
      <c r="S56" s="51">
        <f>'Quarter demand'!BK56</f>
        <v>3449.4</v>
      </c>
      <c r="T56" s="51">
        <f>'Quarter demand'!BT56</f>
        <v>780.23</v>
      </c>
      <c r="U56" s="51">
        <f>'Quarter final consumption'!B56</f>
        <v>31454.710000000003</v>
      </c>
      <c r="V56" s="51">
        <f>'Quarter final consumption'!J56</f>
        <v>329.56</v>
      </c>
      <c r="W56" s="51">
        <f>'Quarter final consumption'!R56</f>
        <v>4720.420000000001</v>
      </c>
      <c r="X56" s="51">
        <f>'Quarter final consumption'!Z56</f>
        <v>14525.44</v>
      </c>
      <c r="Y56" s="51">
        <f>'Quarter final consumption'!AF56</f>
        <v>5239.16</v>
      </c>
      <c r="Z56" s="51">
        <f>'Quarter final consumption'!AN56</f>
        <v>4424.8300000000008</v>
      </c>
      <c r="AA56" s="51">
        <f>'Quarter final consumption'!AV56</f>
        <v>1236.8799999999999</v>
      </c>
      <c r="AB56" s="51">
        <f>'Quarter final consumption'!BD56</f>
        <v>2569.19</v>
      </c>
      <c r="AC56" s="51">
        <f>'Quarter final consumption'!BL56</f>
        <v>367.04</v>
      </c>
      <c r="AD56" s="51">
        <f>'Quarter final consumption'!BT56</f>
        <v>251.72</v>
      </c>
      <c r="AE56" s="51">
        <f>'Quarter final consumption'!CB56</f>
        <v>2215.3000000000002</v>
      </c>
    </row>
    <row r="57" spans="1:31" x14ac:dyDescent="0.35">
      <c r="A57" s="50" t="s">
        <v>222</v>
      </c>
      <c r="B57" s="51">
        <f>'Quarter supply'!B57</f>
        <v>39298.310000000005</v>
      </c>
      <c r="C57" s="51">
        <f>'Quarter supply'!H57</f>
        <v>44841.119999999995</v>
      </c>
      <c r="D57" s="51">
        <f>'Quarter supply'!P57</f>
        <v>-23346.480000000003</v>
      </c>
      <c r="E57" s="51">
        <f>'Quarter supply'!X57</f>
        <v>-786.53</v>
      </c>
      <c r="F57" s="51">
        <f>'Quarter supply'!Z57</f>
        <v>4717.3600000000006</v>
      </c>
      <c r="G57" s="51">
        <f>'Quarter supply'!AG57</f>
        <v>64723.78</v>
      </c>
      <c r="H57" s="51">
        <f>'Quarter supply'!AP57</f>
        <v>298.67999999999302</v>
      </c>
      <c r="I57" s="51">
        <f>'Quarter demand'!B57</f>
        <v>64425.100000000006</v>
      </c>
      <c r="J57" s="51">
        <f>'Quarter demand'!K57</f>
        <v>4.6200000000000045</v>
      </c>
      <c r="K57" s="51">
        <f>'Quarter demand'!T57</f>
        <v>-13766.849999999997</v>
      </c>
      <c r="L57" s="51">
        <f>'Quarter demand'!AD57</f>
        <v>-12922.939999999999</v>
      </c>
      <c r="M57" s="51">
        <f>'Quarter demand'!AL57</f>
        <v>-323.44000000000005</v>
      </c>
      <c r="N57" s="51">
        <f>'Quarter demand'!AS57</f>
        <v>-12.779999999998836</v>
      </c>
      <c r="O57" s="51">
        <f>'Quarter demand'!AV57</f>
        <v>-76.360000000000014</v>
      </c>
      <c r="P57" s="51">
        <f>'Quarter demand'!AZ57</f>
        <v>-420.61</v>
      </c>
      <c r="Q57" s="51">
        <f>'Quarter demand'!BD57</f>
        <v>-10.720000000000006</v>
      </c>
      <c r="R57" s="51">
        <f>'Quarter demand'!BH57</f>
        <v>0</v>
      </c>
      <c r="S57" s="51">
        <f>'Quarter demand'!BK57</f>
        <v>3736.01</v>
      </c>
      <c r="T57" s="51">
        <f>'Quarter demand'!BT57</f>
        <v>833.98</v>
      </c>
      <c r="U57" s="51">
        <f>'Quarter final consumption'!B57</f>
        <v>46097.09</v>
      </c>
      <c r="V57" s="51">
        <f>'Quarter final consumption'!J57</f>
        <v>347.08000000000004</v>
      </c>
      <c r="W57" s="51">
        <f>'Quarter final consumption'!R57</f>
        <v>6084.64</v>
      </c>
      <c r="X57" s="51">
        <f>'Quarter final consumption'!Z57</f>
        <v>14081.1</v>
      </c>
      <c r="Y57" s="51">
        <f>'Quarter final consumption'!AF57</f>
        <v>16500.140000000003</v>
      </c>
      <c r="Z57" s="51">
        <f>'Quarter final consumption'!AN57</f>
        <v>7068.5899999999992</v>
      </c>
      <c r="AA57" s="51">
        <f>'Quarter final consumption'!AV57</f>
        <v>2187.83</v>
      </c>
      <c r="AB57" s="51">
        <f>'Quarter final consumption'!BD57</f>
        <v>3907.3299999999995</v>
      </c>
      <c r="AC57" s="51">
        <f>'Quarter final consumption'!BL57</f>
        <v>477.38</v>
      </c>
      <c r="AD57" s="51">
        <f>'Quarter final consumption'!BT57</f>
        <v>496.04999999999995</v>
      </c>
      <c r="AE57" s="51">
        <f>'Quarter final consumption'!CB57</f>
        <v>2015.54</v>
      </c>
    </row>
    <row r="58" spans="1:31" x14ac:dyDescent="0.35">
      <c r="A58" s="50" t="s">
        <v>223</v>
      </c>
      <c r="B58" s="51">
        <f>'Quarter supply'!B58</f>
        <v>38072.429999999993</v>
      </c>
      <c r="C58" s="51">
        <f>'Quarter supply'!H58</f>
        <v>43025.599999999999</v>
      </c>
      <c r="D58" s="51">
        <f>'Quarter supply'!P58</f>
        <v>-19743.689999999999</v>
      </c>
      <c r="E58" s="51">
        <f>'Quarter supply'!X58</f>
        <v>-814.21</v>
      </c>
      <c r="F58" s="51">
        <f>'Quarter supply'!Z58</f>
        <v>2413.2200000000003</v>
      </c>
      <c r="G58" s="51">
        <f>'Quarter supply'!AG58</f>
        <v>62953.35</v>
      </c>
      <c r="H58" s="51">
        <f>'Quarter supply'!AP58</f>
        <v>15.75</v>
      </c>
      <c r="I58" s="51">
        <f>'Quarter demand'!B58</f>
        <v>62937.599999999999</v>
      </c>
      <c r="J58" s="51">
        <f>'Quarter demand'!K58</f>
        <v>-7.5800000000000409</v>
      </c>
      <c r="K58" s="51">
        <f>'Quarter demand'!T58</f>
        <v>-13918.32</v>
      </c>
      <c r="L58" s="51">
        <f>'Quarter demand'!AD58</f>
        <v>-12902.15</v>
      </c>
      <c r="M58" s="51">
        <f>'Quarter demand'!AL58</f>
        <v>-365.01</v>
      </c>
      <c r="N58" s="51">
        <f>'Quarter demand'!AS58</f>
        <v>-116.82999999999811</v>
      </c>
      <c r="O58" s="51">
        <f>'Quarter demand'!AV58</f>
        <v>-71.5</v>
      </c>
      <c r="P58" s="51">
        <f>'Quarter demand'!AZ58</f>
        <v>-444.93</v>
      </c>
      <c r="Q58" s="51">
        <f>'Quarter demand'!BD58</f>
        <v>-17.899999999999999</v>
      </c>
      <c r="R58" s="51">
        <f>'Quarter demand'!BH58</f>
        <v>0</v>
      </c>
      <c r="S58" s="51">
        <f>'Quarter demand'!BK58</f>
        <v>3675.53</v>
      </c>
      <c r="T58" s="51">
        <f>'Quarter demand'!BT58</f>
        <v>957.31000000000006</v>
      </c>
      <c r="U58" s="51">
        <f>'Quarter final consumption'!B58</f>
        <v>44372.390000000007</v>
      </c>
      <c r="V58" s="51">
        <f>'Quarter final consumption'!J58</f>
        <v>345.56</v>
      </c>
      <c r="W58" s="51">
        <f>'Quarter final consumption'!R58</f>
        <v>6630.42</v>
      </c>
      <c r="X58" s="51">
        <f>'Quarter final consumption'!Z58</f>
        <v>13013.69</v>
      </c>
      <c r="Y58" s="51">
        <f>'Quarter final consumption'!AF58</f>
        <v>16134.34</v>
      </c>
      <c r="Z58" s="51">
        <f>'Quarter final consumption'!AN58</f>
        <v>6179.75</v>
      </c>
      <c r="AA58" s="51">
        <f>'Quarter final consumption'!AV58</f>
        <v>1864.8799999999999</v>
      </c>
      <c r="AB58" s="51">
        <f>'Quarter final consumption'!BD58</f>
        <v>3578.2400000000002</v>
      </c>
      <c r="AC58" s="51">
        <f>'Quarter final consumption'!BL58</f>
        <v>347.58000000000004</v>
      </c>
      <c r="AD58" s="51">
        <f>'Quarter final consumption'!BT58</f>
        <v>389.04999999999995</v>
      </c>
      <c r="AE58" s="51">
        <f>'Quarter final consumption'!CB58</f>
        <v>2068.63</v>
      </c>
    </row>
    <row r="59" spans="1:31" x14ac:dyDescent="0.35">
      <c r="A59" s="50" t="s">
        <v>224</v>
      </c>
      <c r="B59" s="51">
        <f>'Quarter supply'!B59</f>
        <v>34773.629999999997</v>
      </c>
      <c r="C59" s="51">
        <f>'Quarter supply'!H59</f>
        <v>37897.490000000005</v>
      </c>
      <c r="D59" s="51">
        <f>'Quarter supply'!P59</f>
        <v>-21880.590000000004</v>
      </c>
      <c r="E59" s="51">
        <f>'Quarter supply'!X59</f>
        <v>-721.15</v>
      </c>
      <c r="F59" s="51">
        <f>'Quarter supply'!Z59</f>
        <v>-2241.08</v>
      </c>
      <c r="G59" s="51">
        <f>'Quarter supply'!AG59</f>
        <v>47828.3</v>
      </c>
      <c r="H59" s="51">
        <f>'Quarter supply'!AP59</f>
        <v>-244.44999999999709</v>
      </c>
      <c r="I59" s="51">
        <f>'Quarter demand'!B59</f>
        <v>48072.75</v>
      </c>
      <c r="J59" s="51">
        <f>'Quarter demand'!K59</f>
        <v>-6.2800000000000864</v>
      </c>
      <c r="K59" s="51">
        <f>'Quarter demand'!T59</f>
        <v>-11087.839999999998</v>
      </c>
      <c r="L59" s="51">
        <f>'Quarter demand'!AD59</f>
        <v>-10249.26</v>
      </c>
      <c r="M59" s="51">
        <f>'Quarter demand'!AL59</f>
        <v>-255.15000000000003</v>
      </c>
      <c r="N59" s="51">
        <f>'Quarter demand'!AS59</f>
        <v>-48.799999999999272</v>
      </c>
      <c r="O59" s="51">
        <f>'Quarter demand'!AV59</f>
        <v>-64.099999999999909</v>
      </c>
      <c r="P59" s="51">
        <f>'Quarter demand'!AZ59</f>
        <v>-460.92</v>
      </c>
      <c r="Q59" s="51">
        <f>'Quarter demand'!BD59</f>
        <v>-9.61</v>
      </c>
      <c r="R59" s="51">
        <f>'Quarter demand'!BH59</f>
        <v>0</v>
      </c>
      <c r="S59" s="51">
        <f>'Quarter demand'!BK59</f>
        <v>3550.9200000000005</v>
      </c>
      <c r="T59" s="51">
        <f>'Quarter demand'!BT59</f>
        <v>805.66</v>
      </c>
      <c r="U59" s="51">
        <f>'Quarter final consumption'!B59</f>
        <v>32628.460000000003</v>
      </c>
      <c r="V59" s="51">
        <f>'Quarter final consumption'!J59</f>
        <v>330.4</v>
      </c>
      <c r="W59" s="51">
        <f>'Quarter final consumption'!R59</f>
        <v>4852.09</v>
      </c>
      <c r="X59" s="51">
        <f>'Quarter final consumption'!Z59</f>
        <v>13782.16</v>
      </c>
      <c r="Y59" s="51">
        <f>'Quarter final consumption'!AF59</f>
        <v>6768.21</v>
      </c>
      <c r="Z59" s="51">
        <f>'Quarter final consumption'!AN59</f>
        <v>4694.1900000000005</v>
      </c>
      <c r="AA59" s="51">
        <f>'Quarter final consumption'!AV59</f>
        <v>1289.8399999999999</v>
      </c>
      <c r="AB59" s="51">
        <f>'Quarter final consumption'!BD59</f>
        <v>2814.8700000000003</v>
      </c>
      <c r="AC59" s="51">
        <f>'Quarter final consumption'!BL59</f>
        <v>328.14000000000004</v>
      </c>
      <c r="AD59" s="51">
        <f>'Quarter final consumption'!BT59</f>
        <v>261.33999999999997</v>
      </c>
      <c r="AE59" s="51">
        <f>'Quarter final consumption'!CB59</f>
        <v>2201.41</v>
      </c>
    </row>
    <row r="60" spans="1:31" x14ac:dyDescent="0.35">
      <c r="A60" s="50" t="s">
        <v>225</v>
      </c>
      <c r="B60" s="51">
        <f>'Quarter supply'!B60</f>
        <v>29033.37</v>
      </c>
      <c r="C60" s="51">
        <f>'Quarter supply'!H60</f>
        <v>39495.649999999994</v>
      </c>
      <c r="D60" s="51">
        <f>'Quarter supply'!P60</f>
        <v>-19920.629999999997</v>
      </c>
      <c r="E60" s="51">
        <f>'Quarter supply'!X60</f>
        <v>-889.76</v>
      </c>
      <c r="F60" s="51">
        <f>'Quarter supply'!Z60</f>
        <v>-2653.1800000000003</v>
      </c>
      <c r="G60" s="51">
        <f>'Quarter supply'!AG60</f>
        <v>45065.45</v>
      </c>
      <c r="H60" s="51">
        <f>'Quarter supply'!AP60</f>
        <v>-361.25000000000728</v>
      </c>
      <c r="I60" s="51">
        <f>'Quarter demand'!B60</f>
        <v>45426.700000000004</v>
      </c>
      <c r="J60" s="51">
        <f>'Quarter demand'!K60</f>
        <v>-12.38999999999993</v>
      </c>
      <c r="K60" s="51">
        <f>'Quarter demand'!T60</f>
        <v>-10679.160000000003</v>
      </c>
      <c r="L60" s="51">
        <f>'Quarter demand'!AD60</f>
        <v>-9907.1400000000031</v>
      </c>
      <c r="M60" s="51">
        <f>'Quarter demand'!AL60</f>
        <v>-234.14000000000004</v>
      </c>
      <c r="N60" s="51">
        <f>'Quarter demand'!AS60</f>
        <v>-53.730000000003201</v>
      </c>
      <c r="O60" s="51">
        <f>'Quarter demand'!AV60</f>
        <v>-45.1099999999999</v>
      </c>
      <c r="P60" s="51">
        <f>'Quarter demand'!AZ60</f>
        <v>-428.87</v>
      </c>
      <c r="Q60" s="51">
        <f>'Quarter demand'!BD60</f>
        <v>-10.170000000000002</v>
      </c>
      <c r="R60" s="51">
        <f>'Quarter demand'!BH60</f>
        <v>0</v>
      </c>
      <c r="S60" s="51">
        <f>'Quarter demand'!BK60</f>
        <v>3296.6400000000003</v>
      </c>
      <c r="T60" s="51">
        <f>'Quarter demand'!BT60</f>
        <v>765.43</v>
      </c>
      <c r="U60" s="51">
        <f>'Quarter final consumption'!B60</f>
        <v>30682.3</v>
      </c>
      <c r="V60" s="51">
        <f>'Quarter final consumption'!J60</f>
        <v>316.94000000000005</v>
      </c>
      <c r="W60" s="51">
        <f>'Quarter final consumption'!R60</f>
        <v>4605.8100000000004</v>
      </c>
      <c r="X60" s="51">
        <f>'Quarter final consumption'!Z60</f>
        <v>13995.22</v>
      </c>
      <c r="Y60" s="51">
        <f>'Quarter final consumption'!AF60</f>
        <v>5148.5</v>
      </c>
      <c r="Z60" s="51">
        <f>'Quarter final consumption'!AN60</f>
        <v>4498.54</v>
      </c>
      <c r="AA60" s="51">
        <f>'Quarter final consumption'!AV60</f>
        <v>1213.6899999999998</v>
      </c>
      <c r="AB60" s="51">
        <f>'Quarter final consumption'!BD60</f>
        <v>2642.75</v>
      </c>
      <c r="AC60" s="51">
        <f>'Quarter final consumption'!BL60</f>
        <v>377.84000000000003</v>
      </c>
      <c r="AD60" s="51">
        <f>'Quarter final consumption'!BT60</f>
        <v>264.26</v>
      </c>
      <c r="AE60" s="51">
        <f>'Quarter final consumption'!CB60</f>
        <v>2117.29</v>
      </c>
    </row>
    <row r="61" spans="1:31" x14ac:dyDescent="0.35">
      <c r="A61" s="50" t="s">
        <v>226</v>
      </c>
      <c r="B61" s="51">
        <f>'Quarter supply'!B61</f>
        <v>34235.909999999996</v>
      </c>
      <c r="C61" s="51">
        <f>'Quarter supply'!H61</f>
        <v>43882.59</v>
      </c>
      <c r="D61" s="51">
        <f>'Quarter supply'!P61</f>
        <v>-22380.16</v>
      </c>
      <c r="E61" s="51">
        <f>'Quarter supply'!X61</f>
        <v>-729.63</v>
      </c>
      <c r="F61" s="51">
        <f>'Quarter supply'!Z61</f>
        <v>1520.5700000000002</v>
      </c>
      <c r="G61" s="51">
        <f>'Quarter supply'!AG61</f>
        <v>56529.280000000006</v>
      </c>
      <c r="H61" s="51">
        <f>'Quarter supply'!AP61</f>
        <v>173.24000000001251</v>
      </c>
      <c r="I61" s="51">
        <f>'Quarter demand'!B61</f>
        <v>56356.039999999994</v>
      </c>
      <c r="J61" s="51">
        <f>'Quarter demand'!K61</f>
        <v>-12.360000000000014</v>
      </c>
      <c r="K61" s="51">
        <f>'Quarter demand'!T61</f>
        <v>-12495.9</v>
      </c>
      <c r="L61" s="51">
        <f>'Quarter demand'!AD61</f>
        <v>-11711.65</v>
      </c>
      <c r="M61" s="51">
        <f>'Quarter demand'!AL61</f>
        <v>-301.13000000000005</v>
      </c>
      <c r="N61" s="51">
        <f>'Quarter demand'!AS61</f>
        <v>2.7400000000016007</v>
      </c>
      <c r="O61" s="51">
        <f>'Quarter demand'!AV61</f>
        <v>-64.100000000000023</v>
      </c>
      <c r="P61" s="51">
        <f>'Quarter demand'!AZ61</f>
        <v>-404.23</v>
      </c>
      <c r="Q61" s="51">
        <f>'Quarter demand'!BD61</f>
        <v>-17.53</v>
      </c>
      <c r="R61" s="51">
        <f>'Quarter demand'!BH61</f>
        <v>0</v>
      </c>
      <c r="S61" s="51">
        <f>'Quarter demand'!BK61</f>
        <v>3426.15</v>
      </c>
      <c r="T61" s="51">
        <f>'Quarter demand'!BT61</f>
        <v>838.37</v>
      </c>
      <c r="U61" s="51">
        <f>'Quarter final consumption'!B61</f>
        <v>39574.15</v>
      </c>
      <c r="V61" s="51">
        <f>'Quarter final consumption'!J61</f>
        <v>300.45</v>
      </c>
      <c r="W61" s="51">
        <f>'Quarter final consumption'!R61</f>
        <v>5648.5</v>
      </c>
      <c r="X61" s="51">
        <f>'Quarter final consumption'!Z61</f>
        <v>13866.72</v>
      </c>
      <c r="Y61" s="51">
        <f>'Quarter final consumption'!AF61</f>
        <v>12049.500000000002</v>
      </c>
      <c r="Z61" s="51">
        <f>'Quarter final consumption'!AN61</f>
        <v>5941.9000000000005</v>
      </c>
      <c r="AA61" s="51">
        <f>'Quarter final consumption'!AV61</f>
        <v>1654.2100000000003</v>
      </c>
      <c r="AB61" s="51">
        <f>'Quarter final consumption'!BD61</f>
        <v>3328.62</v>
      </c>
      <c r="AC61" s="51">
        <f>'Quarter final consumption'!BL61</f>
        <v>492.47999999999996</v>
      </c>
      <c r="AD61" s="51">
        <f>'Quarter final consumption'!BT61</f>
        <v>466.59</v>
      </c>
      <c r="AE61" s="51">
        <f>'Quarter final consumption'!CB61</f>
        <v>1767.08</v>
      </c>
    </row>
    <row r="62" spans="1:31" x14ac:dyDescent="0.35">
      <c r="A62" s="50" t="s">
        <v>227</v>
      </c>
      <c r="B62" s="51">
        <f>'Quarter supply'!B62</f>
        <v>33619.53</v>
      </c>
      <c r="C62" s="51">
        <f>'Quarter supply'!H62</f>
        <v>45620.41</v>
      </c>
      <c r="D62" s="51">
        <f>'Quarter supply'!P62</f>
        <v>-21040.41</v>
      </c>
      <c r="E62" s="51">
        <f>'Quarter supply'!X62</f>
        <v>-648.05999999999995</v>
      </c>
      <c r="F62" s="51">
        <f>'Quarter supply'!Z62</f>
        <v>3688.2400000000002</v>
      </c>
      <c r="G62" s="51">
        <f>'Quarter supply'!AG62</f>
        <v>61239.71</v>
      </c>
      <c r="H62" s="51">
        <f>'Quarter supply'!AP62</f>
        <v>296.02000000001135</v>
      </c>
      <c r="I62" s="51">
        <f>'Quarter demand'!B62</f>
        <v>60943.689999999988</v>
      </c>
      <c r="J62" s="51">
        <f>'Quarter demand'!K62</f>
        <v>-7.3600000000000136</v>
      </c>
      <c r="K62" s="51">
        <f>'Quarter demand'!T62</f>
        <v>-13398.149999999994</v>
      </c>
      <c r="L62" s="51">
        <f>'Quarter demand'!AD62</f>
        <v>-12621.91</v>
      </c>
      <c r="M62" s="51">
        <f>'Quarter demand'!AL62</f>
        <v>-325.03000000000003</v>
      </c>
      <c r="N62" s="51">
        <f>'Quarter demand'!AS62</f>
        <v>-48.279999999998836</v>
      </c>
      <c r="O62" s="51">
        <f>'Quarter demand'!AV62</f>
        <v>-55.779999999999973</v>
      </c>
      <c r="P62" s="51">
        <f>'Quarter demand'!AZ62</f>
        <v>-337.23</v>
      </c>
      <c r="Q62" s="51">
        <f>'Quarter demand'!BD62</f>
        <v>-9.9199999999999982</v>
      </c>
      <c r="R62" s="51">
        <f>'Quarter demand'!BH62</f>
        <v>0</v>
      </c>
      <c r="S62" s="51">
        <f>'Quarter demand'!BK62</f>
        <v>3559.2400000000002</v>
      </c>
      <c r="T62" s="51">
        <f>'Quarter demand'!BT62</f>
        <v>924.8</v>
      </c>
      <c r="U62" s="51">
        <f>'Quarter final consumption'!B62</f>
        <v>43055.139999999992</v>
      </c>
      <c r="V62" s="51">
        <f>'Quarter final consumption'!J62</f>
        <v>291.02</v>
      </c>
      <c r="W62" s="51">
        <f>'Quarter final consumption'!R62</f>
        <v>6159.07</v>
      </c>
      <c r="X62" s="51">
        <f>'Quarter final consumption'!Z62</f>
        <v>13327.72</v>
      </c>
      <c r="Y62" s="51">
        <f>'Quarter final consumption'!AF62</f>
        <v>15258.65</v>
      </c>
      <c r="Z62" s="51">
        <f>'Quarter final consumption'!AN62</f>
        <v>6048.41</v>
      </c>
      <c r="AA62" s="51">
        <f>'Quarter final consumption'!AV62</f>
        <v>1839.77</v>
      </c>
      <c r="AB62" s="51">
        <f>'Quarter final consumption'!BD62</f>
        <v>3598.7799999999997</v>
      </c>
      <c r="AC62" s="51">
        <f>'Quarter final consumption'!BL62</f>
        <v>304.58</v>
      </c>
      <c r="AD62" s="51">
        <f>'Quarter final consumption'!BT62</f>
        <v>305.27999999999997</v>
      </c>
      <c r="AE62" s="51">
        <f>'Quarter final consumption'!CB62</f>
        <v>1970.2699999999998</v>
      </c>
    </row>
    <row r="63" spans="1:31" x14ac:dyDescent="0.35">
      <c r="A63" s="50" t="s">
        <v>228</v>
      </c>
      <c r="B63" s="51">
        <f>'Quarter supply'!B63</f>
        <v>31262.53</v>
      </c>
      <c r="C63" s="51">
        <f>'Quarter supply'!H63</f>
        <v>43241.42</v>
      </c>
      <c r="D63" s="51">
        <f>'Quarter supply'!P63</f>
        <v>-21320.21</v>
      </c>
      <c r="E63" s="51">
        <f>'Quarter supply'!X63</f>
        <v>-680.88</v>
      </c>
      <c r="F63" s="51">
        <f>'Quarter supply'!Z63</f>
        <v>-2174.7999999999997</v>
      </c>
      <c r="G63" s="51">
        <f>'Quarter supply'!AG63</f>
        <v>50328.060000000005</v>
      </c>
      <c r="H63" s="51">
        <f>'Quarter supply'!AP63</f>
        <v>31.340000000011059</v>
      </c>
      <c r="I63" s="51">
        <f>'Quarter demand'!B63</f>
        <v>50296.719999999994</v>
      </c>
      <c r="J63" s="51">
        <f>'Quarter demand'!K63</f>
        <v>-10.75</v>
      </c>
      <c r="K63" s="51">
        <f>'Quarter demand'!T63</f>
        <v>-11531.269999999995</v>
      </c>
      <c r="L63" s="51">
        <f>'Quarter demand'!AD63</f>
        <v>-10673.67</v>
      </c>
      <c r="M63" s="51">
        <f>'Quarter demand'!AL63</f>
        <v>-254.61999999999995</v>
      </c>
      <c r="N63" s="51">
        <f>'Quarter demand'!AS63</f>
        <v>-14.219999999997526</v>
      </c>
      <c r="O63" s="51">
        <f>'Quarter demand'!AV63</f>
        <v>-68.980000000000018</v>
      </c>
      <c r="P63" s="51">
        <f>'Quarter demand'!AZ63</f>
        <v>-518.64</v>
      </c>
      <c r="Q63" s="51">
        <f>'Quarter demand'!BD63</f>
        <v>-1.139999999999997</v>
      </c>
      <c r="R63" s="51">
        <f>'Quarter demand'!BH63</f>
        <v>0</v>
      </c>
      <c r="S63" s="51">
        <f>'Quarter demand'!BK63</f>
        <v>3416.35</v>
      </c>
      <c r="T63" s="51">
        <f>'Quarter demand'!BT63</f>
        <v>811.88</v>
      </c>
      <c r="U63" s="51">
        <f>'Quarter final consumption'!B63</f>
        <v>34529.17</v>
      </c>
      <c r="V63" s="51">
        <f>'Quarter final consumption'!J63</f>
        <v>333.04</v>
      </c>
      <c r="W63" s="51">
        <f>'Quarter final consumption'!R63</f>
        <v>4883.4399999999996</v>
      </c>
      <c r="X63" s="51">
        <f>'Quarter final consumption'!Z63</f>
        <v>13103.99</v>
      </c>
      <c r="Y63" s="51">
        <f>'Quarter final consumption'!AF63</f>
        <v>8740.51</v>
      </c>
      <c r="Z63" s="51">
        <f>'Quarter final consumption'!AN63</f>
        <v>5410.51</v>
      </c>
      <c r="AA63" s="51">
        <f>'Quarter final consumption'!AV63</f>
        <v>1608.6699999999998</v>
      </c>
      <c r="AB63" s="51">
        <f>'Quarter final consumption'!BD63</f>
        <v>3140.91</v>
      </c>
      <c r="AC63" s="51">
        <f>'Quarter final consumption'!BL63</f>
        <v>369.47999999999996</v>
      </c>
      <c r="AD63" s="51">
        <f>'Quarter final consumption'!BT63</f>
        <v>291.45000000000005</v>
      </c>
      <c r="AE63" s="51">
        <f>'Quarter final consumption'!CB63</f>
        <v>2057.6800000000003</v>
      </c>
    </row>
    <row r="64" spans="1:31" x14ac:dyDescent="0.35">
      <c r="A64" s="50" t="s">
        <v>229</v>
      </c>
      <c r="B64" s="51">
        <f>'Quarter supply'!B64</f>
        <v>26777.93</v>
      </c>
      <c r="C64" s="51">
        <f>'Quarter supply'!H64</f>
        <v>40695.54</v>
      </c>
      <c r="D64" s="51">
        <f>'Quarter supply'!P64</f>
        <v>-20215.349999999999</v>
      </c>
      <c r="E64" s="51">
        <f>'Quarter supply'!X64</f>
        <v>-738.02</v>
      </c>
      <c r="F64" s="51">
        <f>'Quarter supply'!Z64</f>
        <v>-1206.29</v>
      </c>
      <c r="G64" s="51">
        <f>'Quarter supply'!AG64</f>
        <v>45313.81</v>
      </c>
      <c r="H64" s="51">
        <f>'Quarter supply'!AP64</f>
        <v>-21.130000000011933</v>
      </c>
      <c r="I64" s="51">
        <f>'Quarter demand'!B64</f>
        <v>45334.94000000001</v>
      </c>
      <c r="J64" s="51">
        <f>'Quarter demand'!K64</f>
        <v>-5.1100000000000136</v>
      </c>
      <c r="K64" s="51">
        <f>'Quarter demand'!T64</f>
        <v>-11031.210000000001</v>
      </c>
      <c r="L64" s="51">
        <f>'Quarter demand'!AD64</f>
        <v>-10268.329999999998</v>
      </c>
      <c r="M64" s="51">
        <f>'Quarter demand'!AL64</f>
        <v>-218.01999999999998</v>
      </c>
      <c r="N64" s="51">
        <f>'Quarter demand'!AS64</f>
        <v>39.469999999997526</v>
      </c>
      <c r="O64" s="51">
        <f>'Quarter demand'!AV64</f>
        <v>-86.269999999999982</v>
      </c>
      <c r="P64" s="51">
        <f>'Quarter demand'!AZ64</f>
        <v>-488.84999999999997</v>
      </c>
      <c r="Q64" s="51">
        <f>'Quarter demand'!BD64</f>
        <v>-9.2100000000000062</v>
      </c>
      <c r="R64" s="51">
        <f>'Quarter demand'!BH64</f>
        <v>0</v>
      </c>
      <c r="S64" s="51">
        <f>'Quarter demand'!BK64</f>
        <v>3132.27</v>
      </c>
      <c r="T64" s="51">
        <f>'Quarter demand'!BT64</f>
        <v>698.27</v>
      </c>
      <c r="U64" s="51">
        <f>'Quarter final consumption'!B64</f>
        <v>30473.390000000003</v>
      </c>
      <c r="V64" s="51">
        <f>'Quarter final consumption'!J64</f>
        <v>302.90000000000003</v>
      </c>
      <c r="W64" s="51">
        <f>'Quarter final consumption'!R64</f>
        <v>4360.6499999999996</v>
      </c>
      <c r="X64" s="51">
        <f>'Quarter final consumption'!Z64</f>
        <v>13882.33</v>
      </c>
      <c r="Y64" s="51">
        <f>'Quarter final consumption'!AF64</f>
        <v>5457</v>
      </c>
      <c r="Z64" s="51">
        <f>'Quarter final consumption'!AN64</f>
        <v>4729.99</v>
      </c>
      <c r="AA64" s="51">
        <f>'Quarter final consumption'!AV64</f>
        <v>1295.76</v>
      </c>
      <c r="AB64" s="51">
        <f>'Quarter final consumption'!BD64</f>
        <v>2724.71</v>
      </c>
      <c r="AC64" s="51">
        <f>'Quarter final consumption'!BL64</f>
        <v>391.24999999999994</v>
      </c>
      <c r="AD64" s="51">
        <f>'Quarter final consumption'!BT64</f>
        <v>318.27</v>
      </c>
      <c r="AE64" s="51">
        <f>'Quarter final consumption'!CB64</f>
        <v>1740.52</v>
      </c>
    </row>
    <row r="65" spans="1:31" x14ac:dyDescent="0.35">
      <c r="A65" s="50" t="s">
        <v>230</v>
      </c>
      <c r="B65" s="51">
        <f>'Quarter supply'!B65</f>
        <v>29289.85</v>
      </c>
      <c r="C65" s="51">
        <f>'Quarter supply'!H65</f>
        <v>46817.399999999994</v>
      </c>
      <c r="D65" s="51">
        <f>'Quarter supply'!P65</f>
        <v>-17618.41</v>
      </c>
      <c r="E65" s="51">
        <f>'Quarter supply'!X65</f>
        <v>-740.75</v>
      </c>
      <c r="F65" s="51">
        <f>'Quarter supply'!Z65</f>
        <v>1305.55</v>
      </c>
      <c r="G65" s="51">
        <f>'Quarter supply'!AG65</f>
        <v>59053.64</v>
      </c>
      <c r="H65" s="51">
        <f>'Quarter supply'!AP65</f>
        <v>90.14000000001397</v>
      </c>
      <c r="I65" s="51">
        <f>'Quarter demand'!B65</f>
        <v>58963.499999999985</v>
      </c>
      <c r="J65" s="51">
        <f>'Quarter demand'!K65</f>
        <v>-4.3899999999999864</v>
      </c>
      <c r="K65" s="51">
        <f>'Quarter demand'!T65</f>
        <v>-13213.949999999995</v>
      </c>
      <c r="L65" s="51">
        <f>'Quarter demand'!AD65</f>
        <v>-12301.799999999996</v>
      </c>
      <c r="M65" s="51">
        <f>'Quarter demand'!AL65</f>
        <v>-316.31000000000006</v>
      </c>
      <c r="N65" s="51">
        <f>'Quarter demand'!AS65</f>
        <v>-28.849999999998545</v>
      </c>
      <c r="O65" s="51">
        <f>'Quarter demand'!AV65</f>
        <v>-56.819999999999936</v>
      </c>
      <c r="P65" s="51">
        <f>'Quarter demand'!AZ65</f>
        <v>-511.27</v>
      </c>
      <c r="Q65" s="51">
        <f>'Quarter demand'!BD65</f>
        <v>1.0999999999999979</v>
      </c>
      <c r="R65" s="51">
        <f>'Quarter demand'!BH65</f>
        <v>0</v>
      </c>
      <c r="S65" s="51">
        <f>'Quarter demand'!BK65</f>
        <v>3019.6800000000003</v>
      </c>
      <c r="T65" s="51">
        <f>'Quarter demand'!BT65</f>
        <v>816.67000000000007</v>
      </c>
      <c r="U65" s="51">
        <f>'Quarter final consumption'!B65</f>
        <v>41899.80000000001</v>
      </c>
      <c r="V65" s="51">
        <f>'Quarter final consumption'!J65</f>
        <v>284.86</v>
      </c>
      <c r="W65" s="51">
        <f>'Quarter final consumption'!R65</f>
        <v>5801.7899999999991</v>
      </c>
      <c r="X65" s="51">
        <f>'Quarter final consumption'!Z65</f>
        <v>13775.039999999999</v>
      </c>
      <c r="Y65" s="51">
        <f>'Quarter final consumption'!AF65</f>
        <v>13955.470000000001</v>
      </c>
      <c r="Z65" s="51">
        <f>'Quarter final consumption'!AN65</f>
        <v>6531.57</v>
      </c>
      <c r="AA65" s="51">
        <f>'Quarter final consumption'!AV65</f>
        <v>1835.1799999999998</v>
      </c>
      <c r="AB65" s="51">
        <f>'Quarter final consumption'!BD65</f>
        <v>3587.3799999999997</v>
      </c>
      <c r="AC65" s="51">
        <f>'Quarter final consumption'!BL65</f>
        <v>498.03999999999996</v>
      </c>
      <c r="AD65" s="51">
        <f>'Quarter final consumption'!BT65</f>
        <v>610.97</v>
      </c>
      <c r="AE65" s="51">
        <f>'Quarter final consumption'!CB65</f>
        <v>1551.07</v>
      </c>
    </row>
    <row r="66" spans="1:31" x14ac:dyDescent="0.35">
      <c r="A66" s="50" t="s">
        <v>231</v>
      </c>
      <c r="B66" s="51">
        <f>'Quarter supply'!B66</f>
        <v>30113.850000000006</v>
      </c>
      <c r="C66" s="51">
        <f>'Quarter supply'!H66</f>
        <v>47367.09</v>
      </c>
      <c r="D66" s="51">
        <f>'Quarter supply'!P66</f>
        <v>-19276.13</v>
      </c>
      <c r="E66" s="51">
        <f>'Quarter supply'!X66</f>
        <v>-669.87</v>
      </c>
      <c r="F66" s="51">
        <f>'Quarter supply'!Z66</f>
        <v>5870.84</v>
      </c>
      <c r="G66" s="51">
        <f>'Quarter supply'!AG66</f>
        <v>63405.779999999992</v>
      </c>
      <c r="H66" s="51">
        <f>'Quarter supply'!AP66</f>
        <v>-4.2800000000061118</v>
      </c>
      <c r="I66" s="51">
        <f>'Quarter demand'!B66</f>
        <v>63410.06</v>
      </c>
      <c r="J66" s="51">
        <f>'Quarter demand'!K66</f>
        <v>-2.4800000000000182</v>
      </c>
      <c r="K66" s="51">
        <f>'Quarter demand'!T66</f>
        <v>-13659.369999999994</v>
      </c>
      <c r="L66" s="51">
        <f>'Quarter demand'!AD66</f>
        <v>-12694.47</v>
      </c>
      <c r="M66" s="51">
        <f>'Quarter demand'!AL66</f>
        <v>-353.75000000000006</v>
      </c>
      <c r="N66" s="51">
        <f>'Quarter demand'!AS66</f>
        <v>69.25</v>
      </c>
      <c r="O66" s="51">
        <f>'Quarter demand'!AV66</f>
        <v>-96.690000000000055</v>
      </c>
      <c r="P66" s="51">
        <f>'Quarter demand'!AZ66</f>
        <v>-561.63</v>
      </c>
      <c r="Q66" s="51">
        <f>'Quarter demand'!BD66</f>
        <v>-9.4499999999999993</v>
      </c>
      <c r="R66" s="51">
        <f>'Quarter demand'!BH66</f>
        <v>-12.629999999999995</v>
      </c>
      <c r="S66" s="51">
        <f>'Quarter demand'!BK66</f>
        <v>3264.94</v>
      </c>
      <c r="T66" s="51">
        <f>'Quarter demand'!BT66</f>
        <v>940.92000000000007</v>
      </c>
      <c r="U66" s="51">
        <f>'Quarter final consumption'!B66</f>
        <v>45537.279999999999</v>
      </c>
      <c r="V66" s="51">
        <f>'Quarter final consumption'!J66</f>
        <v>338.25</v>
      </c>
      <c r="W66" s="51">
        <f>'Quarter final consumption'!R66</f>
        <v>6413.92</v>
      </c>
      <c r="X66" s="51">
        <f>'Quarter final consumption'!Z66</f>
        <v>12337.05</v>
      </c>
      <c r="Y66" s="51">
        <f>'Quarter final consumption'!AF66</f>
        <v>17695.03</v>
      </c>
      <c r="Z66" s="51">
        <f>'Quarter final consumption'!AN66</f>
        <v>7048.03</v>
      </c>
      <c r="AA66" s="51">
        <f>'Quarter final consumption'!AV66</f>
        <v>2182.6</v>
      </c>
      <c r="AB66" s="51">
        <f>'Quarter final consumption'!BD66</f>
        <v>4040.77</v>
      </c>
      <c r="AC66" s="51">
        <f>'Quarter final consumption'!BL66</f>
        <v>405.21999999999997</v>
      </c>
      <c r="AD66" s="51">
        <f>'Quarter final consumption'!BT66</f>
        <v>419.44</v>
      </c>
      <c r="AE66" s="51">
        <f>'Quarter final consumption'!CB66</f>
        <v>1705</v>
      </c>
    </row>
    <row r="67" spans="1:31" x14ac:dyDescent="0.35">
      <c r="A67" s="50" t="s">
        <v>232</v>
      </c>
      <c r="B67" s="51">
        <f>'Quarter supply'!B67</f>
        <v>28773.979999999996</v>
      </c>
      <c r="C67" s="51">
        <f>'Quarter supply'!H67</f>
        <v>47425.68</v>
      </c>
      <c r="D67" s="51">
        <f>'Quarter supply'!P67</f>
        <v>-20608.989999999998</v>
      </c>
      <c r="E67" s="51">
        <f>'Quarter supply'!X67</f>
        <v>-870.73</v>
      </c>
      <c r="F67" s="51">
        <f>'Quarter supply'!Z67</f>
        <v>-4590.08</v>
      </c>
      <c r="G67" s="51">
        <f>'Quarter supply'!AG67</f>
        <v>50129.859999999993</v>
      </c>
      <c r="H67" s="51">
        <f>'Quarter supply'!AP67</f>
        <v>-158.38000000001193</v>
      </c>
      <c r="I67" s="51">
        <f>'Quarter demand'!B67</f>
        <v>50288.240000000005</v>
      </c>
      <c r="J67" s="51">
        <f>'Quarter demand'!K67</f>
        <v>-5.2800000000000864</v>
      </c>
      <c r="K67" s="51">
        <f>'Quarter demand'!T67</f>
        <v>-11128.919999999998</v>
      </c>
      <c r="L67" s="51">
        <f>'Quarter demand'!AD67</f>
        <v>-10077.239999999998</v>
      </c>
      <c r="M67" s="51">
        <f>'Quarter demand'!AL67</f>
        <v>-249.53999999999996</v>
      </c>
      <c r="N67" s="51">
        <f>'Quarter demand'!AS67</f>
        <v>-83.159999999999854</v>
      </c>
      <c r="O67" s="51">
        <f>'Quarter demand'!AV67</f>
        <v>-90.269999999999982</v>
      </c>
      <c r="P67" s="51">
        <f>'Quarter demand'!AZ67</f>
        <v>-607.65</v>
      </c>
      <c r="Q67" s="51">
        <f>'Quarter demand'!BD67</f>
        <v>-9.8499999999999943</v>
      </c>
      <c r="R67" s="51">
        <f>'Quarter demand'!BH67</f>
        <v>-11.209999999999994</v>
      </c>
      <c r="S67" s="51">
        <f>'Quarter demand'!BK67</f>
        <v>3234.39</v>
      </c>
      <c r="T67" s="51">
        <f>'Quarter demand'!BT67</f>
        <v>799.16000000000008</v>
      </c>
      <c r="U67" s="51">
        <f>'Quarter final consumption'!B67</f>
        <v>35122.400000000001</v>
      </c>
      <c r="V67" s="51">
        <f>'Quarter final consumption'!J67</f>
        <v>338.02</v>
      </c>
      <c r="W67" s="51">
        <f>'Quarter final consumption'!R67</f>
        <v>4911.6499999999996</v>
      </c>
      <c r="X67" s="51">
        <f>'Quarter final consumption'!Z67</f>
        <v>13885.08</v>
      </c>
      <c r="Y67" s="51">
        <f>'Quarter final consumption'!AF67</f>
        <v>8644.84</v>
      </c>
      <c r="Z67" s="51">
        <f>'Quarter final consumption'!AN67</f>
        <v>5429.27</v>
      </c>
      <c r="AA67" s="51">
        <f>'Quarter final consumption'!AV67</f>
        <v>1618.8</v>
      </c>
      <c r="AB67" s="51">
        <f>'Quarter final consumption'!BD67</f>
        <v>3118.9</v>
      </c>
      <c r="AC67" s="51">
        <f>'Quarter final consumption'!BL67</f>
        <v>402.80999999999995</v>
      </c>
      <c r="AD67" s="51">
        <f>'Quarter final consumption'!BT67</f>
        <v>288.76000000000005</v>
      </c>
      <c r="AE67" s="51">
        <f>'Quarter final consumption'!CB67</f>
        <v>1913.54</v>
      </c>
    </row>
    <row r="68" spans="1:31" x14ac:dyDescent="0.35">
      <c r="A68" s="50" t="s">
        <v>233</v>
      </c>
      <c r="B68" s="51">
        <f>'Quarter supply'!B68</f>
        <v>25296.560000000001</v>
      </c>
      <c r="C68" s="51">
        <f>'Quarter supply'!H68</f>
        <v>40744.230000000003</v>
      </c>
      <c r="D68" s="51">
        <f>'Quarter supply'!P68</f>
        <v>-18200.260000000002</v>
      </c>
      <c r="E68" s="51">
        <f>'Quarter supply'!X68</f>
        <v>-712.1</v>
      </c>
      <c r="F68" s="51">
        <f>'Quarter supply'!Z68</f>
        <v>-2553.59</v>
      </c>
      <c r="G68" s="51">
        <f>'Quarter supply'!AG68</f>
        <v>44574.84</v>
      </c>
      <c r="H68" s="51">
        <f>'Quarter supply'!AP68</f>
        <v>-89.710000000006403</v>
      </c>
      <c r="I68" s="51">
        <f>'Quarter demand'!B68</f>
        <v>44664.55</v>
      </c>
      <c r="J68" s="51">
        <f>'Quarter demand'!K68</f>
        <v>-6.8100000000000591</v>
      </c>
      <c r="K68" s="51">
        <f>'Quarter demand'!T68</f>
        <v>-10791.07</v>
      </c>
      <c r="L68" s="51">
        <f>'Quarter demand'!AD68</f>
        <v>-9975.1400000000012</v>
      </c>
      <c r="M68" s="51">
        <f>'Quarter demand'!AL68</f>
        <v>-208.15000000000006</v>
      </c>
      <c r="N68" s="51">
        <f>'Quarter demand'!AS68</f>
        <v>160.10000000000218</v>
      </c>
      <c r="O68" s="51">
        <f>'Quarter demand'!AV68</f>
        <v>-146.18000000000006</v>
      </c>
      <c r="P68" s="51">
        <f>'Quarter demand'!AZ68</f>
        <v>-600.87</v>
      </c>
      <c r="Q68" s="51">
        <f>'Quarter demand'!BD68</f>
        <v>-8.91</v>
      </c>
      <c r="R68" s="51">
        <f>'Quarter demand'!BH68</f>
        <v>-11.920000000000002</v>
      </c>
      <c r="S68" s="51">
        <f>'Quarter demand'!BK68</f>
        <v>2997.4</v>
      </c>
      <c r="T68" s="51">
        <f>'Quarter demand'!BT68</f>
        <v>672.1</v>
      </c>
      <c r="U68" s="51">
        <f>'Quarter final consumption'!B68</f>
        <v>30201.670000000002</v>
      </c>
      <c r="V68" s="51">
        <f>'Quarter final consumption'!J68</f>
        <v>335.25</v>
      </c>
      <c r="W68" s="51">
        <f>'Quarter final consumption'!R68</f>
        <v>4660.5899999999992</v>
      </c>
      <c r="X68" s="51">
        <f>'Quarter final consumption'!Z68</f>
        <v>13906.8</v>
      </c>
      <c r="Y68" s="51">
        <f>'Quarter final consumption'!AF68</f>
        <v>4880.46</v>
      </c>
      <c r="Z68" s="51">
        <f>'Quarter final consumption'!AN68</f>
        <v>4589.62</v>
      </c>
      <c r="AA68" s="51">
        <f>'Quarter final consumption'!AV68</f>
        <v>1233.7099999999998</v>
      </c>
      <c r="AB68" s="51">
        <f>'Quarter final consumption'!BD68</f>
        <v>2680.84</v>
      </c>
      <c r="AC68" s="51">
        <f>'Quarter final consumption'!BL68</f>
        <v>393.74</v>
      </c>
      <c r="AD68" s="51">
        <f>'Quarter final consumption'!BT68</f>
        <v>281.33000000000004</v>
      </c>
      <c r="AE68" s="51">
        <f>'Quarter final consumption'!CB68</f>
        <v>1828.9499999999998</v>
      </c>
    </row>
    <row r="69" spans="1:31" x14ac:dyDescent="0.35">
      <c r="A69" s="50" t="s">
        <v>234</v>
      </c>
      <c r="B69" s="51">
        <f>'Quarter supply'!B69</f>
        <v>29198.83</v>
      </c>
      <c r="C69" s="51">
        <f>'Quarter supply'!H69</f>
        <v>45163.600000000006</v>
      </c>
      <c r="D69" s="51">
        <f>'Quarter supply'!P69</f>
        <v>-17881.89</v>
      </c>
      <c r="E69" s="51">
        <f>'Quarter supply'!X69</f>
        <v>-630.27</v>
      </c>
      <c r="F69" s="51">
        <f>'Quarter supply'!Z69</f>
        <v>458.54999999999995</v>
      </c>
      <c r="G69" s="51">
        <f>'Quarter supply'!AG69</f>
        <v>56308.820000000007</v>
      </c>
      <c r="H69" s="51">
        <f>'Quarter supply'!AP69</f>
        <v>16.850000000013097</v>
      </c>
      <c r="I69" s="51">
        <f>'Quarter demand'!B69</f>
        <v>56291.969999999994</v>
      </c>
      <c r="J69" s="51">
        <f>'Quarter demand'!K69</f>
        <v>6.8399999999999181</v>
      </c>
      <c r="K69" s="51">
        <f>'Quarter demand'!T69</f>
        <v>-12332.269999999995</v>
      </c>
      <c r="L69" s="51">
        <f>'Quarter demand'!AD69</f>
        <v>-11255.14</v>
      </c>
      <c r="M69" s="51">
        <f>'Quarter demand'!AL69</f>
        <v>-292.03999999999996</v>
      </c>
      <c r="N69" s="51">
        <f>'Quarter demand'!AS69</f>
        <v>-41.459999999999127</v>
      </c>
      <c r="O69" s="51">
        <f>'Quarter demand'!AV69</f>
        <v>-112.72000000000003</v>
      </c>
      <c r="P69" s="51">
        <f>'Quarter demand'!AZ69</f>
        <v>-605.95000000000005</v>
      </c>
      <c r="Q69" s="51">
        <f>'Quarter demand'!BD69</f>
        <v>-11.439999999999998</v>
      </c>
      <c r="R69" s="51">
        <f>'Quarter demand'!BH69</f>
        <v>-13.519999999999982</v>
      </c>
      <c r="S69" s="51">
        <f>'Quarter demand'!BK69</f>
        <v>2982.91</v>
      </c>
      <c r="T69" s="51">
        <f>'Quarter demand'!BT69</f>
        <v>824.31</v>
      </c>
      <c r="U69" s="51">
        <f>'Quarter final consumption'!B69</f>
        <v>40157.97</v>
      </c>
      <c r="V69" s="51">
        <f>'Quarter final consumption'!J69</f>
        <v>351.65</v>
      </c>
      <c r="W69" s="51">
        <f>'Quarter final consumption'!R69</f>
        <v>5719.28</v>
      </c>
      <c r="X69" s="51">
        <f>'Quarter final consumption'!Z69</f>
        <v>13842.56</v>
      </c>
      <c r="Y69" s="51">
        <f>'Quarter final consumption'!AF69</f>
        <v>12451.48</v>
      </c>
      <c r="Z69" s="51">
        <f>'Quarter final consumption'!AN69</f>
        <v>6269.98</v>
      </c>
      <c r="AA69" s="51">
        <f>'Quarter final consumption'!AV69</f>
        <v>1692.5700000000002</v>
      </c>
      <c r="AB69" s="51">
        <f>'Quarter final consumption'!BD69</f>
        <v>3477.1699999999996</v>
      </c>
      <c r="AC69" s="51">
        <f>'Quarter final consumption'!BL69</f>
        <v>523.77</v>
      </c>
      <c r="AD69" s="51">
        <f>'Quarter final consumption'!BT69</f>
        <v>576.46999999999991</v>
      </c>
      <c r="AE69" s="51">
        <f>'Quarter final consumption'!CB69</f>
        <v>1523.02</v>
      </c>
    </row>
    <row r="70" spans="1:31" x14ac:dyDescent="0.35">
      <c r="A70" s="50" t="s">
        <v>235</v>
      </c>
      <c r="B70" s="51">
        <f>'Quarter supply'!B70</f>
        <v>30323.700000000004</v>
      </c>
      <c r="C70" s="51">
        <f>'Quarter supply'!H70</f>
        <v>44014.30000000001</v>
      </c>
      <c r="D70" s="51">
        <f>'Quarter supply'!P70</f>
        <v>-17952.440000000002</v>
      </c>
      <c r="E70" s="51">
        <f>'Quarter supply'!X70</f>
        <v>-660.16</v>
      </c>
      <c r="F70" s="51">
        <f>'Quarter supply'!Z70</f>
        <v>1825.42</v>
      </c>
      <c r="G70" s="51">
        <f>'Quarter supply'!AG70</f>
        <v>57550.82</v>
      </c>
      <c r="H70" s="51">
        <f>'Quarter supply'!AP70</f>
        <v>-31.44999999999709</v>
      </c>
      <c r="I70" s="51">
        <f>'Quarter demand'!B70</f>
        <v>57582.27</v>
      </c>
      <c r="J70" s="51">
        <f>'Quarter demand'!K70</f>
        <v>7.999999999992724E-2</v>
      </c>
      <c r="K70" s="51">
        <f>'Quarter demand'!T70</f>
        <v>-12127.229999999994</v>
      </c>
      <c r="L70" s="51">
        <f>'Quarter demand'!AD70</f>
        <v>-10976.03</v>
      </c>
      <c r="M70" s="51">
        <f>'Quarter demand'!AL70</f>
        <v>-343.64000000000004</v>
      </c>
      <c r="N70" s="51">
        <f>'Quarter demand'!AS70</f>
        <v>-47.879999999997381</v>
      </c>
      <c r="O70" s="51">
        <f>'Quarter demand'!AV70</f>
        <v>-85.680000000000064</v>
      </c>
      <c r="P70" s="51">
        <f>'Quarter demand'!AZ70</f>
        <v>-643.61</v>
      </c>
      <c r="Q70" s="51">
        <f>'Quarter demand'!BD70</f>
        <v>-16.510000000000005</v>
      </c>
      <c r="R70" s="51">
        <f>'Quarter demand'!BH70</f>
        <v>-13.879999999999995</v>
      </c>
      <c r="S70" s="51">
        <f>'Quarter demand'!BK70</f>
        <v>3106.6600000000003</v>
      </c>
      <c r="T70" s="51">
        <f>'Quarter demand'!BT70</f>
        <v>931.83</v>
      </c>
      <c r="U70" s="51">
        <f>'Quarter final consumption'!B70</f>
        <v>41420.220000000008</v>
      </c>
      <c r="V70" s="51">
        <f>'Quarter final consumption'!J70</f>
        <v>360.38</v>
      </c>
      <c r="W70" s="51">
        <f>'Quarter final consumption'!R70</f>
        <v>6187.12</v>
      </c>
      <c r="X70" s="51">
        <f>'Quarter final consumption'!Z70</f>
        <v>12896.85</v>
      </c>
      <c r="Y70" s="51">
        <f>'Quarter final consumption'!AF70</f>
        <v>14177.68</v>
      </c>
      <c r="Z70" s="51">
        <f>'Quarter final consumption'!AN70</f>
        <v>6128.2000000000007</v>
      </c>
      <c r="AA70" s="51">
        <f>'Quarter final consumption'!AV70</f>
        <v>1808.54</v>
      </c>
      <c r="AB70" s="51">
        <f>'Quarter final consumption'!BD70</f>
        <v>3520.53</v>
      </c>
      <c r="AC70" s="51">
        <f>'Quarter final consumption'!BL70</f>
        <v>421.15</v>
      </c>
      <c r="AD70" s="51">
        <f>'Quarter final consumption'!BT70</f>
        <v>377.97999999999996</v>
      </c>
      <c r="AE70" s="51">
        <f>'Quarter final consumption'!CB70</f>
        <v>1669.99</v>
      </c>
    </row>
    <row r="71" spans="1:31" x14ac:dyDescent="0.35">
      <c r="A71" s="50" t="s">
        <v>236</v>
      </c>
      <c r="B71" s="51">
        <f>'Quarter supply'!B71</f>
        <v>28358.120000000003</v>
      </c>
      <c r="C71" s="51">
        <f>'Quarter supply'!H71</f>
        <v>39890.9</v>
      </c>
      <c r="D71" s="51">
        <f>'Quarter supply'!P71</f>
        <v>-18327.48</v>
      </c>
      <c r="E71" s="51">
        <f>'Quarter supply'!X71</f>
        <v>-597.49</v>
      </c>
      <c r="F71" s="51">
        <f>'Quarter supply'!Z71</f>
        <v>-3022.09</v>
      </c>
      <c r="G71" s="51">
        <f>'Quarter supply'!AG71</f>
        <v>46301.96</v>
      </c>
      <c r="H71" s="51">
        <f>'Quarter supply'!AP71</f>
        <v>-147.64000000000669</v>
      </c>
      <c r="I71" s="51">
        <f>'Quarter demand'!B71</f>
        <v>46449.600000000006</v>
      </c>
      <c r="J71" s="51">
        <f>'Quarter demand'!K71</f>
        <v>-6.1899999999999409</v>
      </c>
      <c r="K71" s="51">
        <f>'Quarter demand'!T71</f>
        <v>-10421.329999999998</v>
      </c>
      <c r="L71" s="51">
        <f>'Quarter demand'!AD71</f>
        <v>-9389.6099999999988</v>
      </c>
      <c r="M71" s="51">
        <f>'Quarter demand'!AL71</f>
        <v>-240.77999999999997</v>
      </c>
      <c r="N71" s="51">
        <f>'Quarter demand'!AS71</f>
        <v>-116.84999999999854</v>
      </c>
      <c r="O71" s="51">
        <f>'Quarter demand'!AV71</f>
        <v>-77.220000000000027</v>
      </c>
      <c r="P71" s="51">
        <f>'Quarter demand'!AZ71</f>
        <v>-572.52</v>
      </c>
      <c r="Q71" s="51">
        <f>'Quarter demand'!BD71</f>
        <v>-16.709999999999994</v>
      </c>
      <c r="R71" s="51">
        <f>'Quarter demand'!BH71</f>
        <v>-7.6400000000000006</v>
      </c>
      <c r="S71" s="51">
        <f>'Quarter demand'!BK71</f>
        <v>2990.89</v>
      </c>
      <c r="T71" s="51">
        <f>'Quarter demand'!BT71</f>
        <v>711.46999999999991</v>
      </c>
      <c r="U71" s="51">
        <f>'Quarter final consumption'!B71</f>
        <v>32320.39</v>
      </c>
      <c r="V71" s="51">
        <f>'Quarter final consumption'!J71</f>
        <v>350.59000000000003</v>
      </c>
      <c r="W71" s="51">
        <f>'Quarter final consumption'!R71</f>
        <v>4648.7</v>
      </c>
      <c r="X71" s="51">
        <f>'Quarter final consumption'!Z71</f>
        <v>13690.890000000001</v>
      </c>
      <c r="Y71" s="51">
        <f>'Quarter final consumption'!AF71</f>
        <v>6908.25</v>
      </c>
      <c r="Z71" s="51">
        <f>'Quarter final consumption'!AN71</f>
        <v>4837.7000000000007</v>
      </c>
      <c r="AA71" s="51">
        <f>'Quarter final consumption'!AV71</f>
        <v>1367.0600000000002</v>
      </c>
      <c r="AB71" s="51">
        <f>'Quarter final consumption'!BD71</f>
        <v>2850.9</v>
      </c>
      <c r="AC71" s="51">
        <f>'Quarter final consumption'!BL71</f>
        <v>383.68</v>
      </c>
      <c r="AD71" s="51">
        <f>'Quarter final consumption'!BT71</f>
        <v>236.06</v>
      </c>
      <c r="AE71" s="51">
        <f>'Quarter final consumption'!CB71</f>
        <v>1884.26</v>
      </c>
    </row>
    <row r="72" spans="1:31" x14ac:dyDescent="0.35">
      <c r="A72" s="50" t="s">
        <v>237</v>
      </c>
      <c r="B72" s="51">
        <f>'Quarter supply'!B72</f>
        <v>24406.27</v>
      </c>
      <c r="C72" s="51">
        <f>'Quarter supply'!H72</f>
        <v>38985.449999999997</v>
      </c>
      <c r="D72" s="51">
        <f>'Quarter supply'!P72</f>
        <v>-16950.72</v>
      </c>
      <c r="E72" s="51">
        <f>'Quarter supply'!X72</f>
        <v>-740.36</v>
      </c>
      <c r="F72" s="51">
        <f>'Quarter supply'!Z72</f>
        <v>-2807.9900000000002</v>
      </c>
      <c r="G72" s="51">
        <f>'Quarter supply'!AG72</f>
        <v>42892.65</v>
      </c>
      <c r="H72" s="51">
        <f>'Quarter supply'!AP72</f>
        <v>-244.10999999999331</v>
      </c>
      <c r="I72" s="51">
        <f>'Quarter demand'!B72</f>
        <v>43136.759999999995</v>
      </c>
      <c r="J72" s="51">
        <f>'Quarter demand'!K72</f>
        <v>7.7000000000000455</v>
      </c>
      <c r="K72" s="51">
        <f>'Quarter demand'!T72</f>
        <v>-9922.0099999999984</v>
      </c>
      <c r="L72" s="51">
        <f>'Quarter demand'!AD72</f>
        <v>-8902.08</v>
      </c>
      <c r="M72" s="51">
        <f>'Quarter demand'!AL72</f>
        <v>-211.82000000000005</v>
      </c>
      <c r="N72" s="51">
        <f>'Quarter demand'!AS72</f>
        <v>-68.359999999996944</v>
      </c>
      <c r="O72" s="51">
        <f>'Quarter demand'!AV72</f>
        <v>-85.099999999999909</v>
      </c>
      <c r="P72" s="51">
        <f>'Quarter demand'!AZ72</f>
        <v>-625.73</v>
      </c>
      <c r="Q72" s="51">
        <f>'Quarter demand'!BD72</f>
        <v>-18.11</v>
      </c>
      <c r="R72" s="51">
        <f>'Quarter demand'!BH72</f>
        <v>-10.810000000000002</v>
      </c>
      <c r="S72" s="51">
        <f>'Quarter demand'!BK72</f>
        <v>2812.0200000000004</v>
      </c>
      <c r="T72" s="51">
        <f>'Quarter demand'!BT72</f>
        <v>703.12</v>
      </c>
      <c r="U72" s="51">
        <f>'Quarter final consumption'!B72</f>
        <v>29705.35</v>
      </c>
      <c r="V72" s="51">
        <f>'Quarter final consumption'!J72</f>
        <v>344.45</v>
      </c>
      <c r="W72" s="51">
        <f>'Quarter final consumption'!R72</f>
        <v>4538.4000000000005</v>
      </c>
      <c r="X72" s="51">
        <f>'Quarter final consumption'!Z72</f>
        <v>14235.18</v>
      </c>
      <c r="Y72" s="51">
        <f>'Quarter final consumption'!AF72</f>
        <v>4620.4799999999996</v>
      </c>
      <c r="Z72" s="51">
        <f>'Quarter final consumption'!AN72</f>
        <v>4369.38</v>
      </c>
      <c r="AA72" s="51">
        <f>'Quarter final consumption'!AV72</f>
        <v>1191.7099999999998</v>
      </c>
      <c r="AB72" s="51">
        <f>'Quarter final consumption'!BD72</f>
        <v>2604.5200000000004</v>
      </c>
      <c r="AC72" s="51">
        <f>'Quarter final consumption'!BL72</f>
        <v>354.61</v>
      </c>
      <c r="AD72" s="51">
        <f>'Quarter final consumption'!BT72</f>
        <v>218.54</v>
      </c>
      <c r="AE72" s="51">
        <f>'Quarter final consumption'!CB72</f>
        <v>1597.46</v>
      </c>
    </row>
    <row r="73" spans="1:31" x14ac:dyDescent="0.35">
      <c r="A73" s="50" t="s">
        <v>238</v>
      </c>
      <c r="B73" s="51">
        <f>'Quarter supply'!B73</f>
        <v>28990.59</v>
      </c>
      <c r="C73" s="51">
        <f>'Quarter supply'!H73</f>
        <v>43816.659999999996</v>
      </c>
      <c r="D73" s="51">
        <f>'Quarter supply'!P73</f>
        <v>-17427.189999999999</v>
      </c>
      <c r="E73" s="51">
        <f>'Quarter supply'!X73</f>
        <v>-812.16</v>
      </c>
      <c r="F73" s="51">
        <f>'Quarter supply'!Z73</f>
        <v>36.3599999999999</v>
      </c>
      <c r="G73" s="51">
        <f>'Quarter supply'!AG73</f>
        <v>54604.26</v>
      </c>
      <c r="H73" s="51">
        <f>'Quarter supply'!AP73</f>
        <v>-184.21999999999389</v>
      </c>
      <c r="I73" s="51">
        <f>'Quarter demand'!B73</f>
        <v>54788.479999999996</v>
      </c>
      <c r="J73" s="51">
        <f>'Quarter demand'!K73</f>
        <v>-2.1000000000001364</v>
      </c>
      <c r="K73" s="51">
        <f>'Quarter demand'!T73</f>
        <v>-11324.49</v>
      </c>
      <c r="L73" s="51">
        <f>'Quarter demand'!AD73</f>
        <v>-10296.42</v>
      </c>
      <c r="M73" s="51">
        <f>'Quarter demand'!AL73</f>
        <v>-312.25</v>
      </c>
      <c r="N73" s="51">
        <f>'Quarter demand'!AS73</f>
        <v>-66.680000000000291</v>
      </c>
      <c r="O73" s="51">
        <f>'Quarter demand'!AV73</f>
        <v>-85.850000000000023</v>
      </c>
      <c r="P73" s="51">
        <f>'Quarter demand'!AZ73</f>
        <v>-537.18000000000006</v>
      </c>
      <c r="Q73" s="51">
        <f>'Quarter demand'!BD73</f>
        <v>-14.619999999999997</v>
      </c>
      <c r="R73" s="51">
        <f>'Quarter demand'!BH73</f>
        <v>-11.489999999999995</v>
      </c>
      <c r="S73" s="51">
        <f>'Quarter demand'!BK73</f>
        <v>2979.8800000000006</v>
      </c>
      <c r="T73" s="51">
        <f>'Quarter demand'!BT73</f>
        <v>911.36</v>
      </c>
      <c r="U73" s="51">
        <f>'Quarter final consumption'!B73</f>
        <v>39568.35</v>
      </c>
      <c r="V73" s="51">
        <f>'Quarter final consumption'!J73</f>
        <v>317.60000000000002</v>
      </c>
      <c r="W73" s="51">
        <f>'Quarter final consumption'!R73</f>
        <v>5513.3099999999995</v>
      </c>
      <c r="X73" s="51">
        <f>'Quarter final consumption'!Z73</f>
        <v>13795.539999999999</v>
      </c>
      <c r="Y73" s="51">
        <f>'Quarter final consumption'!AF73</f>
        <v>11837.78</v>
      </c>
      <c r="Z73" s="51">
        <f>'Quarter final consumption'!AN73</f>
        <v>6276.9100000000008</v>
      </c>
      <c r="AA73" s="51">
        <f>'Quarter final consumption'!AV73</f>
        <v>1708.2099999999998</v>
      </c>
      <c r="AB73" s="51">
        <f>'Quarter final consumption'!BD73</f>
        <v>3374.33</v>
      </c>
      <c r="AC73" s="51">
        <f>'Quarter final consumption'!BL73</f>
        <v>668.84</v>
      </c>
      <c r="AD73" s="51">
        <f>'Quarter final consumption'!BT73</f>
        <v>525.52999999999986</v>
      </c>
      <c r="AE73" s="51">
        <f>'Quarter final consumption'!CB73</f>
        <v>1827.21</v>
      </c>
    </row>
    <row r="74" spans="1:31" x14ac:dyDescent="0.35">
      <c r="A74" s="50" t="s">
        <v>239</v>
      </c>
      <c r="B74" s="51">
        <f>'Quarter supply'!B74</f>
        <v>31429.1</v>
      </c>
      <c r="C74" s="51">
        <f>'Quarter supply'!H74</f>
        <v>42940.79</v>
      </c>
      <c r="D74" s="51">
        <f>'Quarter supply'!P74</f>
        <v>-16861.809999999998</v>
      </c>
      <c r="E74" s="51">
        <f>'Quarter supply'!X74</f>
        <v>-591.52</v>
      </c>
      <c r="F74" s="51">
        <f>'Quarter supply'!Z74</f>
        <v>3324.02</v>
      </c>
      <c r="G74" s="51">
        <f>'Quarter supply'!AG74</f>
        <v>60240.58</v>
      </c>
      <c r="H74" s="51">
        <f>'Quarter supply'!AP74</f>
        <v>-23.339999999996508</v>
      </c>
      <c r="I74" s="51">
        <f>'Quarter demand'!B74</f>
        <v>60263.92</v>
      </c>
      <c r="J74" s="51">
        <f>'Quarter demand'!K74</f>
        <v>-0.42000000000007276</v>
      </c>
      <c r="K74" s="51">
        <f>'Quarter demand'!T74</f>
        <v>-12136.27</v>
      </c>
      <c r="L74" s="51">
        <f>'Quarter demand'!AD74</f>
        <v>-10959.289999999999</v>
      </c>
      <c r="M74" s="51">
        <f>'Quarter demand'!AL74</f>
        <v>-371.66000000000008</v>
      </c>
      <c r="N74" s="51">
        <f>'Quarter demand'!AS74</f>
        <v>-71.709999999999127</v>
      </c>
      <c r="O74" s="51">
        <f>'Quarter demand'!AV74</f>
        <v>-47.649999999999977</v>
      </c>
      <c r="P74" s="51">
        <f>'Quarter demand'!AZ74</f>
        <v>-664.64</v>
      </c>
      <c r="Q74" s="51">
        <f>'Quarter demand'!BD74</f>
        <v>-11.110000000000001</v>
      </c>
      <c r="R74" s="51">
        <f>'Quarter demand'!BH74</f>
        <v>-10.210000000000008</v>
      </c>
      <c r="S74" s="51">
        <f>'Quarter demand'!BK74</f>
        <v>3177.79</v>
      </c>
      <c r="T74" s="51">
        <f>'Quarter demand'!BT74</f>
        <v>1033.8200000000002</v>
      </c>
      <c r="U74" s="51">
        <f>'Quarter final consumption'!B74</f>
        <v>43919.17</v>
      </c>
      <c r="V74" s="51">
        <f>'Quarter final consumption'!J74</f>
        <v>379.15</v>
      </c>
      <c r="W74" s="51">
        <f>'Quarter final consumption'!R74</f>
        <v>6393.34</v>
      </c>
      <c r="X74" s="51">
        <f>'Quarter final consumption'!Z74</f>
        <v>13054.99</v>
      </c>
      <c r="Y74" s="51">
        <f>'Quarter final consumption'!AF74</f>
        <v>15729.07</v>
      </c>
      <c r="Z74" s="51">
        <f>'Quarter final consumption'!AN74</f>
        <v>6436.74</v>
      </c>
      <c r="AA74" s="51">
        <f>'Quarter final consumption'!AV74</f>
        <v>1764.56</v>
      </c>
      <c r="AB74" s="51">
        <f>'Quarter final consumption'!BD74</f>
        <v>3916.4999999999995</v>
      </c>
      <c r="AC74" s="51">
        <f>'Quarter final consumption'!BL74</f>
        <v>295.52</v>
      </c>
      <c r="AD74" s="51">
        <f>'Quarter final consumption'!BT74</f>
        <v>460.16</v>
      </c>
      <c r="AE74" s="51">
        <f>'Quarter final consumption'!CB74</f>
        <v>1925.88</v>
      </c>
    </row>
    <row r="75" spans="1:31" x14ac:dyDescent="0.35">
      <c r="A75" s="50" t="s">
        <v>240</v>
      </c>
      <c r="B75" s="51">
        <f>'Quarter supply'!B75</f>
        <v>31671.25</v>
      </c>
      <c r="C75" s="51">
        <f>'Quarter supply'!H75</f>
        <v>35941.620000000003</v>
      </c>
      <c r="D75" s="51">
        <f>'Quarter supply'!P75</f>
        <v>-19319.400000000001</v>
      </c>
      <c r="E75" s="51">
        <f>'Quarter supply'!X75</f>
        <v>-747.35</v>
      </c>
      <c r="F75" s="51">
        <f>'Quarter supply'!Z75</f>
        <v>-755.30000000000007</v>
      </c>
      <c r="G75" s="51">
        <f>'Quarter supply'!AG75</f>
        <v>46790.819999999992</v>
      </c>
      <c r="H75" s="51">
        <f>'Quarter supply'!AP75</f>
        <v>15.819999999992433</v>
      </c>
      <c r="I75" s="51">
        <f>'Quarter demand'!B75</f>
        <v>46775</v>
      </c>
      <c r="J75" s="51">
        <f>'Quarter demand'!K75</f>
        <v>22.960000000000036</v>
      </c>
      <c r="K75" s="51">
        <f>'Quarter demand'!T75</f>
        <v>-9712.85</v>
      </c>
      <c r="L75" s="51">
        <f>'Quarter demand'!AD75</f>
        <v>-8606.5199999999986</v>
      </c>
      <c r="M75" s="51">
        <f>'Quarter demand'!AL75</f>
        <v>-255.8599999999999</v>
      </c>
      <c r="N75" s="51">
        <f>'Quarter demand'!AS75</f>
        <v>-128.38000000000102</v>
      </c>
      <c r="O75" s="51">
        <f>'Quarter demand'!AV75</f>
        <v>-46.490000000000009</v>
      </c>
      <c r="P75" s="51">
        <f>'Quarter demand'!AZ75</f>
        <v>-647.42000000000007</v>
      </c>
      <c r="Q75" s="51">
        <f>'Quarter demand'!BD75</f>
        <v>-18.68</v>
      </c>
      <c r="R75" s="51">
        <f>'Quarter demand'!BH75</f>
        <v>-9.5</v>
      </c>
      <c r="S75" s="51">
        <f>'Quarter demand'!BK75</f>
        <v>3093.84</v>
      </c>
      <c r="T75" s="51">
        <f>'Quarter demand'!BT75</f>
        <v>678.88</v>
      </c>
      <c r="U75" s="51">
        <f>'Quarter final consumption'!B75</f>
        <v>33310.99</v>
      </c>
      <c r="V75" s="51">
        <f>'Quarter final consumption'!J75</f>
        <v>359.56</v>
      </c>
      <c r="W75" s="51">
        <f>'Quarter final consumption'!R75</f>
        <v>4728.7300000000005</v>
      </c>
      <c r="X75" s="51">
        <f>'Quarter final consumption'!Z75</f>
        <v>13831.45</v>
      </c>
      <c r="Y75" s="51">
        <f>'Quarter final consumption'!AF75</f>
        <v>7483.7699999999986</v>
      </c>
      <c r="Z75" s="51">
        <f>'Quarter final consumption'!AN75</f>
        <v>4944.29</v>
      </c>
      <c r="AA75" s="51">
        <f>'Quarter final consumption'!AV75</f>
        <v>1383.06</v>
      </c>
      <c r="AB75" s="51">
        <f>'Quarter final consumption'!BD75</f>
        <v>2901.2999999999997</v>
      </c>
      <c r="AC75" s="51">
        <f>'Quarter final consumption'!BL75</f>
        <v>385.42999999999995</v>
      </c>
      <c r="AD75" s="51">
        <f>'Quarter final consumption'!BT75</f>
        <v>274.5</v>
      </c>
      <c r="AE75" s="51">
        <f>'Quarter final consumption'!CB75</f>
        <v>1963.1899999999998</v>
      </c>
    </row>
    <row r="76" spans="1:31" x14ac:dyDescent="0.35">
      <c r="A76" s="50" t="s">
        <v>241</v>
      </c>
      <c r="B76" s="51">
        <f>'Quarter supply'!B76</f>
        <v>27105.83</v>
      </c>
      <c r="C76" s="51">
        <f>'Quarter supply'!H76</f>
        <v>36194.32</v>
      </c>
      <c r="D76" s="51">
        <f>'Quarter supply'!P76</f>
        <v>-20119.169999999995</v>
      </c>
      <c r="E76" s="51">
        <f>'Quarter supply'!X76</f>
        <v>-733.61</v>
      </c>
      <c r="F76" s="51">
        <f>'Quarter supply'!Z76</f>
        <v>537.42000000000007</v>
      </c>
      <c r="G76" s="51">
        <f>'Quarter supply'!AG76</f>
        <v>42984.790000000008</v>
      </c>
      <c r="H76" s="51">
        <f>'Quarter supply'!AP76</f>
        <v>12.730000000017753</v>
      </c>
      <c r="I76" s="51">
        <f>'Quarter demand'!B76</f>
        <v>42972.05999999999</v>
      </c>
      <c r="J76" s="51">
        <f>'Quarter demand'!K76</f>
        <v>33.970000000000027</v>
      </c>
      <c r="K76" s="51">
        <f>'Quarter demand'!T76</f>
        <v>-9089.4299999999967</v>
      </c>
      <c r="L76" s="51">
        <f>'Quarter demand'!AD76</f>
        <v>-8323.0400000000009</v>
      </c>
      <c r="M76" s="51">
        <f>'Quarter demand'!AL76</f>
        <v>-222.14999999999998</v>
      </c>
      <c r="N76" s="51">
        <f>'Quarter demand'!AS76</f>
        <v>4.2900000000008731</v>
      </c>
      <c r="O76" s="51">
        <f>'Quarter demand'!AV76</f>
        <v>-33.659999999999968</v>
      </c>
      <c r="P76" s="51">
        <f>'Quarter demand'!AZ76</f>
        <v>-485.03999999999996</v>
      </c>
      <c r="Q76" s="51">
        <f>'Quarter demand'!BD76</f>
        <v>-17.77</v>
      </c>
      <c r="R76" s="51">
        <f>'Quarter demand'!BH76</f>
        <v>-12.059999999999988</v>
      </c>
      <c r="S76" s="51">
        <f>'Quarter demand'!BK76</f>
        <v>3028.66</v>
      </c>
      <c r="T76" s="51">
        <f>'Quarter demand'!BT76</f>
        <v>682.68</v>
      </c>
      <c r="U76" s="51">
        <f>'Quarter final consumption'!B76</f>
        <v>30202.68</v>
      </c>
      <c r="V76" s="51">
        <f>'Quarter final consumption'!J76</f>
        <v>308.87</v>
      </c>
      <c r="W76" s="51">
        <f>'Quarter final consumption'!R76</f>
        <v>4553.03</v>
      </c>
      <c r="X76" s="51">
        <f>'Quarter final consumption'!Z76</f>
        <v>13884.18</v>
      </c>
      <c r="Y76" s="51">
        <f>'Quarter final consumption'!AF76</f>
        <v>4915.99</v>
      </c>
      <c r="Z76" s="51">
        <f>'Quarter final consumption'!AN76</f>
        <v>4584.43</v>
      </c>
      <c r="AA76" s="51">
        <f>'Quarter final consumption'!AV76</f>
        <v>1271.17</v>
      </c>
      <c r="AB76" s="51">
        <f>'Quarter final consumption'!BD76</f>
        <v>2647.8700000000003</v>
      </c>
      <c r="AC76" s="51">
        <f>'Quarter final consumption'!BL76</f>
        <v>435.19999999999993</v>
      </c>
      <c r="AD76" s="51">
        <f>'Quarter final consumption'!BT76</f>
        <v>230.19</v>
      </c>
      <c r="AE76" s="51">
        <f>'Quarter final consumption'!CB76</f>
        <v>1956.18</v>
      </c>
    </row>
    <row r="77" spans="1:31" x14ac:dyDescent="0.35">
      <c r="A77" s="50" t="s">
        <v>242</v>
      </c>
      <c r="B77" s="51">
        <f>'Quarter supply'!B77</f>
        <v>32791.57</v>
      </c>
      <c r="C77" s="51">
        <f>'Quarter supply'!H77</f>
        <v>39931.29</v>
      </c>
      <c r="D77" s="51">
        <f>'Quarter supply'!P77</f>
        <v>-19901.690000000002</v>
      </c>
      <c r="E77" s="51">
        <f>'Quarter supply'!X77</f>
        <v>-611.11</v>
      </c>
      <c r="F77" s="51">
        <f>'Quarter supply'!Z77</f>
        <v>809.12000000000012</v>
      </c>
      <c r="G77" s="51">
        <f>'Quarter supply'!AG77</f>
        <v>53019.18</v>
      </c>
      <c r="H77" s="51">
        <f>'Quarter supply'!AP77</f>
        <v>44.599999999998545</v>
      </c>
      <c r="I77" s="51">
        <f>'Quarter demand'!B77</f>
        <v>52974.58</v>
      </c>
      <c r="J77" s="51">
        <f>'Quarter demand'!K77</f>
        <v>183.55999999999995</v>
      </c>
      <c r="K77" s="51">
        <f>'Quarter demand'!T77</f>
        <v>-10490.439999999999</v>
      </c>
      <c r="L77" s="51">
        <f>'Quarter demand'!AD77</f>
        <v>-9645.9199999999983</v>
      </c>
      <c r="M77" s="51">
        <f>'Quarter demand'!AL77</f>
        <v>-301.87999999999994</v>
      </c>
      <c r="N77" s="51">
        <f>'Quarter demand'!AS77</f>
        <v>-5.7999999999992724</v>
      </c>
      <c r="O77" s="51">
        <f>'Quarter demand'!AV77</f>
        <v>-23.75</v>
      </c>
      <c r="P77" s="51">
        <f>'Quarter demand'!AZ77</f>
        <v>-479.97</v>
      </c>
      <c r="Q77" s="51">
        <f>'Quarter demand'!BD77</f>
        <v>-20.77</v>
      </c>
      <c r="R77" s="51">
        <f>'Quarter demand'!BH77</f>
        <v>-12.34999999999998</v>
      </c>
      <c r="S77" s="51">
        <f>'Quarter demand'!BK77</f>
        <v>3177.12</v>
      </c>
      <c r="T77" s="51">
        <f>'Quarter demand'!BT77</f>
        <v>895.24</v>
      </c>
      <c r="U77" s="51">
        <f>'Quarter final consumption'!B77</f>
        <v>38595.769999999997</v>
      </c>
      <c r="V77" s="51">
        <f>'Quarter final consumption'!J77</f>
        <v>276.06</v>
      </c>
      <c r="W77" s="51">
        <f>'Quarter final consumption'!R77</f>
        <v>5308.98</v>
      </c>
      <c r="X77" s="51">
        <f>'Quarter final consumption'!Z77</f>
        <v>13846.7</v>
      </c>
      <c r="Y77" s="51">
        <f>'Quarter final consumption'!AF77</f>
        <v>10897.76</v>
      </c>
      <c r="Z77" s="51">
        <f>'Quarter final consumption'!AN77</f>
        <v>5782.9000000000005</v>
      </c>
      <c r="AA77" s="51">
        <f>'Quarter final consumption'!AV77</f>
        <v>1455.66</v>
      </c>
      <c r="AB77" s="51">
        <f>'Quarter final consumption'!BD77</f>
        <v>3492.33</v>
      </c>
      <c r="AC77" s="51">
        <f>'Quarter final consumption'!BL77</f>
        <v>395.71</v>
      </c>
      <c r="AD77" s="51">
        <f>'Quarter final consumption'!BT77</f>
        <v>439.2</v>
      </c>
      <c r="AE77" s="51">
        <f>'Quarter final consumption'!CB77</f>
        <v>2483.37</v>
      </c>
    </row>
    <row r="78" spans="1:31" x14ac:dyDescent="0.35">
      <c r="A78" s="50" t="s">
        <v>243</v>
      </c>
      <c r="B78" s="51">
        <f>'Quarter supply'!B78</f>
        <v>32852.550000000003</v>
      </c>
      <c r="C78" s="51">
        <f>'Quarter supply'!H78</f>
        <v>38794.400000000001</v>
      </c>
      <c r="D78" s="51">
        <f>'Quarter supply'!P78</f>
        <v>-19432.579999999994</v>
      </c>
      <c r="E78" s="51">
        <f>'Quarter supply'!X78</f>
        <v>-573.87</v>
      </c>
      <c r="F78" s="51">
        <f>'Quarter supply'!Z78</f>
        <v>5334.48</v>
      </c>
      <c r="G78" s="51">
        <f>'Quarter supply'!AG78</f>
        <v>56974.98</v>
      </c>
      <c r="H78" s="51">
        <f>'Quarter supply'!AP78</f>
        <v>-343.07999999999447</v>
      </c>
      <c r="I78" s="51">
        <f>'Quarter demand'!B78</f>
        <v>57318.06</v>
      </c>
      <c r="J78" s="51">
        <f>'Quarter demand'!K78</f>
        <v>9.0299999999999727</v>
      </c>
      <c r="K78" s="51">
        <f>'Quarter demand'!T78</f>
        <v>-10605.460000000003</v>
      </c>
      <c r="L78" s="51">
        <f>'Quarter demand'!AD78</f>
        <v>-9743.6900000000023</v>
      </c>
      <c r="M78" s="51">
        <f>'Quarter demand'!AL78</f>
        <v>-374.41000000000008</v>
      </c>
      <c r="N78" s="51">
        <f>'Quarter demand'!AS78</f>
        <v>-27.019999999998618</v>
      </c>
      <c r="O78" s="51">
        <f>'Quarter demand'!AV78</f>
        <v>-19.95999999999998</v>
      </c>
      <c r="P78" s="51">
        <f>'Quarter demand'!AZ78</f>
        <v>-406.62</v>
      </c>
      <c r="Q78" s="51">
        <f>'Quarter demand'!BD78</f>
        <v>-21.270000000000003</v>
      </c>
      <c r="R78" s="51">
        <f>'Quarter demand'!BH78</f>
        <v>-12.489999999999995</v>
      </c>
      <c r="S78" s="51">
        <f>'Quarter demand'!BK78</f>
        <v>3134.6699999999996</v>
      </c>
      <c r="T78" s="51">
        <f>'Quarter demand'!BT78</f>
        <v>864.25</v>
      </c>
      <c r="U78" s="51">
        <f>'Quarter final consumption'!B78</f>
        <v>42724.099999999991</v>
      </c>
      <c r="V78" s="51">
        <f>'Quarter final consumption'!J78</f>
        <v>250.25</v>
      </c>
      <c r="W78" s="51">
        <f>'Quarter final consumption'!R78</f>
        <v>6017.5</v>
      </c>
      <c r="X78" s="51">
        <f>'Quarter final consumption'!Z78</f>
        <v>13226.17</v>
      </c>
      <c r="Y78" s="51">
        <f>'Quarter final consumption'!AF78</f>
        <v>14821.26</v>
      </c>
      <c r="Z78" s="51">
        <f>'Quarter final consumption'!AN78</f>
        <v>6310.88</v>
      </c>
      <c r="AA78" s="51">
        <f>'Quarter final consumption'!AV78</f>
        <v>1701.73</v>
      </c>
      <c r="AB78" s="51">
        <f>'Quarter final consumption'!BD78</f>
        <v>3814.1899999999996</v>
      </c>
      <c r="AC78" s="51">
        <f>'Quarter final consumption'!BL78</f>
        <v>348.55</v>
      </c>
      <c r="AD78" s="51">
        <f>'Quarter final consumption'!BT78</f>
        <v>446.41</v>
      </c>
      <c r="AE78" s="51">
        <f>'Quarter final consumption'!CB78</f>
        <v>2098.04</v>
      </c>
    </row>
    <row r="79" spans="1:31" x14ac:dyDescent="0.35">
      <c r="A79" s="50" t="s">
        <v>244</v>
      </c>
      <c r="B79" s="51">
        <f>'Quarter supply'!B79</f>
        <v>30668.470000000005</v>
      </c>
      <c r="C79" s="51">
        <f>'Quarter supply'!H79</f>
        <v>35665.01</v>
      </c>
      <c r="D79" s="51">
        <f>'Quarter supply'!P79</f>
        <v>-18208.560000000001</v>
      </c>
      <c r="E79" s="51">
        <f>'Quarter supply'!X79</f>
        <v>-776.63</v>
      </c>
      <c r="F79" s="51">
        <f>'Quarter supply'!Z79</f>
        <v>-1155.27</v>
      </c>
      <c r="G79" s="51">
        <f>'Quarter supply'!AG79</f>
        <v>46193.02</v>
      </c>
      <c r="H79" s="51">
        <f>'Quarter supply'!AP79</f>
        <v>22.819999999992433</v>
      </c>
      <c r="I79" s="51">
        <f>'Quarter demand'!B79</f>
        <v>46170.200000000004</v>
      </c>
      <c r="J79" s="51">
        <f>'Quarter demand'!K79</f>
        <v>4.6200000000001182</v>
      </c>
      <c r="K79" s="51">
        <f>'Quarter demand'!T79</f>
        <v>-8540.2899999999991</v>
      </c>
      <c r="L79" s="51">
        <f>'Quarter demand'!AD79</f>
        <v>-7762.87</v>
      </c>
      <c r="M79" s="51">
        <f>'Quarter demand'!AL79</f>
        <v>-271.68999999999983</v>
      </c>
      <c r="N79" s="51">
        <f>'Quarter demand'!AS79</f>
        <v>-38.740000000001601</v>
      </c>
      <c r="O79" s="51">
        <f>'Quarter demand'!AV79</f>
        <v>-20.04000000000002</v>
      </c>
      <c r="P79" s="51">
        <f>'Quarter demand'!AZ79</f>
        <v>-425.04</v>
      </c>
      <c r="Q79" s="51">
        <f>'Quarter demand'!BD79</f>
        <v>-10.630000000000003</v>
      </c>
      <c r="R79" s="51">
        <f>'Quarter demand'!BH79</f>
        <v>-11.280000000000001</v>
      </c>
      <c r="S79" s="51">
        <f>'Quarter demand'!BK79</f>
        <v>2980.67</v>
      </c>
      <c r="T79" s="51">
        <f>'Quarter demand'!BT79</f>
        <v>647.76</v>
      </c>
      <c r="U79" s="51">
        <f>'Quarter final consumption'!B79</f>
        <v>34004.86</v>
      </c>
      <c r="V79" s="51">
        <f>'Quarter final consumption'!J79</f>
        <v>255.98</v>
      </c>
      <c r="W79" s="51">
        <f>'Quarter final consumption'!R79</f>
        <v>4807.0599999999995</v>
      </c>
      <c r="X79" s="51">
        <f>'Quarter final consumption'!Z79</f>
        <v>14154.740000000002</v>
      </c>
      <c r="Y79" s="51">
        <f>'Quarter final consumption'!AF79</f>
        <v>7665.8900000000012</v>
      </c>
      <c r="Z79" s="51">
        <f>'Quarter final consumption'!AN79</f>
        <v>4985.9799999999996</v>
      </c>
      <c r="AA79" s="51">
        <f>'Quarter final consumption'!AV79</f>
        <v>1375.6100000000001</v>
      </c>
      <c r="AB79" s="51">
        <f>'Quarter final consumption'!BD79</f>
        <v>2944.7799999999997</v>
      </c>
      <c r="AC79" s="51">
        <f>'Quarter final consumption'!BL79</f>
        <v>392.34999999999997</v>
      </c>
      <c r="AD79" s="51">
        <f>'Quarter final consumption'!BT79</f>
        <v>273.23999999999995</v>
      </c>
      <c r="AE79" s="51">
        <f>'Quarter final consumption'!CB79</f>
        <v>2135.21</v>
      </c>
    </row>
    <row r="80" spans="1:31" x14ac:dyDescent="0.35">
      <c r="A80" s="50" t="s">
        <v>245</v>
      </c>
      <c r="B80" s="51">
        <f>'Quarter supply'!B80</f>
        <v>29785.32</v>
      </c>
      <c r="C80" s="51">
        <f>'Quarter supply'!H80</f>
        <v>33190.379999999997</v>
      </c>
      <c r="D80" s="51">
        <f>'Quarter supply'!P80</f>
        <v>-20588.89</v>
      </c>
      <c r="E80" s="51">
        <f>'Quarter supply'!X80</f>
        <v>-815.51</v>
      </c>
      <c r="F80" s="51">
        <f>'Quarter supply'!Z80</f>
        <v>159.88000000000011</v>
      </c>
      <c r="G80" s="51">
        <f>'Quarter supply'!AG80</f>
        <v>41731.18</v>
      </c>
      <c r="H80" s="51">
        <f>'Quarter supply'!AP80</f>
        <v>-78.739999999997963</v>
      </c>
      <c r="I80" s="51">
        <f>'Quarter demand'!B80</f>
        <v>41809.919999999998</v>
      </c>
      <c r="J80" s="51">
        <f>'Quarter demand'!K80</f>
        <v>1.5999999999999091</v>
      </c>
      <c r="K80" s="51">
        <f>'Quarter demand'!T80</f>
        <v>-8208.6399999999976</v>
      </c>
      <c r="L80" s="51">
        <f>'Quarter demand'!AD80</f>
        <v>-7506.2800000000016</v>
      </c>
      <c r="M80" s="51">
        <f>'Quarter demand'!AL80</f>
        <v>-226.15999999999997</v>
      </c>
      <c r="N80" s="51">
        <f>'Quarter demand'!AS80</f>
        <v>-1.9500000000007276</v>
      </c>
      <c r="O80" s="51">
        <f>'Quarter demand'!AV80</f>
        <v>-21.050000000000011</v>
      </c>
      <c r="P80" s="51">
        <f>'Quarter demand'!AZ80</f>
        <v>-432.36</v>
      </c>
      <c r="Q80" s="51">
        <f>'Quarter demand'!BD80</f>
        <v>-10.149999999999999</v>
      </c>
      <c r="R80" s="51">
        <f>'Quarter demand'!BH80</f>
        <v>-10.689999999999998</v>
      </c>
      <c r="S80" s="51">
        <f>'Quarter demand'!BK80</f>
        <v>2964.6699999999996</v>
      </c>
      <c r="T80" s="51">
        <f>'Quarter demand'!BT80</f>
        <v>573.61</v>
      </c>
      <c r="U80" s="51">
        <f>'Quarter final consumption'!B80</f>
        <v>30059.649999999994</v>
      </c>
      <c r="V80" s="51">
        <f>'Quarter final consumption'!J80</f>
        <v>240.28</v>
      </c>
      <c r="W80" s="51">
        <f>'Quarter final consumption'!R80</f>
        <v>4444.24</v>
      </c>
      <c r="X80" s="51">
        <f>'Quarter final consumption'!Z80</f>
        <v>14549.960000000001</v>
      </c>
      <c r="Y80" s="51">
        <f>'Quarter final consumption'!AF80</f>
        <v>4293.3500000000004</v>
      </c>
      <c r="Z80" s="51">
        <f>'Quarter final consumption'!AN80</f>
        <v>4427.45</v>
      </c>
      <c r="AA80" s="51">
        <f>'Quarter final consumption'!AV80</f>
        <v>1200.1099999999999</v>
      </c>
      <c r="AB80" s="51">
        <f>'Quarter final consumption'!BD80</f>
        <v>2643.71</v>
      </c>
      <c r="AC80" s="51">
        <f>'Quarter final consumption'!BL80</f>
        <v>367.71000000000004</v>
      </c>
      <c r="AD80" s="51">
        <f>'Quarter final consumption'!BT80</f>
        <v>215.92000000000002</v>
      </c>
      <c r="AE80" s="51">
        <f>'Quarter final consumption'!CB80</f>
        <v>2104.37</v>
      </c>
    </row>
    <row r="81" spans="1:31" x14ac:dyDescent="0.35">
      <c r="A81" s="50" t="s">
        <v>246</v>
      </c>
      <c r="B81" s="51">
        <f>'Quarter supply'!B81</f>
        <v>31391.05</v>
      </c>
      <c r="C81" s="51">
        <f>'Quarter supply'!H81</f>
        <v>41454</v>
      </c>
      <c r="D81" s="51">
        <f>'Quarter supply'!P81</f>
        <v>-17684.89</v>
      </c>
      <c r="E81" s="51">
        <f>'Quarter supply'!X81</f>
        <v>-674.44</v>
      </c>
      <c r="F81" s="51">
        <f>'Quarter supply'!Z81</f>
        <v>354.23999999999995</v>
      </c>
      <c r="G81" s="51">
        <f>'Quarter supply'!AG81</f>
        <v>54839.96</v>
      </c>
      <c r="H81" s="51">
        <f>'Quarter supply'!AP81</f>
        <v>27.139999999999418</v>
      </c>
      <c r="I81" s="51">
        <f>'Quarter demand'!B81</f>
        <v>54812.82</v>
      </c>
      <c r="J81" s="51">
        <f>'Quarter demand'!K81</f>
        <v>32.079999999999927</v>
      </c>
      <c r="K81" s="51">
        <f>'Quarter demand'!T81</f>
        <v>-10187.739999999998</v>
      </c>
      <c r="L81" s="51">
        <f>'Quarter demand'!AD81</f>
        <v>-9347.77</v>
      </c>
      <c r="M81" s="51">
        <f>'Quarter demand'!AL81</f>
        <v>-339.24000000000007</v>
      </c>
      <c r="N81" s="51">
        <f>'Quarter demand'!AS81</f>
        <v>-19.610000000000582</v>
      </c>
      <c r="O81" s="51">
        <f>'Quarter demand'!AV81</f>
        <v>-20.110000000000014</v>
      </c>
      <c r="P81" s="51">
        <f>'Quarter demand'!AZ81</f>
        <v>-428.24</v>
      </c>
      <c r="Q81" s="51">
        <f>'Quarter demand'!BD81</f>
        <v>-21.559999999999995</v>
      </c>
      <c r="R81" s="51">
        <f>'Quarter demand'!BH81</f>
        <v>-11.210000000000008</v>
      </c>
      <c r="S81" s="51">
        <f>'Quarter demand'!BK81</f>
        <v>2972.0500000000006</v>
      </c>
      <c r="T81" s="51">
        <f>'Quarter demand'!BT81</f>
        <v>715.27</v>
      </c>
      <c r="U81" s="51">
        <f>'Quarter final consumption'!B81</f>
        <v>40974.629999999997</v>
      </c>
      <c r="V81" s="51">
        <f>'Quarter final consumption'!J81</f>
        <v>237.94</v>
      </c>
      <c r="W81" s="51">
        <f>'Quarter final consumption'!R81</f>
        <v>5665.2199999999993</v>
      </c>
      <c r="X81" s="51">
        <f>'Quarter final consumption'!Z81</f>
        <v>14154.73</v>
      </c>
      <c r="Y81" s="51">
        <f>'Quarter final consumption'!AF81</f>
        <v>12747.93</v>
      </c>
      <c r="Z81" s="51">
        <f>'Quarter final consumption'!AN81</f>
        <v>6175.09</v>
      </c>
      <c r="AA81" s="51">
        <f>'Quarter final consumption'!AV81</f>
        <v>1641.49</v>
      </c>
      <c r="AB81" s="51">
        <f>'Quarter final consumption'!BD81</f>
        <v>3590.0099999999998</v>
      </c>
      <c r="AC81" s="51">
        <f>'Quarter final consumption'!BL81</f>
        <v>427.81</v>
      </c>
      <c r="AD81" s="51">
        <f>'Quarter final consumption'!BT81</f>
        <v>515.78</v>
      </c>
      <c r="AE81" s="51">
        <f>'Quarter final consumption'!CB81</f>
        <v>1993.72</v>
      </c>
    </row>
    <row r="82" spans="1:31" x14ac:dyDescent="0.35">
      <c r="A82" s="50" t="s">
        <v>247</v>
      </c>
      <c r="B82" s="51">
        <f>'Quarter supply'!B82</f>
        <v>32955.67</v>
      </c>
      <c r="C82" s="51">
        <f>'Quarter supply'!H82</f>
        <v>39531.620000000003</v>
      </c>
      <c r="D82" s="51">
        <f>'Quarter supply'!P82</f>
        <v>-18476.789999999997</v>
      </c>
      <c r="E82" s="51">
        <f>'Quarter supply'!X82</f>
        <v>-545.08000000000004</v>
      </c>
      <c r="F82" s="51">
        <f>'Quarter supply'!Z82</f>
        <v>3149.7700000000004</v>
      </c>
      <c r="G82" s="51">
        <f>'Quarter supply'!AG82</f>
        <v>56615.189999999988</v>
      </c>
      <c r="H82" s="51">
        <f>'Quarter supply'!AP82</f>
        <v>240.92999999999302</v>
      </c>
      <c r="I82" s="51">
        <f>'Quarter demand'!B82</f>
        <v>56374.259999999995</v>
      </c>
      <c r="J82" s="51">
        <f>'Quarter demand'!K82</f>
        <v>-1.9500000000000455</v>
      </c>
      <c r="K82" s="51">
        <f>'Quarter demand'!T82</f>
        <v>-10172.329999999998</v>
      </c>
      <c r="L82" s="51">
        <f>'Quarter demand'!AD82</f>
        <v>-9339.41</v>
      </c>
      <c r="M82" s="51">
        <f>'Quarter demand'!AL82</f>
        <v>-310.06999999999994</v>
      </c>
      <c r="N82" s="51">
        <f>'Quarter demand'!AS82</f>
        <v>-63.1200000000008</v>
      </c>
      <c r="O82" s="51">
        <f>'Quarter demand'!AV82</f>
        <v>-22.520000000000039</v>
      </c>
      <c r="P82" s="51">
        <f>'Quarter demand'!AZ82</f>
        <v>-418.17999999999995</v>
      </c>
      <c r="Q82" s="51">
        <f>'Quarter demand'!BD82</f>
        <v>-14.95</v>
      </c>
      <c r="R82" s="51">
        <f>'Quarter demand'!BH82</f>
        <v>-4.0799999999999983</v>
      </c>
      <c r="S82" s="51">
        <f>'Quarter demand'!BK82</f>
        <v>3089.45</v>
      </c>
      <c r="T82" s="51">
        <f>'Quarter demand'!BT82</f>
        <v>890.9</v>
      </c>
      <c r="U82" s="51">
        <f>'Quarter final consumption'!B82</f>
        <v>42210.859999999993</v>
      </c>
      <c r="V82" s="51">
        <f>'Quarter final consumption'!J82</f>
        <v>247.33</v>
      </c>
      <c r="W82" s="51">
        <f>'Quarter final consumption'!R82</f>
        <v>6070.7100000000009</v>
      </c>
      <c r="X82" s="51">
        <f>'Quarter final consumption'!Z82</f>
        <v>13498</v>
      </c>
      <c r="Y82" s="51">
        <f>'Quarter final consumption'!AF82</f>
        <v>14032.460000000003</v>
      </c>
      <c r="Z82" s="51">
        <f>'Quarter final consumption'!AN82</f>
        <v>6334.2</v>
      </c>
      <c r="AA82" s="51">
        <f>'Quarter final consumption'!AV82</f>
        <v>1743.18</v>
      </c>
      <c r="AB82" s="51">
        <f>'Quarter final consumption'!BD82</f>
        <v>3812.61</v>
      </c>
      <c r="AC82" s="51">
        <f>'Quarter final consumption'!BL82</f>
        <v>333.40999999999997</v>
      </c>
      <c r="AD82" s="51">
        <f>'Quarter final consumption'!BT82</f>
        <v>445</v>
      </c>
      <c r="AE82" s="51">
        <f>'Quarter final consumption'!CB82</f>
        <v>2028.1599999999999</v>
      </c>
    </row>
    <row r="83" spans="1:31" x14ac:dyDescent="0.35">
      <c r="A83" s="50" t="s">
        <v>248</v>
      </c>
      <c r="B83" s="51">
        <f>'Quarter supply'!B83</f>
        <v>31588.29</v>
      </c>
      <c r="C83" s="51">
        <f>'Quarter supply'!H83</f>
        <v>35020.53</v>
      </c>
      <c r="D83" s="51">
        <f>'Quarter supply'!P83</f>
        <v>-20752.2</v>
      </c>
      <c r="E83" s="51">
        <f>'Quarter supply'!X83</f>
        <v>-661.4</v>
      </c>
      <c r="F83" s="51">
        <f>'Quarter supply'!Z83</f>
        <v>77.25</v>
      </c>
      <c r="G83" s="51">
        <f>'Quarter supply'!AG83</f>
        <v>45272.47</v>
      </c>
      <c r="H83" s="51">
        <f>'Quarter supply'!AP83</f>
        <v>-49.129999999997381</v>
      </c>
      <c r="I83" s="51">
        <f>'Quarter demand'!B83</f>
        <v>45321.599999999999</v>
      </c>
      <c r="J83" s="51">
        <f>'Quarter demand'!K83</f>
        <v>6.9600000000000364</v>
      </c>
      <c r="K83" s="51">
        <f>'Quarter demand'!T83</f>
        <v>-8038.2000000000007</v>
      </c>
      <c r="L83" s="51">
        <f>'Quarter demand'!AD83</f>
        <v>-7337.2900000000009</v>
      </c>
      <c r="M83" s="51">
        <f>'Quarter demand'!AL83</f>
        <v>-218.65999999999997</v>
      </c>
      <c r="N83" s="51">
        <f>'Quarter demand'!AS83</f>
        <v>-15.779999999998836</v>
      </c>
      <c r="O83" s="51">
        <f>'Quarter demand'!AV83</f>
        <v>-20.009999999999991</v>
      </c>
      <c r="P83" s="51">
        <f>'Quarter demand'!AZ83</f>
        <v>-419.16</v>
      </c>
      <c r="Q83" s="51">
        <f>'Quarter demand'!BD83</f>
        <v>-16.47</v>
      </c>
      <c r="R83" s="51">
        <f>'Quarter demand'!BH83</f>
        <v>-10.830000000000013</v>
      </c>
      <c r="S83" s="51">
        <f>'Quarter demand'!BK83</f>
        <v>3042.6300000000006</v>
      </c>
      <c r="T83" s="51">
        <f>'Quarter demand'!BT83</f>
        <v>630.59</v>
      </c>
      <c r="U83" s="51">
        <f>'Quarter final consumption'!B83</f>
        <v>33621.579999999994</v>
      </c>
      <c r="V83" s="51">
        <f>'Quarter final consumption'!J83</f>
        <v>245.49</v>
      </c>
      <c r="W83" s="51">
        <f>'Quarter final consumption'!R83</f>
        <v>4561.91</v>
      </c>
      <c r="X83" s="51">
        <f>'Quarter final consumption'!Z83</f>
        <v>14761.9</v>
      </c>
      <c r="Y83" s="51">
        <f>'Quarter final consumption'!AF83</f>
        <v>7029.68</v>
      </c>
      <c r="Z83" s="51">
        <f>'Quarter final consumption'!AN83</f>
        <v>4809.4000000000005</v>
      </c>
      <c r="AA83" s="51">
        <f>'Quarter final consumption'!AV83</f>
        <v>1310.58</v>
      </c>
      <c r="AB83" s="51">
        <f>'Quarter final consumption'!BD83</f>
        <v>2898.3499999999995</v>
      </c>
      <c r="AC83" s="51">
        <f>'Quarter final consumption'!BL83</f>
        <v>350.34000000000003</v>
      </c>
      <c r="AD83" s="51">
        <f>'Quarter final consumption'!BT83</f>
        <v>250.13</v>
      </c>
      <c r="AE83" s="51">
        <f>'Quarter final consumption'!CB83</f>
        <v>2213.2000000000003</v>
      </c>
    </row>
    <row r="84" spans="1:31" x14ac:dyDescent="0.35">
      <c r="A84" s="50" t="s">
        <v>249</v>
      </c>
      <c r="B84" s="51">
        <f>'Quarter supply'!B84</f>
        <v>28697.49</v>
      </c>
      <c r="C84" s="51">
        <f>'Quarter supply'!H84</f>
        <v>36326.129999999997</v>
      </c>
      <c r="D84" s="51">
        <f>'Quarter supply'!P84</f>
        <v>-21577.850000000002</v>
      </c>
      <c r="E84" s="51">
        <f>'Quarter supply'!X84</f>
        <v>-779.1</v>
      </c>
      <c r="F84" s="51">
        <f>'Quarter supply'!Z84</f>
        <v>183.95000000000005</v>
      </c>
      <c r="G84" s="51">
        <f>'Quarter supply'!AG84</f>
        <v>42850.62</v>
      </c>
      <c r="H84" s="51">
        <f>'Quarter supply'!AP84</f>
        <v>130.10999999999331</v>
      </c>
      <c r="I84" s="51">
        <f>'Quarter demand'!B84</f>
        <v>42720.510000000009</v>
      </c>
      <c r="J84" s="51">
        <f>'Quarter demand'!K84</f>
        <v>-2.0900000000001455</v>
      </c>
      <c r="K84" s="51">
        <f>'Quarter demand'!T84</f>
        <v>-7924.4100000000017</v>
      </c>
      <c r="L84" s="51">
        <f>'Quarter demand'!AD84</f>
        <v>-7323.2900000000009</v>
      </c>
      <c r="M84" s="51">
        <f>'Quarter demand'!AL84</f>
        <v>-193.08999999999997</v>
      </c>
      <c r="N84" s="51">
        <f>'Quarter demand'!AS84</f>
        <v>-9.1900000000023283</v>
      </c>
      <c r="O84" s="51">
        <f>'Quarter demand'!AV84</f>
        <v>-20.589999999999975</v>
      </c>
      <c r="P84" s="51">
        <f>'Quarter demand'!AZ84</f>
        <v>-362.51</v>
      </c>
      <c r="Q84" s="51">
        <f>'Quarter demand'!BD84</f>
        <v>-6.4799999999999969</v>
      </c>
      <c r="R84" s="51">
        <f>'Quarter demand'!BH84</f>
        <v>-9.2600000000000051</v>
      </c>
      <c r="S84" s="51">
        <f>'Quarter demand'!BK84</f>
        <v>2960.79</v>
      </c>
      <c r="T84" s="51">
        <f>'Quarter demand'!BT84</f>
        <v>622.49</v>
      </c>
      <c r="U84" s="51">
        <f>'Quarter final consumption'!B84</f>
        <v>31212.12</v>
      </c>
      <c r="V84" s="51">
        <f>'Quarter final consumption'!J84</f>
        <v>224.04000000000002</v>
      </c>
      <c r="W84" s="51">
        <f>'Quarter final consumption'!R84</f>
        <v>4549.9900000000007</v>
      </c>
      <c r="X84" s="51">
        <f>'Quarter final consumption'!Z84</f>
        <v>14823.080000000002</v>
      </c>
      <c r="Y84" s="51">
        <f>'Quarter final consumption'!AF84</f>
        <v>4759.3499999999995</v>
      </c>
      <c r="Z84" s="51">
        <f>'Quarter final consumption'!AN84</f>
        <v>4627.0999999999995</v>
      </c>
      <c r="AA84" s="51">
        <f>'Quarter final consumption'!AV84</f>
        <v>1275.7099999999998</v>
      </c>
      <c r="AB84" s="51">
        <f>'Quarter final consumption'!BD84</f>
        <v>2748.25</v>
      </c>
      <c r="AC84" s="51">
        <f>'Quarter final consumption'!BL84</f>
        <v>368.71000000000004</v>
      </c>
      <c r="AD84" s="51">
        <f>'Quarter final consumption'!BT84</f>
        <v>234.43</v>
      </c>
      <c r="AE84" s="51">
        <f>'Quarter final consumption'!CB84</f>
        <v>2228.56</v>
      </c>
    </row>
    <row r="85" spans="1:31" x14ac:dyDescent="0.35">
      <c r="A85" s="50" t="s">
        <v>250</v>
      </c>
      <c r="B85" s="51">
        <f>'Quarter supply'!B85</f>
        <v>31929.409999999996</v>
      </c>
      <c r="C85" s="51">
        <f>'Quarter supply'!H85</f>
        <v>41398.089999999997</v>
      </c>
      <c r="D85" s="51">
        <f>'Quarter supply'!P85</f>
        <v>-18433.45</v>
      </c>
      <c r="E85" s="51">
        <f>'Quarter supply'!X85</f>
        <v>-633.09</v>
      </c>
      <c r="F85" s="51">
        <f>'Quarter supply'!Z85</f>
        <v>271.27999999999986</v>
      </c>
      <c r="G85" s="51">
        <f>'Quarter supply'!AG85</f>
        <v>54532.240000000005</v>
      </c>
      <c r="H85" s="51">
        <f>'Quarter supply'!AP85</f>
        <v>117.26000000000931</v>
      </c>
      <c r="I85" s="51">
        <f>'Quarter demand'!B85</f>
        <v>54414.979999999996</v>
      </c>
      <c r="J85" s="51">
        <f>'Quarter demand'!K85</f>
        <v>7.7200000000000273</v>
      </c>
      <c r="K85" s="51">
        <f>'Quarter demand'!T85</f>
        <v>-9436.5899999999983</v>
      </c>
      <c r="L85" s="51">
        <f>'Quarter demand'!AD85</f>
        <v>-8657.2099999999991</v>
      </c>
      <c r="M85" s="51">
        <f>'Quarter demand'!AL85</f>
        <v>-286.01999999999987</v>
      </c>
      <c r="N85" s="51">
        <f>'Quarter demand'!AS85</f>
        <v>-60.989999999999782</v>
      </c>
      <c r="O85" s="51">
        <f>'Quarter demand'!AV85</f>
        <v>-20.960000000000036</v>
      </c>
      <c r="P85" s="51">
        <f>'Quarter demand'!AZ85</f>
        <v>-385.34</v>
      </c>
      <c r="Q85" s="51">
        <f>'Quarter demand'!BD85</f>
        <v>-16.560000000000002</v>
      </c>
      <c r="R85" s="51">
        <f>'Quarter demand'!BH85</f>
        <v>-9.5100000000000051</v>
      </c>
      <c r="S85" s="51">
        <f>'Quarter demand'!BK85</f>
        <v>2973.58</v>
      </c>
      <c r="T85" s="51">
        <f>'Quarter demand'!BT85</f>
        <v>698.95</v>
      </c>
      <c r="U85" s="51">
        <f>'Quarter final consumption'!B85</f>
        <v>41316.549999999996</v>
      </c>
      <c r="V85" s="51">
        <f>'Quarter final consumption'!J85</f>
        <v>217.12000000000003</v>
      </c>
      <c r="W85" s="51">
        <f>'Quarter final consumption'!R85</f>
        <v>5786.7800000000007</v>
      </c>
      <c r="X85" s="51">
        <f>'Quarter final consumption'!Z85</f>
        <v>14370.090000000002</v>
      </c>
      <c r="Y85" s="51">
        <f>'Quarter final consumption'!AF85</f>
        <v>12797.24</v>
      </c>
      <c r="Z85" s="51">
        <f>'Quarter final consumption'!AN85</f>
        <v>6041.0199999999995</v>
      </c>
      <c r="AA85" s="51">
        <f>'Quarter final consumption'!AV85</f>
        <v>1586.6100000000001</v>
      </c>
      <c r="AB85" s="51">
        <f>'Quarter final consumption'!BD85</f>
        <v>3516.65</v>
      </c>
      <c r="AC85" s="51">
        <f>'Quarter final consumption'!BL85</f>
        <v>453.4</v>
      </c>
      <c r="AD85" s="51">
        <f>'Quarter final consumption'!BT85</f>
        <v>484.35999999999996</v>
      </c>
      <c r="AE85" s="51">
        <f>'Quarter final consumption'!CB85</f>
        <v>2104.3000000000002</v>
      </c>
    </row>
    <row r="86" spans="1:31" x14ac:dyDescent="0.35">
      <c r="A86" s="50" t="s">
        <v>251</v>
      </c>
      <c r="B86" s="51">
        <f>'Quarter supply'!B86</f>
        <v>33487.449999999997</v>
      </c>
      <c r="C86" s="51">
        <f>'Quarter supply'!H86</f>
        <v>42341.21</v>
      </c>
      <c r="D86" s="51">
        <f>'Quarter supply'!P86</f>
        <v>-18641.73</v>
      </c>
      <c r="E86" s="51">
        <f>'Quarter supply'!X86</f>
        <v>-586.53</v>
      </c>
      <c r="F86" s="51">
        <f>'Quarter supply'!Z86</f>
        <v>2224.4500000000003</v>
      </c>
      <c r="G86" s="51">
        <f>'Quarter supply'!AG86</f>
        <v>58824.850000000013</v>
      </c>
      <c r="H86" s="51">
        <f>'Quarter supply'!AP86</f>
        <v>354.44000000001688</v>
      </c>
      <c r="I86" s="51">
        <f>'Quarter demand'!B86</f>
        <v>58470.409999999996</v>
      </c>
      <c r="J86" s="51">
        <f>'Quarter demand'!K86</f>
        <v>-17.940000000000055</v>
      </c>
      <c r="K86" s="51">
        <f>'Quarter demand'!T86</f>
        <v>-9712.2099999999991</v>
      </c>
      <c r="L86" s="51">
        <f>'Quarter demand'!AD86</f>
        <v>-8835.2099999999991</v>
      </c>
      <c r="M86" s="51">
        <f>'Quarter demand'!AL86</f>
        <v>-375.91999999999996</v>
      </c>
      <c r="N86" s="51">
        <f>'Quarter demand'!AS86</f>
        <v>-61.559999999999491</v>
      </c>
      <c r="O86" s="51">
        <f>'Quarter demand'!AV86</f>
        <v>-17.699999999999989</v>
      </c>
      <c r="P86" s="51">
        <f>'Quarter demand'!AZ86</f>
        <v>-392.33</v>
      </c>
      <c r="Q86" s="51">
        <f>'Quarter demand'!BD86</f>
        <v>-18.780000000000005</v>
      </c>
      <c r="R86" s="51">
        <f>'Quarter demand'!BH86</f>
        <v>-10.710000000000008</v>
      </c>
      <c r="S86" s="51">
        <f>'Quarter demand'!BK86</f>
        <v>2918.1899999999996</v>
      </c>
      <c r="T86" s="51">
        <f>'Quarter demand'!BT86</f>
        <v>889.91</v>
      </c>
      <c r="U86" s="51">
        <f>'Quarter final consumption'!B86</f>
        <v>44935.14</v>
      </c>
      <c r="V86" s="51">
        <f>'Quarter final consumption'!J86</f>
        <v>230.98000000000002</v>
      </c>
      <c r="W86" s="51">
        <f>'Quarter final consumption'!R86</f>
        <v>6208.39</v>
      </c>
      <c r="X86" s="51">
        <f>'Quarter final consumption'!Z86</f>
        <v>13250.01</v>
      </c>
      <c r="Y86" s="51">
        <f>'Quarter final consumption'!AF86</f>
        <v>16498.849999999999</v>
      </c>
      <c r="Z86" s="51">
        <f>'Quarter final consumption'!AN86</f>
        <v>6823.0099999999993</v>
      </c>
      <c r="AA86" s="51">
        <f>'Quarter final consumption'!AV86</f>
        <v>1868.9000000000003</v>
      </c>
      <c r="AB86" s="51">
        <f>'Quarter final consumption'!BD86</f>
        <v>4078.85</v>
      </c>
      <c r="AC86" s="51">
        <f>'Quarter final consumption'!BL86</f>
        <v>369.32</v>
      </c>
      <c r="AD86" s="51">
        <f>'Quarter final consumption'!BT86</f>
        <v>505.94</v>
      </c>
      <c r="AE86" s="51">
        <f>'Quarter final consumption'!CB86</f>
        <v>1923.8999999999999</v>
      </c>
    </row>
    <row r="87" spans="1:31" x14ac:dyDescent="0.35">
      <c r="A87" s="50" t="s">
        <v>252</v>
      </c>
      <c r="B87" s="51">
        <f>'Quarter supply'!B87</f>
        <v>32439.769999999997</v>
      </c>
      <c r="C87" s="51">
        <f>'Quarter supply'!H87</f>
        <v>35532.699999999997</v>
      </c>
      <c r="D87" s="51">
        <f>'Quarter supply'!P87</f>
        <v>-20562.690000000002</v>
      </c>
      <c r="E87" s="51">
        <f>'Quarter supply'!X87</f>
        <v>-660.02</v>
      </c>
      <c r="F87" s="51">
        <f>'Quarter supply'!Z87</f>
        <v>-1881.7299999999998</v>
      </c>
      <c r="G87" s="51">
        <f>'Quarter supply'!AG87</f>
        <v>44868.03</v>
      </c>
      <c r="H87" s="51">
        <f>'Quarter supply'!AP87</f>
        <v>-8.1599999999962165</v>
      </c>
      <c r="I87" s="51">
        <f>'Quarter demand'!B87</f>
        <v>44876.189999999995</v>
      </c>
      <c r="J87" s="51">
        <f>'Quarter demand'!K87</f>
        <v>43.150000000000091</v>
      </c>
      <c r="K87" s="51">
        <f>'Quarter demand'!T87</f>
        <v>-8021.2099999999973</v>
      </c>
      <c r="L87" s="51">
        <f>'Quarter demand'!AD87</f>
        <v>-7259.7199999999993</v>
      </c>
      <c r="M87" s="51">
        <f>'Quarter demand'!AL87</f>
        <v>-247.62000000000006</v>
      </c>
      <c r="N87" s="51">
        <f>'Quarter demand'!AS87</f>
        <v>-18.700000000000728</v>
      </c>
      <c r="O87" s="51">
        <f>'Quarter demand'!AV87</f>
        <v>-19.149999999999977</v>
      </c>
      <c r="P87" s="51">
        <f>'Quarter demand'!AZ87</f>
        <v>-447.9</v>
      </c>
      <c r="Q87" s="51">
        <f>'Quarter demand'!BD87</f>
        <v>-17.490000000000002</v>
      </c>
      <c r="R87" s="51">
        <f>'Quarter demand'!BH87</f>
        <v>-10.629999999999995</v>
      </c>
      <c r="S87" s="51">
        <f>'Quarter demand'!BK87</f>
        <v>2927.7299999999996</v>
      </c>
      <c r="T87" s="51">
        <f>'Quarter demand'!BT87</f>
        <v>612.72</v>
      </c>
      <c r="U87" s="51">
        <f>'Quarter final consumption'!B87</f>
        <v>33359.349999999991</v>
      </c>
      <c r="V87" s="51">
        <f>'Quarter final consumption'!J87</f>
        <v>238.48000000000002</v>
      </c>
      <c r="W87" s="51">
        <f>'Quarter final consumption'!R87</f>
        <v>4692.37</v>
      </c>
      <c r="X87" s="51">
        <f>'Quarter final consumption'!Z87</f>
        <v>14786.07</v>
      </c>
      <c r="Y87" s="51">
        <f>'Quarter final consumption'!AF87</f>
        <v>6720.44</v>
      </c>
      <c r="Z87" s="51">
        <f>'Quarter final consumption'!AN87</f>
        <v>4730.2700000000004</v>
      </c>
      <c r="AA87" s="51">
        <f>'Quarter final consumption'!AV87</f>
        <v>1259.56</v>
      </c>
      <c r="AB87" s="51">
        <f>'Quarter final consumption'!BD87</f>
        <v>2886.88</v>
      </c>
      <c r="AC87" s="51">
        <f>'Quarter final consumption'!BL87</f>
        <v>348.12</v>
      </c>
      <c r="AD87" s="51">
        <f>'Quarter final consumption'!BT87</f>
        <v>235.70999999999998</v>
      </c>
      <c r="AE87" s="51">
        <f>'Quarter final consumption'!CB87</f>
        <v>2191.7199999999998</v>
      </c>
    </row>
    <row r="88" spans="1:31" x14ac:dyDescent="0.35">
      <c r="A88" s="50" t="s">
        <v>253</v>
      </c>
      <c r="B88" s="51">
        <f>'Quarter supply'!B88</f>
        <v>29722.129999999997</v>
      </c>
      <c r="C88" s="51">
        <f>'Quarter supply'!H88</f>
        <v>35039.240000000005</v>
      </c>
      <c r="D88" s="51">
        <f>'Quarter supply'!P88</f>
        <v>-21658.349999999995</v>
      </c>
      <c r="E88" s="51">
        <f>'Quarter supply'!X88</f>
        <v>-757.25</v>
      </c>
      <c r="F88" s="51">
        <f>'Quarter supply'!Z88</f>
        <v>26.729999999999947</v>
      </c>
      <c r="G88" s="51">
        <f>'Quarter supply'!AG88</f>
        <v>42372.5</v>
      </c>
      <c r="H88" s="51">
        <f>'Quarter supply'!AP88</f>
        <v>-199.61000000000786</v>
      </c>
      <c r="I88" s="51">
        <f>'Quarter demand'!B88</f>
        <v>42572.110000000008</v>
      </c>
      <c r="J88" s="51">
        <f>'Quarter demand'!K88</f>
        <v>-23.210000000000036</v>
      </c>
      <c r="K88" s="51">
        <f>'Quarter demand'!T88</f>
        <v>-7691.4000000000078</v>
      </c>
      <c r="L88" s="51">
        <f>'Quarter demand'!AD88</f>
        <v>-7144.0800000000017</v>
      </c>
      <c r="M88" s="51">
        <f>'Quarter demand'!AL88</f>
        <v>-220.79000000000002</v>
      </c>
      <c r="N88" s="51">
        <f>'Quarter demand'!AS88</f>
        <v>5.5299999999988358</v>
      </c>
      <c r="O88" s="51">
        <f>'Quarter demand'!AV88</f>
        <v>-17.989999999999952</v>
      </c>
      <c r="P88" s="51">
        <f>'Quarter demand'!AZ88</f>
        <v>-306.2</v>
      </c>
      <c r="Q88" s="51">
        <f>'Quarter demand'!BD88</f>
        <v>-2.3099999999999952</v>
      </c>
      <c r="R88" s="51">
        <f>'Quarter demand'!BH88</f>
        <v>-5.5600000000000023</v>
      </c>
      <c r="S88" s="51">
        <f>'Quarter demand'!BK88</f>
        <v>3046.74</v>
      </c>
      <c r="T88" s="51">
        <f>'Quarter demand'!BT88</f>
        <v>556.79999999999995</v>
      </c>
      <c r="U88" s="51">
        <f>'Quarter final consumption'!B88</f>
        <v>31251.84</v>
      </c>
      <c r="V88" s="51">
        <f>'Quarter final consumption'!J88</f>
        <v>218.70999999999998</v>
      </c>
      <c r="W88" s="51">
        <f>'Quarter final consumption'!R88</f>
        <v>4698.43</v>
      </c>
      <c r="X88" s="51">
        <f>'Quarter final consumption'!Z88</f>
        <v>14823.900000000001</v>
      </c>
      <c r="Y88" s="51">
        <f>'Quarter final consumption'!AF88</f>
        <v>4541.0400000000009</v>
      </c>
      <c r="Z88" s="51">
        <f>'Quarter final consumption'!AN88</f>
        <v>4766.9199999999992</v>
      </c>
      <c r="AA88" s="51">
        <f>'Quarter final consumption'!AV88</f>
        <v>1274.3499999999999</v>
      </c>
      <c r="AB88" s="51">
        <f>'Quarter final consumption'!BD88</f>
        <v>2861.33</v>
      </c>
      <c r="AC88" s="51">
        <f>'Quarter final consumption'!BL88</f>
        <v>399.90000000000003</v>
      </c>
      <c r="AD88" s="51">
        <f>'Quarter final consumption'!BT88</f>
        <v>231.34</v>
      </c>
      <c r="AE88" s="51">
        <f>'Quarter final consumption'!CB88</f>
        <v>2202.84</v>
      </c>
    </row>
    <row r="89" spans="1:31" x14ac:dyDescent="0.35">
      <c r="A89" s="50" t="s">
        <v>254</v>
      </c>
      <c r="B89" s="51">
        <f>'Quarter supply'!B89</f>
        <v>33519.219999999994</v>
      </c>
      <c r="C89" s="51">
        <f>'Quarter supply'!H89</f>
        <v>40881.979999999996</v>
      </c>
      <c r="D89" s="51">
        <f>'Quarter supply'!P89</f>
        <v>-20400.260000000002</v>
      </c>
      <c r="E89" s="51">
        <f>'Quarter supply'!X89</f>
        <v>-611.65</v>
      </c>
      <c r="F89" s="51">
        <f>'Quarter supply'!Z89</f>
        <v>-672.13</v>
      </c>
      <c r="G89" s="51">
        <f>'Quarter supply'!AG89</f>
        <v>52717.159999999996</v>
      </c>
      <c r="H89" s="51">
        <f>'Quarter supply'!AP89</f>
        <v>83.180000000000291</v>
      </c>
      <c r="I89" s="51">
        <f>'Quarter demand'!B89</f>
        <v>52633.979999999996</v>
      </c>
      <c r="J89" s="51">
        <f>'Quarter demand'!K89</f>
        <v>-19.279999999999973</v>
      </c>
      <c r="K89" s="51">
        <f>'Quarter demand'!T89</f>
        <v>-8613.760000000002</v>
      </c>
      <c r="L89" s="51">
        <f>'Quarter demand'!AD89</f>
        <v>-7891.7199999999984</v>
      </c>
      <c r="M89" s="51">
        <f>'Quarter demand'!AL89</f>
        <v>-314.44</v>
      </c>
      <c r="N89" s="51">
        <f>'Quarter demand'!AS89</f>
        <v>-76.369999999998981</v>
      </c>
      <c r="O89" s="51">
        <f>'Quarter demand'!AV89</f>
        <v>-29.639999999999986</v>
      </c>
      <c r="P89" s="51">
        <f>'Quarter demand'!AZ89</f>
        <v>-285.12</v>
      </c>
      <c r="Q89" s="51">
        <f>'Quarter demand'!BD89</f>
        <v>-9.17</v>
      </c>
      <c r="R89" s="51">
        <f>'Quarter demand'!BH89</f>
        <v>-7.2999999999999972</v>
      </c>
      <c r="S89" s="51">
        <f>'Quarter demand'!BK89</f>
        <v>3075.4699999999993</v>
      </c>
      <c r="T89" s="51">
        <f>'Quarter demand'!BT89</f>
        <v>715.52</v>
      </c>
      <c r="U89" s="51">
        <f>'Quarter final consumption'!B89</f>
        <v>40207.449999999997</v>
      </c>
      <c r="V89" s="51">
        <f>'Quarter final consumption'!J89</f>
        <v>206.06</v>
      </c>
      <c r="W89" s="51">
        <f>'Quarter final consumption'!R89</f>
        <v>5978.8</v>
      </c>
      <c r="X89" s="51">
        <f>'Quarter final consumption'!Z89</f>
        <v>14391.03</v>
      </c>
      <c r="Y89" s="51">
        <f>'Quarter final consumption'!AF89</f>
        <v>11669.980000000001</v>
      </c>
      <c r="Z89" s="51">
        <f>'Quarter final consumption'!AN89</f>
        <v>6024.0000000000009</v>
      </c>
      <c r="AA89" s="51">
        <f>'Quarter final consumption'!AV89</f>
        <v>1574.8799999999999</v>
      </c>
      <c r="AB89" s="51">
        <f>'Quarter final consumption'!BD89</f>
        <v>3530.75</v>
      </c>
      <c r="AC89" s="51">
        <f>'Quarter final consumption'!BL89</f>
        <v>425.4</v>
      </c>
      <c r="AD89" s="51">
        <f>'Quarter final consumption'!BT89</f>
        <v>492.96999999999997</v>
      </c>
      <c r="AE89" s="51">
        <f>'Quarter final consumption'!CB89</f>
        <v>1937.58</v>
      </c>
    </row>
    <row r="90" spans="1:31" x14ac:dyDescent="0.35">
      <c r="A90" s="50" t="s">
        <v>255</v>
      </c>
      <c r="B90" s="51">
        <f>'Quarter supply'!B90</f>
        <v>33371.82</v>
      </c>
      <c r="C90" s="51">
        <f>'Quarter supply'!H90</f>
        <v>40017.47</v>
      </c>
      <c r="D90" s="51">
        <f>'Quarter supply'!P90</f>
        <v>-19201.77</v>
      </c>
      <c r="E90" s="51">
        <f>'Quarter supply'!X90</f>
        <v>-550.11</v>
      </c>
      <c r="F90" s="51">
        <f>'Quarter supply'!Z90</f>
        <v>365.10000000000019</v>
      </c>
      <c r="G90" s="51">
        <f>'Quarter supply'!AG90</f>
        <v>54002.51</v>
      </c>
      <c r="H90" s="51">
        <f>'Quarter supply'!AP90</f>
        <v>-305.68000000000029</v>
      </c>
      <c r="I90" s="51">
        <f>'Quarter demand'!B90</f>
        <v>54308.19</v>
      </c>
      <c r="J90" s="51">
        <f>'Quarter demand'!K90</f>
        <v>-28.299999999999955</v>
      </c>
      <c r="K90" s="51">
        <f>'Quarter demand'!T90</f>
        <v>-8186.5300000000034</v>
      </c>
      <c r="L90" s="51">
        <f>'Quarter demand'!AD90</f>
        <v>-7443.6800000000012</v>
      </c>
      <c r="M90" s="51">
        <f>'Quarter demand'!AL90</f>
        <v>-317.29000000000002</v>
      </c>
      <c r="N90" s="51">
        <f>'Quarter demand'!AS90</f>
        <v>-35.790000000000873</v>
      </c>
      <c r="O90" s="51">
        <f>'Quarter demand'!AV90</f>
        <v>-18.600000000000023</v>
      </c>
      <c r="P90" s="51">
        <f>'Quarter demand'!AZ90</f>
        <v>-356.12</v>
      </c>
      <c r="Q90" s="51">
        <f>'Quarter demand'!BD90</f>
        <v>-4.2100000000000009</v>
      </c>
      <c r="R90" s="51">
        <f>'Quarter demand'!BH90</f>
        <v>-10.840000000000003</v>
      </c>
      <c r="S90" s="51">
        <f>'Quarter demand'!BK90</f>
        <v>3133.25</v>
      </c>
      <c r="T90" s="51">
        <f>'Quarter demand'!BT90</f>
        <v>794.42</v>
      </c>
      <c r="U90" s="51">
        <f>'Quarter final consumption'!B90</f>
        <v>42166.57</v>
      </c>
      <c r="V90" s="51">
        <f>'Quarter final consumption'!J90</f>
        <v>268.07</v>
      </c>
      <c r="W90" s="51">
        <f>'Quarter final consumption'!R90</f>
        <v>5982.05</v>
      </c>
      <c r="X90" s="51">
        <f>'Quarter final consumption'!Z90</f>
        <v>13534.660000000002</v>
      </c>
      <c r="Y90" s="51">
        <f>'Quarter final consumption'!AF90</f>
        <v>14065.109999999999</v>
      </c>
      <c r="Z90" s="51">
        <f>'Quarter final consumption'!AN90</f>
        <v>6379.23</v>
      </c>
      <c r="AA90" s="51">
        <f>'Quarter final consumption'!AV90</f>
        <v>1697.6799999999998</v>
      </c>
      <c r="AB90" s="51">
        <f>'Quarter final consumption'!BD90</f>
        <v>3859.0699999999997</v>
      </c>
      <c r="AC90" s="51">
        <f>'Quarter final consumption'!BL90</f>
        <v>359.50999999999993</v>
      </c>
      <c r="AD90" s="51">
        <f>'Quarter final consumption'!BT90</f>
        <v>462.97</v>
      </c>
      <c r="AE90" s="51">
        <f>'Quarter final consumption'!CB90</f>
        <v>1937.45</v>
      </c>
    </row>
    <row r="91" spans="1:31" x14ac:dyDescent="0.35">
      <c r="A91" s="50" t="s">
        <v>256</v>
      </c>
      <c r="B91" s="51">
        <f>'Quarter supply'!B91</f>
        <v>30863.62</v>
      </c>
      <c r="C91" s="51">
        <f>'Quarter supply'!H91</f>
        <v>37037.500000000007</v>
      </c>
      <c r="D91" s="51">
        <f>'Quarter supply'!P91</f>
        <v>-22026.97</v>
      </c>
      <c r="E91" s="51">
        <f>'Quarter supply'!X91</f>
        <v>-661.44</v>
      </c>
      <c r="F91" s="51">
        <f>'Quarter supply'!Z91</f>
        <v>-515.94000000000005</v>
      </c>
      <c r="G91" s="51">
        <f>'Quarter supply'!AG91</f>
        <v>44696.77</v>
      </c>
      <c r="H91" s="51">
        <f>'Quarter supply'!AP91</f>
        <v>-207.83000000000902</v>
      </c>
      <c r="I91" s="51">
        <f>'Quarter demand'!B91</f>
        <v>44904.600000000006</v>
      </c>
      <c r="J91" s="51">
        <f>'Quarter demand'!K91</f>
        <v>46.690000000000055</v>
      </c>
      <c r="K91" s="51">
        <f>'Quarter demand'!T91</f>
        <v>-7215.1200000000008</v>
      </c>
      <c r="L91" s="51">
        <f>'Quarter demand'!AD91</f>
        <v>-6470.829999999999</v>
      </c>
      <c r="M91" s="51">
        <f>'Quarter demand'!AL91</f>
        <v>-235.12999999999988</v>
      </c>
      <c r="N91" s="51">
        <f>'Quarter demand'!AS91</f>
        <v>-52.309999999999491</v>
      </c>
      <c r="O91" s="51">
        <f>'Quarter demand'!AV91</f>
        <v>-19.490000000000009</v>
      </c>
      <c r="P91" s="51">
        <f>'Quarter demand'!AZ91</f>
        <v>-430.12</v>
      </c>
      <c r="Q91" s="51">
        <f>'Quarter demand'!BD91</f>
        <v>0.19999999999999929</v>
      </c>
      <c r="R91" s="51">
        <f>'Quarter demand'!BH91</f>
        <v>-7.4399999999999977</v>
      </c>
      <c r="S91" s="51">
        <f>'Quarter demand'!BK91</f>
        <v>3022.99</v>
      </c>
      <c r="T91" s="51">
        <f>'Quarter demand'!BT91</f>
        <v>626.18999999999994</v>
      </c>
      <c r="U91" s="51">
        <f>'Quarter final consumption'!B91</f>
        <v>34088.86</v>
      </c>
      <c r="V91" s="51">
        <f>'Quarter final consumption'!J91</f>
        <v>269.83</v>
      </c>
      <c r="W91" s="51">
        <f>'Quarter final consumption'!R91</f>
        <v>4694.38</v>
      </c>
      <c r="X91" s="51">
        <f>'Quarter final consumption'!Z91</f>
        <v>14520.78</v>
      </c>
      <c r="Y91" s="51">
        <f>'Quarter final consumption'!AF91</f>
        <v>7449.7300000000005</v>
      </c>
      <c r="Z91" s="51">
        <f>'Quarter final consumption'!AN91</f>
        <v>5036.8</v>
      </c>
      <c r="AA91" s="51">
        <f>'Quarter final consumption'!AV91</f>
        <v>1398.97</v>
      </c>
      <c r="AB91" s="51">
        <f>'Quarter final consumption'!BD91</f>
        <v>2979.3100000000004</v>
      </c>
      <c r="AC91" s="51">
        <f>'Quarter final consumption'!BL91</f>
        <v>377.42999999999995</v>
      </c>
      <c r="AD91" s="51">
        <f>'Quarter final consumption'!BT91</f>
        <v>281.08999999999997</v>
      </c>
      <c r="AE91" s="51">
        <f>'Quarter final consumption'!CB91</f>
        <v>2117.34</v>
      </c>
    </row>
    <row r="92" spans="1:31" x14ac:dyDescent="0.35">
      <c r="A92" s="50" t="s">
        <v>257</v>
      </c>
      <c r="B92" s="51">
        <f>'Quarter supply'!B92</f>
        <v>29547.440000000002</v>
      </c>
      <c r="C92" s="51">
        <f>'Quarter supply'!H92</f>
        <v>30850.38</v>
      </c>
      <c r="D92" s="51">
        <f>'Quarter supply'!P92</f>
        <v>-19837.04</v>
      </c>
      <c r="E92" s="51">
        <f>'Quarter supply'!X92</f>
        <v>-630.62</v>
      </c>
      <c r="F92" s="51">
        <f>'Quarter supply'!Z92</f>
        <v>-284.0499999999999</v>
      </c>
      <c r="G92" s="51">
        <f>'Quarter supply'!AG92</f>
        <v>39646.110000000008</v>
      </c>
      <c r="H92" s="51">
        <f>'Quarter supply'!AP92</f>
        <v>-297.15999999999622</v>
      </c>
      <c r="I92" s="51">
        <f>'Quarter demand'!B92</f>
        <v>39943.270000000004</v>
      </c>
      <c r="J92" s="51">
        <f>'Quarter demand'!K92</f>
        <v>10.119999999999891</v>
      </c>
      <c r="K92" s="51">
        <f>'Quarter demand'!T92</f>
        <v>-6993.26</v>
      </c>
      <c r="L92" s="51">
        <f>'Quarter demand'!AD92</f>
        <v>-6295.2800000000016</v>
      </c>
      <c r="M92" s="51">
        <f>'Quarter demand'!AL92</f>
        <v>-196.71000000000004</v>
      </c>
      <c r="N92" s="51">
        <f>'Quarter demand'!AS92</f>
        <v>-100.98999999999978</v>
      </c>
      <c r="O92" s="51">
        <f>'Quarter demand'!AV92</f>
        <v>-24.830000000000041</v>
      </c>
      <c r="P92" s="51">
        <f>'Quarter demand'!AZ92</f>
        <v>-362.31</v>
      </c>
      <c r="Q92" s="51">
        <f>'Quarter demand'!BD92</f>
        <v>-2.6199999999999974</v>
      </c>
      <c r="R92" s="51">
        <f>'Quarter demand'!BH92</f>
        <v>-10.52000000000001</v>
      </c>
      <c r="S92" s="51">
        <f>'Quarter demand'!BK92</f>
        <v>2979.5500000000006</v>
      </c>
      <c r="T92" s="51">
        <f>'Quarter demand'!BT92</f>
        <v>564.04999999999995</v>
      </c>
      <c r="U92" s="51">
        <f>'Quarter final consumption'!B92</f>
        <v>29416.049999999996</v>
      </c>
      <c r="V92" s="51">
        <f>'Quarter final consumption'!J92</f>
        <v>241.11999999999998</v>
      </c>
      <c r="W92" s="51">
        <f>'Quarter final consumption'!R92</f>
        <v>4612.2299999999996</v>
      </c>
      <c r="X92" s="51">
        <f>'Quarter final consumption'!Z92</f>
        <v>14360.41</v>
      </c>
      <c r="Y92" s="51">
        <f>'Quarter final consumption'!AF92</f>
        <v>4013.7200000000003</v>
      </c>
      <c r="Z92" s="51">
        <f>'Quarter final consumption'!AN92</f>
        <v>4430.79</v>
      </c>
      <c r="AA92" s="51">
        <f>'Quarter final consumption'!AV92</f>
        <v>1157.25</v>
      </c>
      <c r="AB92" s="51">
        <f>'Quarter final consumption'!BD92</f>
        <v>2708.4100000000003</v>
      </c>
      <c r="AC92" s="51">
        <f>'Quarter final consumption'!BL92</f>
        <v>385.94000000000005</v>
      </c>
      <c r="AD92" s="51">
        <f>'Quarter final consumption'!BT92</f>
        <v>179.18999999999997</v>
      </c>
      <c r="AE92" s="51">
        <f>'Quarter final consumption'!CB92</f>
        <v>1757.78</v>
      </c>
    </row>
    <row r="93" spans="1:31" x14ac:dyDescent="0.35">
      <c r="A93" s="50" t="s">
        <v>258</v>
      </c>
      <c r="B93" s="51">
        <f>'Quarter supply'!B93</f>
        <v>33910.080000000002</v>
      </c>
      <c r="C93" s="51">
        <f>'Quarter supply'!H93</f>
        <v>39029.959999999992</v>
      </c>
      <c r="D93" s="51">
        <f>'Quarter supply'!P93</f>
        <v>-19698.5</v>
      </c>
      <c r="E93" s="51">
        <f>'Quarter supply'!X93</f>
        <v>-594.61</v>
      </c>
      <c r="F93" s="51">
        <f>'Quarter supply'!Z93</f>
        <v>159.08000000000001</v>
      </c>
      <c r="G93" s="51">
        <f>'Quarter supply'!AG93</f>
        <v>52806.01</v>
      </c>
      <c r="H93" s="51">
        <f>'Quarter supply'!AP93</f>
        <v>-82.249999999992724</v>
      </c>
      <c r="I93" s="51">
        <f>'Quarter demand'!B93</f>
        <v>52888.259999999995</v>
      </c>
      <c r="J93" s="51">
        <f>'Quarter demand'!K93</f>
        <v>-4.8800000000001091</v>
      </c>
      <c r="K93" s="51">
        <f>'Quarter demand'!T93</f>
        <v>-8323.93</v>
      </c>
      <c r="L93" s="51">
        <f>'Quarter demand'!AD93</f>
        <v>-7602.2999999999993</v>
      </c>
      <c r="M93" s="51">
        <f>'Quarter demand'!AL93</f>
        <v>-301.95</v>
      </c>
      <c r="N93" s="51">
        <f>'Quarter demand'!AS93</f>
        <v>-22.520000000000437</v>
      </c>
      <c r="O93" s="51">
        <f>'Quarter demand'!AV93</f>
        <v>-19.900000000000034</v>
      </c>
      <c r="P93" s="51">
        <f>'Quarter demand'!AZ93</f>
        <v>-359.82</v>
      </c>
      <c r="Q93" s="51">
        <f>'Quarter demand'!BD93</f>
        <v>-7.16</v>
      </c>
      <c r="R93" s="51">
        <f>'Quarter demand'!BH93</f>
        <v>-10.280000000000001</v>
      </c>
      <c r="S93" s="51">
        <f>'Quarter demand'!BK93</f>
        <v>3152.34</v>
      </c>
      <c r="T93" s="51">
        <f>'Quarter demand'!BT93</f>
        <v>750.61</v>
      </c>
      <c r="U93" s="51">
        <f>'Quarter final consumption'!B93</f>
        <v>40654.22</v>
      </c>
      <c r="V93" s="51">
        <f>'Quarter final consumption'!J93</f>
        <v>227.36</v>
      </c>
      <c r="W93" s="51">
        <f>'Quarter final consumption'!R93</f>
        <v>5978.9800000000005</v>
      </c>
      <c r="X93" s="51">
        <f>'Quarter final consumption'!Z93</f>
        <v>13859.27</v>
      </c>
      <c r="Y93" s="51">
        <f>'Quarter final consumption'!AF93</f>
        <v>12810.2</v>
      </c>
      <c r="Z93" s="51">
        <f>'Quarter final consumption'!AN93</f>
        <v>6305.4699999999993</v>
      </c>
      <c r="AA93" s="51">
        <f>'Quarter final consumption'!AV93</f>
        <v>1646.98</v>
      </c>
      <c r="AB93" s="51">
        <f>'Quarter final consumption'!BD93</f>
        <v>3690.31</v>
      </c>
      <c r="AC93" s="51">
        <f>'Quarter final consumption'!BL93</f>
        <v>458.99</v>
      </c>
      <c r="AD93" s="51">
        <f>'Quarter final consumption'!BT93</f>
        <v>509.19</v>
      </c>
      <c r="AE93" s="51">
        <f>'Quarter final consumption'!CB93</f>
        <v>1472.94</v>
      </c>
    </row>
    <row r="94" spans="1:31" x14ac:dyDescent="0.35">
      <c r="A94" s="50" t="s">
        <v>259</v>
      </c>
      <c r="B94" s="51">
        <f>'Quarter supply'!B94</f>
        <v>33723.179999999993</v>
      </c>
      <c r="C94" s="51">
        <f>'Quarter supply'!H94</f>
        <v>37314.68</v>
      </c>
      <c r="D94" s="51">
        <f>'Quarter supply'!P94</f>
        <v>-18715.759999999998</v>
      </c>
      <c r="E94" s="51">
        <f>'Quarter supply'!X94</f>
        <v>-482.07</v>
      </c>
      <c r="F94" s="51">
        <f>'Quarter supply'!Z94</f>
        <v>1714.06</v>
      </c>
      <c r="G94" s="51">
        <f>'Quarter supply'!AG94</f>
        <v>53554.090000000004</v>
      </c>
      <c r="H94" s="51">
        <f>'Quarter supply'!AP94</f>
        <v>99.019999999996799</v>
      </c>
      <c r="I94" s="51">
        <f>'Quarter demand'!B94</f>
        <v>53455.070000000007</v>
      </c>
      <c r="J94" s="51">
        <f>'Quarter demand'!K94</f>
        <v>-9.0599999999999454</v>
      </c>
      <c r="K94" s="51">
        <f>'Quarter demand'!T94</f>
        <v>-7471.5400000000009</v>
      </c>
      <c r="L94" s="51">
        <f>'Quarter demand'!AD94</f>
        <v>-6772.4000000000005</v>
      </c>
      <c r="M94" s="51">
        <f>'Quarter demand'!AL94</f>
        <v>-328.01999999999992</v>
      </c>
      <c r="N94" s="51">
        <f>'Quarter demand'!AS94</f>
        <v>18.6299999999992</v>
      </c>
      <c r="O94" s="51">
        <f>'Quarter demand'!AV94</f>
        <v>-16.829999999999984</v>
      </c>
      <c r="P94" s="51">
        <f>'Quarter demand'!AZ94</f>
        <v>-360.43</v>
      </c>
      <c r="Q94" s="51">
        <f>'Quarter demand'!BD94</f>
        <v>0.55999999999999872</v>
      </c>
      <c r="R94" s="51">
        <f>'Quarter demand'!BH94</f>
        <v>-13.050000000000011</v>
      </c>
      <c r="S94" s="51">
        <f>'Quarter demand'!BK94</f>
        <v>2897.61</v>
      </c>
      <c r="T94" s="51">
        <f>'Quarter demand'!BT94</f>
        <v>843.62</v>
      </c>
      <c r="U94" s="51">
        <f>'Quarter final consumption'!B94</f>
        <v>42228.94000000001</v>
      </c>
      <c r="V94" s="51">
        <f>'Quarter final consumption'!J94</f>
        <v>284.06</v>
      </c>
      <c r="W94" s="51">
        <f>'Quarter final consumption'!R94</f>
        <v>5905.3499999999995</v>
      </c>
      <c r="X94" s="51">
        <f>'Quarter final consumption'!Z94</f>
        <v>13489.05</v>
      </c>
      <c r="Y94" s="51">
        <f>'Quarter final consumption'!AF94</f>
        <v>14252.73</v>
      </c>
      <c r="Z94" s="51">
        <f>'Quarter final consumption'!AN94</f>
        <v>6369.97</v>
      </c>
      <c r="AA94" s="51">
        <f>'Quarter final consumption'!AV94</f>
        <v>1673.8500000000001</v>
      </c>
      <c r="AB94" s="51">
        <f>'Quarter final consumption'!BD94</f>
        <v>3828.73</v>
      </c>
      <c r="AC94" s="51">
        <f>'Quarter final consumption'!BL94</f>
        <v>378.08</v>
      </c>
      <c r="AD94" s="51">
        <f>'Quarter final consumption'!BT94</f>
        <v>489.31</v>
      </c>
      <c r="AE94" s="51">
        <f>'Quarter final consumption'!CB94</f>
        <v>1927.78</v>
      </c>
    </row>
    <row r="95" spans="1:31" x14ac:dyDescent="0.35">
      <c r="A95" s="50" t="s">
        <v>260</v>
      </c>
      <c r="B95" s="51">
        <f>'Quarter supply'!B95</f>
        <v>31367.550000000003</v>
      </c>
      <c r="C95" s="51">
        <f>'Quarter supply'!H95</f>
        <v>25170.809999999998</v>
      </c>
      <c r="D95" s="51">
        <f>'Quarter supply'!P95</f>
        <v>-20844.490000000002</v>
      </c>
      <c r="E95" s="51">
        <f>'Quarter supply'!X95</f>
        <v>-479.26</v>
      </c>
      <c r="F95" s="51">
        <f>'Quarter supply'!Z95</f>
        <v>-1808.3400000000001</v>
      </c>
      <c r="G95" s="51">
        <f>'Quarter supply'!AG95</f>
        <v>33406.26999999999</v>
      </c>
      <c r="H95" s="51">
        <f>'Quarter supply'!AP95</f>
        <v>34.019999999989523</v>
      </c>
      <c r="I95" s="51">
        <f>'Quarter demand'!B95</f>
        <v>33372.25</v>
      </c>
      <c r="J95" s="51">
        <f>'Quarter demand'!K95</f>
        <v>-18.309999999999945</v>
      </c>
      <c r="K95" s="51">
        <f>'Quarter demand'!T95</f>
        <v>-6392.1999999999989</v>
      </c>
      <c r="L95" s="51">
        <f>'Quarter demand'!AD95</f>
        <v>-5635.91</v>
      </c>
      <c r="M95" s="51">
        <f>'Quarter demand'!AL95</f>
        <v>-235.81999999999994</v>
      </c>
      <c r="N95" s="51">
        <f>'Quarter demand'!AS95</f>
        <v>-119.03000000000065</v>
      </c>
      <c r="O95" s="51">
        <f>'Quarter demand'!AV95</f>
        <v>-16.430000000000007</v>
      </c>
      <c r="P95" s="51">
        <f>'Quarter demand'!AZ95</f>
        <v>-371.04999999999995</v>
      </c>
      <c r="Q95" s="51">
        <f>'Quarter demand'!BD95</f>
        <v>-5.5800000000000036</v>
      </c>
      <c r="R95" s="51">
        <f>'Quarter demand'!BH95</f>
        <v>-8.3799999999999955</v>
      </c>
      <c r="S95" s="51">
        <f>'Quarter demand'!BK95</f>
        <v>2679.05</v>
      </c>
      <c r="T95" s="51">
        <f>'Quarter demand'!BT95</f>
        <v>581.14</v>
      </c>
      <c r="U95" s="51">
        <f>'Quarter final consumption'!B95</f>
        <v>23690.61</v>
      </c>
      <c r="V95" s="51">
        <f>'Quarter final consumption'!J95</f>
        <v>270.08999999999997</v>
      </c>
      <c r="W95" s="51">
        <f>'Quarter final consumption'!R95</f>
        <v>4052.9900000000002</v>
      </c>
      <c r="X95" s="51">
        <f>'Quarter final consumption'!Z95</f>
        <v>6899.0000000000009</v>
      </c>
      <c r="Y95" s="51">
        <f>'Quarter final consumption'!AF95</f>
        <v>6804.88</v>
      </c>
      <c r="Z95" s="51">
        <f>'Quarter final consumption'!AN95</f>
        <v>3937.37</v>
      </c>
      <c r="AA95" s="51">
        <f>'Quarter final consumption'!AV95</f>
        <v>1076.24</v>
      </c>
      <c r="AB95" s="51">
        <f>'Quarter final consumption'!BD95</f>
        <v>2299.17</v>
      </c>
      <c r="AC95" s="51">
        <f>'Quarter final consumption'!BL95</f>
        <v>322.57</v>
      </c>
      <c r="AD95" s="51">
        <f>'Quarter final consumption'!BT95</f>
        <v>239.39000000000001</v>
      </c>
      <c r="AE95" s="51">
        <f>'Quarter final consumption'!CB95</f>
        <v>1726.28</v>
      </c>
    </row>
    <row r="96" spans="1:31" x14ac:dyDescent="0.35">
      <c r="A96" s="50" t="s">
        <v>261</v>
      </c>
      <c r="B96" s="51">
        <f>'Quarter supply'!B96</f>
        <v>27321.230000000003</v>
      </c>
      <c r="C96" s="51">
        <f>'Quarter supply'!H96</f>
        <v>26236.94</v>
      </c>
      <c r="D96" s="51">
        <f>'Quarter supply'!P96</f>
        <v>-17991.609999999997</v>
      </c>
      <c r="E96" s="51">
        <f>'Quarter supply'!X96</f>
        <v>-517.79</v>
      </c>
      <c r="F96" s="51">
        <f>'Quarter supply'!Z96</f>
        <v>1309.1099999999999</v>
      </c>
      <c r="G96" s="51">
        <f>'Quarter supply'!AG96</f>
        <v>36357.879999999997</v>
      </c>
      <c r="H96" s="51">
        <f>'Quarter supply'!AP96</f>
        <v>145.3099999999904</v>
      </c>
      <c r="I96" s="51">
        <f>'Quarter demand'!B96</f>
        <v>36212.570000000007</v>
      </c>
      <c r="J96" s="51">
        <f>'Quarter demand'!K96</f>
        <v>-2.1099999999999</v>
      </c>
      <c r="K96" s="51">
        <f>'Quarter demand'!T96</f>
        <v>-6624.86</v>
      </c>
      <c r="L96" s="51">
        <f>'Quarter demand'!AD96</f>
        <v>-6031.1499999999987</v>
      </c>
      <c r="M96" s="51">
        <f>'Quarter demand'!AL96</f>
        <v>-204.31000000000006</v>
      </c>
      <c r="N96" s="51">
        <f>'Quarter demand'!AS96</f>
        <v>10.1299999999992</v>
      </c>
      <c r="O96" s="51">
        <f>'Quarter demand'!AV96</f>
        <v>-20.70999999999998</v>
      </c>
      <c r="P96" s="51">
        <f>'Quarter demand'!AZ96</f>
        <v>-365.93</v>
      </c>
      <c r="Q96" s="51">
        <f>'Quarter demand'!BD96</f>
        <v>-5.8200000000000038</v>
      </c>
      <c r="R96" s="51">
        <f>'Quarter demand'!BH96</f>
        <v>-7.0700000000000074</v>
      </c>
      <c r="S96" s="51">
        <f>'Quarter demand'!BK96</f>
        <v>2619.7200000000003</v>
      </c>
      <c r="T96" s="51">
        <f>'Quarter demand'!BT96</f>
        <v>622.01</v>
      </c>
      <c r="U96" s="51">
        <f>'Quarter final consumption'!B96</f>
        <v>26344.240000000002</v>
      </c>
      <c r="V96" s="51">
        <f>'Quarter final consumption'!J96</f>
        <v>240.07</v>
      </c>
      <c r="W96" s="51">
        <f>'Quarter final consumption'!R96</f>
        <v>4486.3499999999995</v>
      </c>
      <c r="X96" s="51">
        <f>'Quarter final consumption'!Z96</f>
        <v>10813.3</v>
      </c>
      <c r="Y96" s="51">
        <f>'Quarter final consumption'!AF96</f>
        <v>4836.5599999999995</v>
      </c>
      <c r="Z96" s="51">
        <f>'Quarter final consumption'!AN96</f>
        <v>4054.2300000000005</v>
      </c>
      <c r="AA96" s="51">
        <f>'Quarter final consumption'!AV96</f>
        <v>1029.2</v>
      </c>
      <c r="AB96" s="51">
        <f>'Quarter final consumption'!BD96</f>
        <v>2432.9699999999998</v>
      </c>
      <c r="AC96" s="51">
        <f>'Quarter final consumption'!BL96</f>
        <v>401.47</v>
      </c>
      <c r="AD96" s="51">
        <f>'Quarter final consumption'!BT96</f>
        <v>190.59</v>
      </c>
      <c r="AE96" s="51">
        <f>'Quarter final consumption'!CB96</f>
        <v>1913.73</v>
      </c>
    </row>
    <row r="97" spans="1:31" x14ac:dyDescent="0.35">
      <c r="A97" s="50" t="s">
        <v>262</v>
      </c>
      <c r="B97" s="51">
        <f>'Quarter supply'!B97</f>
        <v>31224.859999999997</v>
      </c>
      <c r="C97" s="51">
        <f>'Quarter supply'!H97</f>
        <v>35254.03</v>
      </c>
      <c r="D97" s="51">
        <f>'Quarter supply'!P97</f>
        <v>-17124.43</v>
      </c>
      <c r="E97" s="51">
        <f>'Quarter supply'!X97</f>
        <v>-530.45000000000005</v>
      </c>
      <c r="F97" s="51">
        <f>'Quarter supply'!Z97</f>
        <v>-386.81</v>
      </c>
      <c r="G97" s="51">
        <f>'Quarter supply'!AG97</f>
        <v>48437.2</v>
      </c>
      <c r="H97" s="51">
        <f>'Quarter supply'!AP97</f>
        <v>-93.570000000006985</v>
      </c>
      <c r="I97" s="51">
        <f>'Quarter demand'!B97</f>
        <v>48530.770000000004</v>
      </c>
      <c r="J97" s="51">
        <f>'Quarter demand'!K97</f>
        <v>-15.730000000000018</v>
      </c>
      <c r="K97" s="51">
        <f>'Quarter demand'!T97</f>
        <v>-7657.87</v>
      </c>
      <c r="L97" s="51">
        <f>'Quarter demand'!AD97</f>
        <v>-6846.670000000001</v>
      </c>
      <c r="M97" s="51">
        <f>'Quarter demand'!AL97</f>
        <v>-304.33000000000004</v>
      </c>
      <c r="N97" s="51">
        <f>'Quarter demand'!AS97</f>
        <v>-67.219999999999345</v>
      </c>
      <c r="O97" s="51">
        <f>'Quarter demand'!AV97</f>
        <v>-17.120000000000005</v>
      </c>
      <c r="P97" s="51">
        <f>'Quarter demand'!AZ97</f>
        <v>-400.81</v>
      </c>
      <c r="Q97" s="51">
        <f>'Quarter demand'!BD97</f>
        <v>-9.3800000000000026</v>
      </c>
      <c r="R97" s="51">
        <f>'Quarter demand'!BH97</f>
        <v>-12.340000000000003</v>
      </c>
      <c r="S97" s="51">
        <f>'Quarter demand'!BK97</f>
        <v>2837.22</v>
      </c>
      <c r="T97" s="51">
        <f>'Quarter demand'!BT97</f>
        <v>703.39</v>
      </c>
      <c r="U97" s="51">
        <f>'Quarter final consumption'!B97</f>
        <v>37331.459999999992</v>
      </c>
      <c r="V97" s="51">
        <f>'Quarter final consumption'!J97</f>
        <v>237.57</v>
      </c>
      <c r="W97" s="51">
        <f>'Quarter final consumption'!R97</f>
        <v>5868.99</v>
      </c>
      <c r="X97" s="51">
        <f>'Quarter final consumption'!Z97</f>
        <v>10510.47</v>
      </c>
      <c r="Y97" s="51">
        <f>'Quarter final consumption'!AF97</f>
        <v>13496.39</v>
      </c>
      <c r="Z97" s="51">
        <f>'Quarter final consumption'!AN97</f>
        <v>5724.07</v>
      </c>
      <c r="AA97" s="51">
        <f>'Quarter final consumption'!AV97</f>
        <v>1474.82</v>
      </c>
      <c r="AB97" s="51">
        <f>'Quarter final consumption'!BD97</f>
        <v>3333.9</v>
      </c>
      <c r="AC97" s="51">
        <f>'Quarter final consumption'!BL97</f>
        <v>435.71999999999997</v>
      </c>
      <c r="AD97" s="51">
        <f>'Quarter final consumption'!BT97</f>
        <v>479.63000000000005</v>
      </c>
      <c r="AE97" s="51">
        <f>'Quarter final consumption'!CB97</f>
        <v>1493.97</v>
      </c>
    </row>
    <row r="98" spans="1:31" x14ac:dyDescent="0.35">
      <c r="A98" s="50" t="s">
        <v>263</v>
      </c>
      <c r="B98" s="51">
        <f>'Quarter supply'!B98</f>
        <v>29989.519999999997</v>
      </c>
      <c r="C98" s="51">
        <f>'Quarter supply'!H98</f>
        <v>33859.310000000005</v>
      </c>
      <c r="D98" s="51">
        <f>'Quarter supply'!P98</f>
        <v>-16068.190000000002</v>
      </c>
      <c r="E98" s="51">
        <f>'Quarter supply'!X98</f>
        <v>-441.37</v>
      </c>
      <c r="F98" s="51">
        <f>'Quarter supply'!Z98</f>
        <v>2866.04</v>
      </c>
      <c r="G98" s="51">
        <f>'Quarter supply'!AG98</f>
        <v>50205.31</v>
      </c>
      <c r="H98" s="51">
        <f>'Quarter supply'!AP98</f>
        <v>177.73999999999796</v>
      </c>
      <c r="I98" s="51">
        <f>'Quarter demand'!B98</f>
        <v>50027.57</v>
      </c>
      <c r="J98" s="51">
        <f>'Quarter demand'!K98</f>
        <v>-6.8200000000001637</v>
      </c>
      <c r="K98" s="51">
        <f>'Quarter demand'!T98</f>
        <v>-7878.0499999999993</v>
      </c>
      <c r="L98" s="51">
        <f>'Quarter demand'!AD98</f>
        <v>-7114.6499999999987</v>
      </c>
      <c r="M98" s="51">
        <f>'Quarter demand'!AL98</f>
        <v>-338.93000000000012</v>
      </c>
      <c r="N98" s="51">
        <f>'Quarter demand'!AS98</f>
        <v>-38.350000000000364</v>
      </c>
      <c r="O98" s="51">
        <f>'Quarter demand'!AV98</f>
        <v>-18.930000000000007</v>
      </c>
      <c r="P98" s="51">
        <f>'Quarter demand'!AZ98</f>
        <v>-351.15</v>
      </c>
      <c r="Q98" s="51">
        <f>'Quarter demand'!BD98</f>
        <v>-6.5999999999999979</v>
      </c>
      <c r="R98" s="51">
        <f>'Quarter demand'!BH98</f>
        <v>-9.4399999999999977</v>
      </c>
      <c r="S98" s="51">
        <f>'Quarter demand'!BK98</f>
        <v>2521.19</v>
      </c>
      <c r="T98" s="51">
        <f>'Quarter demand'!BT98</f>
        <v>813.55000000000007</v>
      </c>
      <c r="U98" s="51">
        <f>'Quarter final consumption'!B98</f>
        <v>38819.670000000006</v>
      </c>
      <c r="V98" s="51">
        <f>'Quarter final consumption'!J98</f>
        <v>277.69</v>
      </c>
      <c r="W98" s="51">
        <f>'Quarter final consumption'!R98</f>
        <v>5933.68</v>
      </c>
      <c r="X98" s="51">
        <f>'Quarter final consumption'!Z98</f>
        <v>8789.32</v>
      </c>
      <c r="Y98" s="51">
        <f>'Quarter final consumption'!AF98</f>
        <v>16255.449999999999</v>
      </c>
      <c r="Z98" s="51">
        <f>'Quarter final consumption'!AN98</f>
        <v>6105.7800000000007</v>
      </c>
      <c r="AA98" s="51">
        <f>'Quarter final consumption'!AV98</f>
        <v>1727.54</v>
      </c>
      <c r="AB98" s="51">
        <f>'Quarter final consumption'!BD98</f>
        <v>3529.98</v>
      </c>
      <c r="AC98" s="51">
        <f>'Quarter final consumption'!BL98</f>
        <v>368.95</v>
      </c>
      <c r="AD98" s="51">
        <f>'Quarter final consumption'!BT98</f>
        <v>479.30999999999995</v>
      </c>
      <c r="AE98" s="51">
        <f>'Quarter final consumption'!CB98</f>
        <v>1457.7499999999998</v>
      </c>
    </row>
    <row r="99" spans="1:31" x14ac:dyDescent="0.35">
      <c r="A99" s="50" t="s">
        <v>264</v>
      </c>
      <c r="B99" s="51">
        <f>'Quarter supply'!B99</f>
        <v>22786.989999999998</v>
      </c>
      <c r="C99" s="51">
        <f>'Quarter supply'!H99</f>
        <v>32090.62</v>
      </c>
      <c r="D99" s="51">
        <f>'Quarter supply'!P99</f>
        <v>-14146.889999999998</v>
      </c>
      <c r="E99" s="51">
        <f>'Quarter supply'!X99</f>
        <v>-532.77</v>
      </c>
      <c r="F99" s="51">
        <f>'Quarter supply'!Z99</f>
        <v>676.79000000000008</v>
      </c>
      <c r="G99" s="51">
        <f>'Quarter supply'!AG99</f>
        <v>40874.740000000005</v>
      </c>
      <c r="H99" s="51">
        <f>'Quarter supply'!AP99</f>
        <v>-18.459999999991851</v>
      </c>
      <c r="I99" s="51">
        <f>'Quarter demand'!B99</f>
        <v>40893.199999999997</v>
      </c>
      <c r="J99" s="51">
        <f>'Quarter demand'!K99</f>
        <v>-10.25</v>
      </c>
      <c r="K99" s="51">
        <f>'Quarter demand'!T99</f>
        <v>-7332.73</v>
      </c>
      <c r="L99" s="51">
        <f>'Quarter demand'!AD99</f>
        <v>-6485.9299999999994</v>
      </c>
      <c r="M99" s="51">
        <f>'Quarter demand'!AL99</f>
        <v>-255.9799999999999</v>
      </c>
      <c r="N99" s="51">
        <f>'Quarter demand'!AS99</f>
        <v>-135.08000000000175</v>
      </c>
      <c r="O99" s="51">
        <f>'Quarter demand'!AV99</f>
        <v>-24.189999999999998</v>
      </c>
      <c r="P99" s="51">
        <f>'Quarter demand'!AZ99</f>
        <v>-419.39</v>
      </c>
      <c r="Q99" s="51">
        <f>'Quarter demand'!BD99</f>
        <v>-3.9999999999999982</v>
      </c>
      <c r="R99" s="51">
        <f>'Quarter demand'!BH99</f>
        <v>-8.1599999999999966</v>
      </c>
      <c r="S99" s="51">
        <f>'Quarter demand'!BK99</f>
        <v>2356.25</v>
      </c>
      <c r="T99" s="51">
        <f>'Quarter demand'!BT99</f>
        <v>741.41000000000008</v>
      </c>
      <c r="U99" s="51">
        <f>'Quarter final consumption'!B99</f>
        <v>30446.940000000006</v>
      </c>
      <c r="V99" s="51">
        <f>'Quarter final consumption'!J99</f>
        <v>260.45999999999998</v>
      </c>
      <c r="W99" s="51">
        <f>'Quarter final consumption'!R99</f>
        <v>4526.05</v>
      </c>
      <c r="X99" s="51">
        <f>'Quarter final consumption'!Z99</f>
        <v>10884.97</v>
      </c>
      <c r="Y99" s="51">
        <f>'Quarter final consumption'!AF99</f>
        <v>8766.7400000000016</v>
      </c>
      <c r="Z99" s="51">
        <f>'Quarter final consumption'!AN99</f>
        <v>4657.3600000000006</v>
      </c>
      <c r="AA99" s="51">
        <f>'Quarter final consumption'!AV99</f>
        <v>1267.9699999999998</v>
      </c>
      <c r="AB99" s="51">
        <f>'Quarter final consumption'!BD99</f>
        <v>2758.9300000000003</v>
      </c>
      <c r="AC99" s="51">
        <f>'Quarter final consumption'!BL99</f>
        <v>353.65</v>
      </c>
      <c r="AD99" s="51">
        <f>'Quarter final consumption'!BT99</f>
        <v>276.80999999999995</v>
      </c>
      <c r="AE99" s="51">
        <f>'Quarter final consumption'!CB99</f>
        <v>1351.36</v>
      </c>
    </row>
    <row r="100" spans="1:31" x14ac:dyDescent="0.35">
      <c r="A100" s="50" t="s">
        <v>488</v>
      </c>
      <c r="B100" s="51">
        <f>'Quarter supply'!B100</f>
        <v>25041.239999999998</v>
      </c>
      <c r="C100" s="51">
        <f>'Quarter supply'!H100</f>
        <v>28881.439999999999</v>
      </c>
      <c r="D100" s="51">
        <f>'Quarter supply'!P100</f>
        <v>-16582.849999999999</v>
      </c>
      <c r="E100" s="51">
        <f>'Quarter supply'!X100</f>
        <v>-586.74</v>
      </c>
      <c r="F100" s="51">
        <f>'Quarter supply'!Z100</f>
        <v>-143.13999999999999</v>
      </c>
      <c r="G100" s="51">
        <f>'Quarter supply'!AG100</f>
        <v>36609.949999999997</v>
      </c>
      <c r="H100" s="51">
        <f>'Quarter supply'!AP100</f>
        <v>67.489999999997963</v>
      </c>
      <c r="I100" s="51">
        <f>'Quarter demand'!B100</f>
        <v>36542.46</v>
      </c>
      <c r="J100" s="51">
        <f>'Quarter demand'!K100</f>
        <v>80.069999999999936</v>
      </c>
      <c r="K100" s="51">
        <f>'Quarter demand'!T100</f>
        <v>-6825.64</v>
      </c>
      <c r="L100" s="51">
        <f>'Quarter demand'!AD100</f>
        <v>-6204.7199999999984</v>
      </c>
      <c r="M100" s="51">
        <f>'Quarter demand'!AL100</f>
        <v>-202.19000000000005</v>
      </c>
      <c r="N100" s="51">
        <f>'Quarter demand'!AS100</f>
        <v>-56.049999999999272</v>
      </c>
      <c r="O100" s="51">
        <f>'Quarter demand'!AV100</f>
        <v>-17.839999999999975</v>
      </c>
      <c r="P100" s="51">
        <f>'Quarter demand'!AZ100</f>
        <v>-330.59000000000003</v>
      </c>
      <c r="Q100" s="51">
        <f>'Quarter demand'!BD100</f>
        <v>9.9999999999997868E-2</v>
      </c>
      <c r="R100" s="51">
        <f>'Quarter demand'!BH100</f>
        <v>-14.350000000000009</v>
      </c>
      <c r="S100" s="51">
        <f>'Quarter demand'!BK100</f>
        <v>2583.0299999999997</v>
      </c>
      <c r="T100" s="51">
        <f>'Quarter demand'!BT100</f>
        <v>578.32999999999993</v>
      </c>
      <c r="U100" s="51">
        <f>'Quarter final consumption'!B100</f>
        <v>26627.98</v>
      </c>
      <c r="V100" s="51">
        <f>'Quarter final consumption'!J100</f>
        <v>245.45000000000005</v>
      </c>
      <c r="W100" s="51">
        <f>'Quarter final consumption'!R100</f>
        <v>4384.3</v>
      </c>
      <c r="X100" s="51">
        <f>'Quarter final consumption'!Z100</f>
        <v>12132.34</v>
      </c>
      <c r="Y100" s="51">
        <f>'Quarter final consumption'!AF100</f>
        <v>4163.3599999999997</v>
      </c>
      <c r="Z100" s="51">
        <f>'Quarter final consumption'!AN100</f>
        <v>4227.3500000000004</v>
      </c>
      <c r="AA100" s="51">
        <f>'Quarter final consumption'!AV100</f>
        <v>1019.9600000000002</v>
      </c>
      <c r="AB100" s="51">
        <f>'Quarter final consumption'!BD100</f>
        <v>2690.13</v>
      </c>
      <c r="AC100" s="51">
        <f>'Quarter final consumption'!BL100</f>
        <v>372.16999999999996</v>
      </c>
      <c r="AD100" s="51">
        <f>'Quarter final consumption'!BT100</f>
        <v>145.09</v>
      </c>
      <c r="AE100" s="51">
        <f>'Quarter final consumption'!CB100</f>
        <v>1475.1799999999998</v>
      </c>
    </row>
    <row r="101" spans="1:31" x14ac:dyDescent="0.35">
      <c r="A101" s="50" t="s">
        <v>489</v>
      </c>
      <c r="B101" s="51">
        <f>'Quarter supply'!B101</f>
        <v>29167.26</v>
      </c>
      <c r="C101" s="51">
        <f>'Quarter supply'!H101</f>
        <v>38820.51</v>
      </c>
      <c r="D101" s="51">
        <f>'Quarter supply'!P101</f>
        <v>-19089.490000000002</v>
      </c>
      <c r="E101" s="51">
        <f>'Quarter supply'!X101</f>
        <v>-510.31</v>
      </c>
      <c r="F101" s="51">
        <f>'Quarter supply'!Z101</f>
        <v>197.03000000000003</v>
      </c>
      <c r="G101" s="51">
        <f>'Quarter supply'!AG101</f>
        <v>48585</v>
      </c>
      <c r="H101" s="51">
        <f>'Quarter supply'!AP101</f>
        <v>-149.09000000000378</v>
      </c>
      <c r="I101" s="51">
        <f>'Quarter demand'!B101</f>
        <v>48734.090000000004</v>
      </c>
      <c r="J101" s="51">
        <f>'Quarter demand'!K101</f>
        <v>-26.679999999999836</v>
      </c>
      <c r="K101" s="51">
        <f>'Quarter demand'!T101</f>
        <v>-7651.89</v>
      </c>
      <c r="L101" s="51">
        <f>'Quarter demand'!AD101</f>
        <v>-6887.5999999999995</v>
      </c>
      <c r="M101" s="51">
        <f>'Quarter demand'!AL101</f>
        <v>-286.66000000000008</v>
      </c>
      <c r="N101" s="51">
        <f>'Quarter demand'!AS101</f>
        <v>-124.55999999999949</v>
      </c>
      <c r="O101" s="51">
        <f>'Quarter demand'!AV101</f>
        <v>-17.949999999999989</v>
      </c>
      <c r="P101" s="51">
        <f>'Quarter demand'!AZ101</f>
        <v>-324.58000000000004</v>
      </c>
      <c r="Q101" s="51">
        <f>'Quarter demand'!BD101</f>
        <v>7.58</v>
      </c>
      <c r="R101" s="51">
        <f>'Quarter demand'!BH101</f>
        <v>-18.120000000000005</v>
      </c>
      <c r="S101" s="51">
        <f>'Quarter demand'!BK101</f>
        <v>2616.77</v>
      </c>
      <c r="T101" s="51">
        <f>'Quarter demand'!BT101</f>
        <v>684.03</v>
      </c>
      <c r="U101" s="51">
        <f>'Quarter final consumption'!B101</f>
        <v>37756.19</v>
      </c>
      <c r="V101" s="51">
        <f>'Quarter final consumption'!J101</f>
        <v>277.02999999999997</v>
      </c>
      <c r="W101" s="51">
        <f>'Quarter final consumption'!R101</f>
        <v>5597.04</v>
      </c>
      <c r="X101" s="51">
        <f>'Quarter final consumption'!Z101</f>
        <v>12572.380000000001</v>
      </c>
      <c r="Y101" s="51">
        <f>'Quarter final consumption'!AF101</f>
        <v>11739.25</v>
      </c>
      <c r="Z101" s="51">
        <f>'Quarter final consumption'!AN101</f>
        <v>6232.75</v>
      </c>
      <c r="AA101" s="51">
        <f>'Quarter final consumption'!AV101</f>
        <v>1659.35</v>
      </c>
      <c r="AB101" s="51">
        <f>'Quarter final consumption'!BD101</f>
        <v>3623.16</v>
      </c>
      <c r="AC101" s="51">
        <f>'Quarter final consumption'!BL101</f>
        <v>408.59999999999997</v>
      </c>
      <c r="AD101" s="51">
        <f>'Quarter final consumption'!BT101</f>
        <v>541.6400000000001</v>
      </c>
      <c r="AE101" s="51">
        <f>'Quarter final consumption'!CB101</f>
        <v>1337.74</v>
      </c>
    </row>
    <row r="102" spans="1:31" x14ac:dyDescent="0.35">
      <c r="A102" s="50" t="s">
        <v>492</v>
      </c>
      <c r="B102" s="51">
        <f>'Quarter supply'!B102</f>
        <v>29655.350000000002</v>
      </c>
      <c r="C102" s="51">
        <f>'Quarter supply'!H102</f>
        <v>37786.920000000006</v>
      </c>
      <c r="D102" s="51">
        <f>'Quarter supply'!P102</f>
        <v>-18525.789999999997</v>
      </c>
      <c r="E102" s="51">
        <f>'Quarter supply'!X102</f>
        <v>-417.51</v>
      </c>
      <c r="F102" s="51">
        <f>'Quarter supply'!Z102</f>
        <v>1269.0900000000001</v>
      </c>
      <c r="G102" s="51">
        <f>'Quarter supply'!AG102</f>
        <v>49768.06</v>
      </c>
      <c r="H102" s="51">
        <f>'Quarter supply'!AP102</f>
        <v>-24.27000000001135</v>
      </c>
      <c r="I102" s="51">
        <f>'Quarter demand'!B102</f>
        <v>49792.330000000009</v>
      </c>
      <c r="J102" s="51">
        <f>'Quarter demand'!K102</f>
        <v>-11.639999999999873</v>
      </c>
      <c r="K102" s="51">
        <f>'Quarter demand'!T102</f>
        <v>-7551.9199999999992</v>
      </c>
      <c r="L102" s="51">
        <f>'Quarter demand'!AD102</f>
        <v>-6726.2699999999986</v>
      </c>
      <c r="M102" s="51">
        <f>'Quarter demand'!AL102</f>
        <v>-334.80999999999989</v>
      </c>
      <c r="N102" s="51">
        <f>'Quarter demand'!AS102</f>
        <v>-175.92000000000007</v>
      </c>
      <c r="O102" s="51">
        <f>'Quarter demand'!AV102</f>
        <v>-13.72999999999999</v>
      </c>
      <c r="P102" s="51">
        <f>'Quarter demand'!AZ102</f>
        <v>-284.06</v>
      </c>
      <c r="Q102" s="51">
        <f>'Quarter demand'!BD102</f>
        <v>-7.5600000000000041</v>
      </c>
      <c r="R102" s="51">
        <f>'Quarter demand'!BH102</f>
        <v>-9.5700000000000074</v>
      </c>
      <c r="S102" s="51">
        <f>'Quarter demand'!BK102</f>
        <v>2738.52</v>
      </c>
      <c r="T102" s="51">
        <f>'Quarter demand'!BT102</f>
        <v>911.84</v>
      </c>
      <c r="U102" s="51">
        <f>'Quarter final consumption'!B102</f>
        <v>38590.69</v>
      </c>
      <c r="V102" s="51">
        <f>'Quarter final consumption'!J102</f>
        <v>269.52</v>
      </c>
      <c r="W102" s="51">
        <f>'Quarter final consumption'!R102</f>
        <v>5636.57</v>
      </c>
      <c r="X102" s="51">
        <f>'Quarter final consumption'!Z102</f>
        <v>11634.68</v>
      </c>
      <c r="Y102" s="51">
        <f>'Quarter final consumption'!AF102</f>
        <v>13713.009999999998</v>
      </c>
      <c r="Z102" s="51">
        <f>'Quarter final consumption'!AN102</f>
        <v>6041.3</v>
      </c>
      <c r="AA102" s="51">
        <f>'Quarter final consumption'!AV102</f>
        <v>1606.62</v>
      </c>
      <c r="AB102" s="51">
        <f>'Quarter final consumption'!BD102</f>
        <v>3694.89</v>
      </c>
      <c r="AC102" s="51">
        <f>'Quarter final consumption'!BL102</f>
        <v>303.49</v>
      </c>
      <c r="AD102" s="51">
        <f>'Quarter final consumption'!BT102</f>
        <v>436.3</v>
      </c>
      <c r="AE102" s="51">
        <f>'Quarter final consumption'!CB102</f>
        <v>1295.6100000000001</v>
      </c>
    </row>
    <row r="103" spans="1:31" x14ac:dyDescent="0.35">
      <c r="A103" s="50" t="s">
        <v>494</v>
      </c>
      <c r="B103" s="51">
        <f>'Quarter supply'!B103</f>
        <v>27526.21</v>
      </c>
      <c r="C103" s="51">
        <f>'Quarter supply'!H103</f>
        <v>35261.950000000004</v>
      </c>
      <c r="D103" s="51">
        <f>'Quarter supply'!P103</f>
        <v>-21494.76</v>
      </c>
      <c r="E103" s="51">
        <f>'Quarter supply'!X103</f>
        <v>-586.92999999999995</v>
      </c>
      <c r="F103" s="51">
        <f>'Quarter supply'!Z103</f>
        <v>-414.81</v>
      </c>
      <c r="G103" s="51">
        <f>'Quarter supply'!AG103</f>
        <v>40291.660000000003</v>
      </c>
      <c r="H103" s="51">
        <f>'Quarter supply'!AP103</f>
        <v>43.540000000000873</v>
      </c>
      <c r="I103" s="51">
        <f>'Quarter demand'!B103</f>
        <v>40248.120000000003</v>
      </c>
      <c r="J103" s="51">
        <f>'Quarter demand'!K103</f>
        <v>-11.1400000000001</v>
      </c>
      <c r="K103" s="51">
        <f>'Quarter demand'!T103</f>
        <v>-7403.48</v>
      </c>
      <c r="L103" s="51">
        <f>'Quarter demand'!AD103</f>
        <v>-6484.73</v>
      </c>
      <c r="M103" s="51">
        <f>'Quarter demand'!AL103</f>
        <v>-237.58999999999992</v>
      </c>
      <c r="N103" s="51">
        <f>'Quarter demand'!AS103</f>
        <v>-202.54999999999927</v>
      </c>
      <c r="O103" s="51">
        <f>'Quarter demand'!AV103</f>
        <v>-12.280000000000001</v>
      </c>
      <c r="P103" s="51">
        <f>'Quarter demand'!AZ103</f>
        <v>-449.43</v>
      </c>
      <c r="Q103" s="51">
        <f>'Quarter demand'!BD103</f>
        <v>-7.57</v>
      </c>
      <c r="R103" s="51">
        <f>'Quarter demand'!BH103</f>
        <v>-9.3300000000000125</v>
      </c>
      <c r="S103" s="51">
        <f>'Quarter demand'!BK103</f>
        <v>2618.3200000000002</v>
      </c>
      <c r="T103" s="51">
        <f>'Quarter demand'!BT103</f>
        <v>667.34999999999991</v>
      </c>
      <c r="U103" s="51">
        <f>'Quarter final consumption'!B103</f>
        <v>29535.83</v>
      </c>
      <c r="V103" s="51">
        <f>'Quarter final consumption'!J103</f>
        <v>237.19</v>
      </c>
      <c r="W103" s="51">
        <f>'Quarter final consumption'!R103</f>
        <v>4351.03</v>
      </c>
      <c r="X103" s="51">
        <f>'Quarter final consumption'!Z103</f>
        <v>12904.990000000002</v>
      </c>
      <c r="Y103" s="51">
        <f>'Quarter final consumption'!AF103</f>
        <v>6348.7899999999991</v>
      </c>
      <c r="Z103" s="51">
        <f>'Quarter final consumption'!AN103</f>
        <v>4392.3900000000003</v>
      </c>
      <c r="AA103" s="51">
        <f>'Quarter final consumption'!AV103</f>
        <v>1123.3200000000002</v>
      </c>
      <c r="AB103" s="51">
        <f>'Quarter final consumption'!BD103</f>
        <v>2761.3700000000003</v>
      </c>
      <c r="AC103" s="51">
        <f>'Quarter final consumption'!BL103</f>
        <v>290.52000000000004</v>
      </c>
      <c r="AD103" s="51">
        <f>'Quarter final consumption'!BT103</f>
        <v>217.18</v>
      </c>
      <c r="AE103" s="51">
        <f>'Quarter final consumption'!CB103</f>
        <v>1301.44</v>
      </c>
    </row>
    <row r="104" spans="1:31" x14ac:dyDescent="0.35">
      <c r="A104" s="50" t="s">
        <v>496</v>
      </c>
      <c r="B104" s="51">
        <f>'Quarter supply'!B104</f>
        <v>25168.370000000003</v>
      </c>
      <c r="C104" s="51">
        <f>'Quarter supply'!H104</f>
        <v>34809.19</v>
      </c>
      <c r="D104" s="51">
        <f>'Quarter supply'!P104</f>
        <v>-21036.25</v>
      </c>
      <c r="E104" s="51">
        <f>'Quarter supply'!X104</f>
        <v>-622.44000000000005</v>
      </c>
      <c r="F104" s="51">
        <f>'Quarter supply'!Z104</f>
        <v>-845.5100000000001</v>
      </c>
      <c r="G104" s="51">
        <f>'Quarter supply'!AG104</f>
        <v>37473.360000000001</v>
      </c>
      <c r="H104" s="51">
        <f>'Quarter supply'!AP104</f>
        <v>11.69999999999709</v>
      </c>
      <c r="I104" s="51">
        <f>'Quarter demand'!B104</f>
        <v>37461.660000000003</v>
      </c>
      <c r="J104" s="51">
        <f>'Quarter demand'!K104</f>
        <v>-21.470000000000027</v>
      </c>
      <c r="K104" s="51">
        <f>'Quarter demand'!T104</f>
        <v>-7539.3600000000006</v>
      </c>
      <c r="L104" s="51">
        <f>'Quarter demand'!AD104</f>
        <v>-6784.2300000000014</v>
      </c>
      <c r="M104" s="51">
        <f>'Quarter demand'!AL104</f>
        <v>-198.50000000000006</v>
      </c>
      <c r="N104" s="51">
        <f>'Quarter demand'!AS104</f>
        <v>-143.38999999999942</v>
      </c>
      <c r="O104" s="51">
        <f>'Quarter demand'!AV104</f>
        <v>-13.680000000000007</v>
      </c>
      <c r="P104" s="51">
        <f>'Quarter demand'!AZ104</f>
        <v>-398.72</v>
      </c>
      <c r="Q104" s="51">
        <f>'Quarter demand'!BD104</f>
        <v>2.5400000000000009</v>
      </c>
      <c r="R104" s="51">
        <f>'Quarter demand'!BH104</f>
        <v>-3.3800000000000097</v>
      </c>
      <c r="S104" s="51">
        <f>'Quarter demand'!BK104</f>
        <v>2535.1600000000003</v>
      </c>
      <c r="T104" s="51">
        <f>'Quarter demand'!BT104</f>
        <v>637.37</v>
      </c>
      <c r="U104" s="51">
        <f>'Quarter final consumption'!B104</f>
        <v>26716.530000000002</v>
      </c>
      <c r="V104" s="51">
        <f>'Quarter final consumption'!J104</f>
        <v>238.95</v>
      </c>
      <c r="W104" s="51">
        <f>'Quarter final consumption'!R104</f>
        <v>4161.8899999999994</v>
      </c>
      <c r="X104" s="51">
        <f>'Quarter final consumption'!Z104</f>
        <v>13251.480000000001</v>
      </c>
      <c r="Y104" s="51">
        <f>'Quarter final consumption'!AF104</f>
        <v>3821.5</v>
      </c>
      <c r="Z104" s="51">
        <f>'Quarter final consumption'!AN104</f>
        <v>3910.0099999999998</v>
      </c>
      <c r="AA104" s="51">
        <f>'Quarter final consumption'!AV104</f>
        <v>971.82999999999981</v>
      </c>
      <c r="AB104" s="51">
        <f>'Quarter final consumption'!BD104</f>
        <v>2455.41</v>
      </c>
      <c r="AC104" s="51">
        <f>'Quarter final consumption'!BL104</f>
        <v>354.12</v>
      </c>
      <c r="AD104" s="51">
        <f>'Quarter final consumption'!BT104</f>
        <v>128.65</v>
      </c>
      <c r="AE104" s="51">
        <f>'Quarter final consumption'!CB104</f>
        <v>1332.6999999999998</v>
      </c>
    </row>
    <row r="105" spans="1:31" x14ac:dyDescent="0.35">
      <c r="A105" s="50" t="s">
        <v>499</v>
      </c>
      <c r="B105" s="51">
        <f>'Quarter supply'!B105</f>
        <v>28457.010000000006</v>
      </c>
      <c r="C105" s="51">
        <f>'Quarter supply'!H105</f>
        <v>38655.14</v>
      </c>
      <c r="D105" s="51">
        <f>'Quarter supply'!P105</f>
        <v>-20970.650000000001</v>
      </c>
      <c r="E105" s="51">
        <f>'Quarter supply'!X105</f>
        <v>-467.48</v>
      </c>
      <c r="F105" s="51">
        <f>'Quarter supply'!Z105</f>
        <v>94.039999999999992</v>
      </c>
      <c r="G105" s="51">
        <f>'Quarter supply'!AG105</f>
        <v>45768.05999999999</v>
      </c>
      <c r="H105" s="51">
        <f>'Quarter supply'!AP105</f>
        <v>-78.260000000016589</v>
      </c>
      <c r="I105" s="51">
        <f>'Quarter demand'!B105</f>
        <v>45846.320000000007</v>
      </c>
      <c r="J105" s="51">
        <f>'Quarter demand'!K105</f>
        <v>-29.329999999999927</v>
      </c>
      <c r="K105" s="51">
        <f>'Quarter demand'!T105</f>
        <v>-7106.9400000000005</v>
      </c>
      <c r="L105" s="51">
        <f>'Quarter demand'!AD105</f>
        <v>-6431.4000000000015</v>
      </c>
      <c r="M105" s="51">
        <f>'Quarter demand'!AL105</f>
        <v>-282.86</v>
      </c>
      <c r="N105" s="51">
        <f>'Quarter demand'!AS105</f>
        <v>-94.860000000000582</v>
      </c>
      <c r="O105" s="51">
        <f>'Quarter demand'!AV105</f>
        <v>-11.649999999999977</v>
      </c>
      <c r="P105" s="51">
        <f>'Quarter demand'!AZ105</f>
        <v>-284.85000000000002</v>
      </c>
      <c r="Q105" s="51">
        <f>'Quarter demand'!BD105</f>
        <v>8.65</v>
      </c>
      <c r="R105" s="51">
        <f>'Quarter demand'!BH105</f>
        <v>-9.9699999999999989</v>
      </c>
      <c r="S105" s="51">
        <f>'Quarter demand'!BK105</f>
        <v>2574.94</v>
      </c>
      <c r="T105" s="51">
        <f>'Quarter demand'!BT105</f>
        <v>826.76</v>
      </c>
      <c r="U105" s="51">
        <f>'Quarter final consumption'!B105</f>
        <v>35319.82</v>
      </c>
      <c r="V105" s="51">
        <f>'Quarter final consumption'!J105</f>
        <v>307.27</v>
      </c>
      <c r="W105" s="51">
        <f>'Quarter final consumption'!R105</f>
        <v>4823.6799999999994</v>
      </c>
      <c r="X105" s="51">
        <f>'Quarter final consumption'!Z105</f>
        <v>12862.61</v>
      </c>
      <c r="Y105" s="51">
        <f>'Quarter final consumption'!AF105</f>
        <v>10510.320000000002</v>
      </c>
      <c r="Z105" s="51">
        <f>'Quarter final consumption'!AN105</f>
        <v>5661.48</v>
      </c>
      <c r="AA105" s="51">
        <f>'Quarter final consumption'!AV105</f>
        <v>1473.6000000000001</v>
      </c>
      <c r="AB105" s="51">
        <f>'Quarter final consumption'!BD105</f>
        <v>3294.5599999999995</v>
      </c>
      <c r="AC105" s="51">
        <f>'Quarter final consumption'!BL105</f>
        <v>416.05</v>
      </c>
      <c r="AD105" s="51">
        <f>'Quarter final consumption'!BT105</f>
        <v>477.27</v>
      </c>
      <c r="AE105" s="51">
        <f>'Quarter final consumption'!CB105</f>
        <v>1154.46</v>
      </c>
    </row>
    <row r="106" spans="1:31" x14ac:dyDescent="0.35">
      <c r="A106" s="50" t="s">
        <v>502</v>
      </c>
      <c r="B106" s="51">
        <f>'Quarter supply'!B106</f>
        <v>27711.53</v>
      </c>
      <c r="C106" s="51">
        <f>'Quarter supply'!H106</f>
        <v>38605.31</v>
      </c>
      <c r="D106" s="51">
        <f>'Quarter supply'!P106</f>
        <v>-17928.380000000005</v>
      </c>
      <c r="E106" s="51">
        <f>'Quarter supply'!X106</f>
        <v>-449.55</v>
      </c>
      <c r="F106" s="51">
        <f>'Quarter supply'!Z106</f>
        <v>665.97</v>
      </c>
      <c r="G106" s="51">
        <f>'Quarter supply'!AG106</f>
        <v>48604.88</v>
      </c>
      <c r="H106" s="51">
        <f>'Quarter supply'!AP106</f>
        <v>-8.7100000000064028</v>
      </c>
      <c r="I106" s="51">
        <f>'Quarter demand'!B106</f>
        <v>48613.590000000004</v>
      </c>
      <c r="J106" s="51">
        <f>'Quarter demand'!K106</f>
        <v>-127.51999999999998</v>
      </c>
      <c r="K106" s="51">
        <f>'Quarter demand'!T106</f>
        <v>-6723.2700000000013</v>
      </c>
      <c r="L106" s="51">
        <f>'Quarter demand'!AD106</f>
        <v>-5925.5000000000018</v>
      </c>
      <c r="M106" s="51">
        <f>'Quarter demand'!AL106</f>
        <v>-330.96</v>
      </c>
      <c r="N106" s="51">
        <f>'Quarter demand'!AS106</f>
        <v>-72.25</v>
      </c>
      <c r="O106" s="51">
        <f>'Quarter demand'!AV106</f>
        <v>-9.960000000000008</v>
      </c>
      <c r="P106" s="51">
        <f>'Quarter demand'!AZ106</f>
        <v>-371.02</v>
      </c>
      <c r="Q106" s="51">
        <f>'Quarter demand'!BD106</f>
        <v>-2.9300000000000015</v>
      </c>
      <c r="R106" s="51">
        <f>'Quarter demand'!BH106</f>
        <v>-10.650000000000006</v>
      </c>
      <c r="S106" s="51">
        <f>'Quarter demand'!BK106</f>
        <v>2783.3300000000004</v>
      </c>
      <c r="T106" s="51">
        <f>'Quarter demand'!BT106</f>
        <v>873.93</v>
      </c>
      <c r="U106" s="51">
        <f>'Quarter final consumption'!B106</f>
        <v>38119.219999999994</v>
      </c>
      <c r="V106" s="51">
        <f>'Quarter final consumption'!J106</f>
        <v>277.48</v>
      </c>
      <c r="W106" s="51">
        <f>'Quarter final consumption'!R106</f>
        <v>5443.46</v>
      </c>
      <c r="X106" s="51">
        <f>'Quarter final consumption'!Z106</f>
        <v>12513.210000000001</v>
      </c>
      <c r="Y106" s="51">
        <f>'Quarter final consumption'!AF106</f>
        <v>12744.16</v>
      </c>
      <c r="Z106" s="51">
        <f>'Quarter final consumption'!AN106</f>
        <v>6017.5</v>
      </c>
      <c r="AA106" s="51">
        <f>'Quarter final consumption'!AV106</f>
        <v>1610.8500000000001</v>
      </c>
      <c r="AB106" s="51">
        <f>'Quarter final consumption'!BD106</f>
        <v>3675.22</v>
      </c>
      <c r="AC106" s="51">
        <f>'Quarter final consumption'!BL106</f>
        <v>294.44</v>
      </c>
      <c r="AD106" s="51">
        <f>'Quarter final consumption'!BT106</f>
        <v>436.99</v>
      </c>
      <c r="AE106" s="51">
        <f>'Quarter final consumption'!CB106</f>
        <v>1123.4099999999999</v>
      </c>
    </row>
    <row r="107" spans="1:31" x14ac:dyDescent="0.35">
      <c r="A107" s="50" t="s">
        <v>503</v>
      </c>
      <c r="B107" s="51">
        <f>'Quarter supply'!B107</f>
        <v>24606.329999999994</v>
      </c>
      <c r="C107" s="51">
        <f>'Quarter supply'!H107</f>
        <v>32488.010000000002</v>
      </c>
      <c r="D107" s="51">
        <f>'Quarter supply'!P107</f>
        <v>-18210.340000000004</v>
      </c>
      <c r="E107" s="51">
        <f>'Quarter supply'!X107</f>
        <v>-554.75</v>
      </c>
      <c r="F107" s="51">
        <f>'Quarter supply'!Z107</f>
        <v>289.99000000000007</v>
      </c>
      <c r="G107" s="51">
        <f>'Quarter supply'!AG107</f>
        <v>38619.24</v>
      </c>
      <c r="H107" s="51">
        <f>'Quarter supply'!AP107</f>
        <v>-111.34999999999854</v>
      </c>
      <c r="I107" s="51">
        <f>'Quarter demand'!B107</f>
        <v>38730.589999999997</v>
      </c>
      <c r="J107" s="51">
        <f>'Quarter demand'!K107</f>
        <v>-141.18000000000006</v>
      </c>
      <c r="K107" s="51">
        <f>'Quarter demand'!T107</f>
        <v>-6371.0199999999977</v>
      </c>
      <c r="L107" s="51">
        <f>'Quarter demand'!AD107</f>
        <v>-5428.0800000000008</v>
      </c>
      <c r="M107" s="51">
        <f>'Quarter demand'!AL107</f>
        <v>-230.73000000000002</v>
      </c>
      <c r="N107" s="51">
        <f>'Quarter demand'!AS107</f>
        <v>-226.35999999999876</v>
      </c>
      <c r="O107" s="51">
        <f>'Quarter demand'!AV107</f>
        <v>-13.379999999999995</v>
      </c>
      <c r="P107" s="51">
        <f>'Quarter demand'!AZ107</f>
        <v>-454.04999999999995</v>
      </c>
      <c r="Q107" s="51">
        <f>'Quarter demand'!BD107</f>
        <v>-12.110000000000001</v>
      </c>
      <c r="R107" s="51">
        <f>'Quarter demand'!BH107</f>
        <v>-6.3100000000000023</v>
      </c>
      <c r="S107" s="51">
        <f>'Quarter demand'!BK107</f>
        <v>2559.92</v>
      </c>
      <c r="T107" s="51">
        <f>'Quarter demand'!BT107</f>
        <v>594.29999999999995</v>
      </c>
      <c r="U107" s="51">
        <f>'Quarter final consumption'!B107</f>
        <v>29052.410000000003</v>
      </c>
      <c r="V107" s="51">
        <f>'Quarter final consumption'!J107</f>
        <v>268.56</v>
      </c>
      <c r="W107" s="51">
        <f>'Quarter final consumption'!R107</f>
        <v>4262.32</v>
      </c>
      <c r="X107" s="51">
        <f>'Quarter final consumption'!Z107</f>
        <v>13295.25</v>
      </c>
      <c r="Y107" s="51">
        <f>'Quarter final consumption'!AF107</f>
        <v>5722.66</v>
      </c>
      <c r="Z107" s="51">
        <f>'Quarter final consumption'!AN107</f>
        <v>4323.97</v>
      </c>
      <c r="AA107" s="51">
        <f>'Quarter final consumption'!AV107</f>
        <v>1102.1599999999999</v>
      </c>
      <c r="AB107" s="51">
        <f>'Quarter final consumption'!BD107</f>
        <v>2674.25</v>
      </c>
      <c r="AC107" s="51">
        <f>'Quarter final consumption'!BL107</f>
        <v>332.86</v>
      </c>
      <c r="AD107" s="51">
        <f>'Quarter final consumption'!BT107</f>
        <v>214.70000000000002</v>
      </c>
      <c r="AE107" s="51">
        <f>'Quarter final consumption'!CB107</f>
        <v>1179.6500000000001</v>
      </c>
    </row>
    <row r="108" spans="1:31" x14ac:dyDescent="0.35">
      <c r="A108" s="50" t="s">
        <v>507</v>
      </c>
      <c r="B108" s="51">
        <f>'Quarter supply'!B108</f>
        <v>23375.52</v>
      </c>
      <c r="C108" s="51">
        <f>'Quarter supply'!H108</f>
        <v>29757.769999999997</v>
      </c>
      <c r="D108" s="51">
        <f>'Quarter supply'!P108</f>
        <v>-16243.2</v>
      </c>
      <c r="E108" s="51">
        <f>'Quarter supply'!X108</f>
        <v>-608.32000000000005</v>
      </c>
      <c r="F108" s="51">
        <f>'Quarter supply'!Z108</f>
        <v>-734.86999999999989</v>
      </c>
      <c r="G108" s="51">
        <f>'Quarter supply'!AG108</f>
        <v>35546.899999999994</v>
      </c>
      <c r="H108" s="51">
        <f>'Quarter supply'!AP108</f>
        <v>-17.450000000004366</v>
      </c>
      <c r="I108" s="51">
        <f>'Quarter demand'!B108</f>
        <v>35564.35</v>
      </c>
      <c r="J108" s="51">
        <f>'Quarter demand'!K108</f>
        <v>101.42000000000007</v>
      </c>
      <c r="K108" s="51">
        <f>'Quarter demand'!T108</f>
        <v>-6193.76</v>
      </c>
      <c r="L108" s="51">
        <f>'Quarter demand'!AD108</f>
        <v>-5578.6099999999988</v>
      </c>
      <c r="M108" s="51">
        <f>'Quarter demand'!AL108</f>
        <v>-198.11</v>
      </c>
      <c r="N108" s="51">
        <f>'Quarter demand'!AS108</f>
        <v>-7.7600000000002183</v>
      </c>
      <c r="O108" s="51">
        <f>'Quarter demand'!AV108</f>
        <v>-6.519999999999996</v>
      </c>
      <c r="P108" s="51">
        <f>'Quarter demand'!AZ108</f>
        <v>-395.9</v>
      </c>
      <c r="Q108" s="51">
        <f>'Quarter demand'!BD108</f>
        <v>-6.2299999999999986</v>
      </c>
      <c r="R108" s="51">
        <f>'Quarter demand'!BH108</f>
        <v>-0.63000000000000966</v>
      </c>
      <c r="S108" s="51">
        <f>'Quarter demand'!BK108</f>
        <v>2294.5499999999997</v>
      </c>
      <c r="T108" s="51">
        <f>'Quarter demand'!BT108</f>
        <v>583.54999999999995</v>
      </c>
      <c r="U108" s="51">
        <f>'Quarter final consumption'!B108</f>
        <v>26580.560000000001</v>
      </c>
      <c r="V108" s="51">
        <f>'Quarter final consumption'!J108</f>
        <v>247.55</v>
      </c>
      <c r="W108" s="51">
        <f>'Quarter final consumption'!R108</f>
        <v>4129.8599999999997</v>
      </c>
      <c r="X108" s="51">
        <f>'Quarter final consumption'!Z108</f>
        <v>13656.810000000001</v>
      </c>
      <c r="Y108" s="51">
        <f>'Quarter final consumption'!AF108</f>
        <v>3648.2900000000004</v>
      </c>
      <c r="Z108" s="51">
        <f>'Quarter final consumption'!AN108</f>
        <v>3771.52</v>
      </c>
      <c r="AA108" s="51">
        <f>'Quarter final consumption'!AV108</f>
        <v>926.97000000000014</v>
      </c>
      <c r="AB108" s="51">
        <f>'Quarter final consumption'!BD108</f>
        <v>2376.7800000000002</v>
      </c>
      <c r="AC108" s="51">
        <f>'Quarter final consumption'!BL108</f>
        <v>337.69</v>
      </c>
      <c r="AD108" s="51">
        <f>'Quarter final consumption'!BT108</f>
        <v>130.08000000000001</v>
      </c>
      <c r="AE108" s="51">
        <f>'Quarter final consumption'!CB108</f>
        <v>1126.53</v>
      </c>
    </row>
    <row r="109" spans="1:31" x14ac:dyDescent="0.35">
      <c r="A109" s="50" t="s">
        <v>508</v>
      </c>
      <c r="B109" s="51">
        <f>'Quarter supply'!B109</f>
        <v>25727.25</v>
      </c>
      <c r="C109" s="51">
        <f>'Quarter supply'!H109</f>
        <v>35675.49</v>
      </c>
      <c r="D109" s="51">
        <f>'Quarter supply'!P109</f>
        <v>-15444.28</v>
      </c>
      <c r="E109" s="51">
        <f>'Quarter supply'!X109</f>
        <v>-473.76</v>
      </c>
      <c r="F109" s="51">
        <f>'Quarter supply'!Z109</f>
        <v>-12.720000000000017</v>
      </c>
      <c r="G109" s="51">
        <f>'Quarter supply'!AG109</f>
        <v>45471.979999999996</v>
      </c>
      <c r="H109" s="51">
        <f>'Quarter supply'!AP109</f>
        <v>-66.260000000002037</v>
      </c>
      <c r="I109" s="51">
        <f>'Quarter demand'!B109</f>
        <v>45538.239999999998</v>
      </c>
      <c r="J109" s="51">
        <f>'Quarter demand'!K109</f>
        <v>-67.860000000000127</v>
      </c>
      <c r="K109" s="51">
        <f>'Quarter demand'!T109</f>
        <v>-6853.3999999999987</v>
      </c>
      <c r="L109" s="51">
        <f>'Quarter demand'!AD109</f>
        <v>-6026.1899999999987</v>
      </c>
      <c r="M109" s="51">
        <f>'Quarter demand'!AL109</f>
        <v>-294.42999999999995</v>
      </c>
      <c r="N109" s="51">
        <f>'Quarter demand'!AS109</f>
        <v>-123.38999999999942</v>
      </c>
      <c r="O109" s="51">
        <f>'Quarter demand'!AV109</f>
        <v>-18.930000000000007</v>
      </c>
      <c r="P109" s="51">
        <f>'Quarter demand'!AZ109</f>
        <v>-386.25</v>
      </c>
      <c r="Q109" s="51">
        <f>'Quarter demand'!BD109</f>
        <v>5.65</v>
      </c>
      <c r="R109" s="51">
        <f>'Quarter demand'!BH109</f>
        <v>-9.86</v>
      </c>
      <c r="S109" s="51">
        <f>'Quarter demand'!BK109</f>
        <v>2249.4299999999998</v>
      </c>
      <c r="T109" s="51">
        <f>'Quarter demand'!BT109</f>
        <v>848.47</v>
      </c>
      <c r="U109" s="51">
        <f>'Quarter final consumption'!B109</f>
        <v>35530.47</v>
      </c>
      <c r="V109" s="51">
        <f>'Quarter final consumption'!J109</f>
        <v>237.11</v>
      </c>
      <c r="W109" s="51">
        <f>'Quarter final consumption'!R109</f>
        <v>4886.7</v>
      </c>
      <c r="X109" s="51">
        <f>'Quarter final consumption'!Z109</f>
        <v>13049.45</v>
      </c>
      <c r="Y109" s="51">
        <f>'Quarter final consumption'!AF109</f>
        <v>10622.08</v>
      </c>
      <c r="Z109" s="51">
        <f>'Quarter final consumption'!AN109</f>
        <v>5690.14</v>
      </c>
      <c r="AA109" s="51">
        <f>'Quarter final consumption'!AV109</f>
        <v>1449.9299999999998</v>
      </c>
      <c r="AB109" s="51">
        <f>'Quarter final consumption'!BD109</f>
        <v>3348.09</v>
      </c>
      <c r="AC109" s="51">
        <f>'Quarter final consumption'!BL109</f>
        <v>424.37</v>
      </c>
      <c r="AD109" s="51">
        <f>'Quarter final consumption'!BT109</f>
        <v>467.75</v>
      </c>
      <c r="AE109" s="51">
        <f>'Quarter final consumption'!CB109</f>
        <v>1044.99</v>
      </c>
    </row>
    <row r="110" spans="1:31" x14ac:dyDescent="0.35">
      <c r="A110" s="50" t="s">
        <v>510</v>
      </c>
      <c r="B110" s="51">
        <f>'Quarter supply'!B110</f>
        <v>25442.13</v>
      </c>
      <c r="C110" s="51">
        <f>'Quarter supply'!H110</f>
        <v>35774.129999999997</v>
      </c>
      <c r="D110" s="51">
        <f>'Quarter supply'!P110</f>
        <v>-14595.95</v>
      </c>
      <c r="E110" s="51">
        <f>'Quarter supply'!X110</f>
        <v>-419.84</v>
      </c>
      <c r="F110" s="51">
        <f>'Quarter supply'!Z110</f>
        <v>1963.4</v>
      </c>
      <c r="G110" s="51">
        <f>'Quarter supply'!AG110</f>
        <v>48163.87</v>
      </c>
      <c r="H110" s="51">
        <f>'Quarter supply'!AP110</f>
        <v>222.42000000001281</v>
      </c>
      <c r="I110" s="51">
        <f>'Quarter demand'!B110</f>
        <v>47941.44999999999</v>
      </c>
      <c r="J110" s="51">
        <f>'Quarter demand'!K110</f>
        <v>-115</v>
      </c>
      <c r="K110" s="51">
        <f>'Quarter demand'!T110</f>
        <v>-6397.6799999999985</v>
      </c>
      <c r="L110" s="51">
        <f>'Quarter demand'!AD110</f>
        <v>-5659.2799999999988</v>
      </c>
      <c r="M110" s="51">
        <f>'Quarter demand'!AL110</f>
        <v>-321.93</v>
      </c>
      <c r="N110" s="51">
        <f>'Quarter demand'!AS110</f>
        <v>-30.859999999998763</v>
      </c>
      <c r="O110" s="51">
        <f>'Quarter demand'!AV110</f>
        <v>-14.910000000000011</v>
      </c>
      <c r="P110" s="51">
        <f>'Quarter demand'!AZ110</f>
        <v>-348.76</v>
      </c>
      <c r="Q110" s="51">
        <f>'Quarter demand'!BD110</f>
        <v>-13.269999999999996</v>
      </c>
      <c r="R110" s="51">
        <f>'Quarter demand'!BH110</f>
        <v>-8.6700000000000017</v>
      </c>
      <c r="S110" s="51">
        <f>'Quarter demand'!BK110</f>
        <v>2426.06</v>
      </c>
      <c r="T110" s="51">
        <f>'Quarter demand'!BT110</f>
        <v>852.31999999999994</v>
      </c>
      <c r="U110" s="51">
        <f>'Quarter final consumption'!B110</f>
        <v>38159.61</v>
      </c>
      <c r="V110" s="51">
        <f>'Quarter final consumption'!J110</f>
        <v>259.24</v>
      </c>
      <c r="W110" s="51">
        <f>'Quarter final consumption'!R110</f>
        <v>5232.3499999999995</v>
      </c>
      <c r="X110" s="51">
        <f>'Quarter final consumption'!Z110</f>
        <v>12732.72</v>
      </c>
      <c r="Y110" s="51">
        <f>'Quarter final consumption'!AF110</f>
        <v>12540.59</v>
      </c>
      <c r="Z110" s="51">
        <f>'Quarter final consumption'!AN110</f>
        <v>6298.39</v>
      </c>
      <c r="AA110" s="51">
        <f>'Quarter final consumption'!AV110</f>
        <v>1689.4399999999998</v>
      </c>
      <c r="AB110" s="51">
        <f>'Quarter final consumption'!BD110</f>
        <v>3840.4700000000003</v>
      </c>
      <c r="AC110" s="51">
        <f>'Quarter final consumption'!BL110</f>
        <v>302.64999999999998</v>
      </c>
      <c r="AD110" s="51">
        <f>'Quarter final consumption'!BT110</f>
        <v>465.83</v>
      </c>
      <c r="AE110" s="51">
        <f>'Quarter final consumption'!CB110</f>
        <v>1096.3200000000002</v>
      </c>
    </row>
    <row r="111" spans="1:31" x14ac:dyDescent="0.35">
      <c r="A111" s="50" t="s">
        <v>511</v>
      </c>
      <c r="B111" s="51">
        <f>'Quarter supply'!B111</f>
        <v>22910</v>
      </c>
      <c r="C111" s="51">
        <f>'Quarter supply'!H111</f>
        <v>33435.920000000006</v>
      </c>
      <c r="D111" s="51">
        <f>'Quarter supply'!P111</f>
        <v>-16948.47</v>
      </c>
      <c r="E111" s="51">
        <f>'Quarter supply'!X111</f>
        <v>-551.02</v>
      </c>
      <c r="F111" s="51">
        <f>'Quarter supply'!Z111</f>
        <v>-171.15999999999997</v>
      </c>
      <c r="G111" s="51">
        <f>'Quarter supply'!AG111</f>
        <v>38675.269999999997</v>
      </c>
      <c r="H111" s="51">
        <f>'Quarter supply'!AP111</f>
        <v>-91.530000000006112</v>
      </c>
      <c r="I111" s="51">
        <f>'Quarter demand'!B111</f>
        <v>38766.800000000003</v>
      </c>
      <c r="J111" s="51">
        <f>'Quarter demand'!K111</f>
        <v>-91.710000000000036</v>
      </c>
      <c r="K111" s="51">
        <f>'Quarter demand'!T111</f>
        <v>-5937.5499999999984</v>
      </c>
      <c r="L111" s="51">
        <f>'Quarter demand'!AD111</f>
        <v>-5126.3099999999995</v>
      </c>
      <c r="M111" s="51">
        <f>'Quarter demand'!AL111</f>
        <v>-229.3</v>
      </c>
      <c r="N111" s="51">
        <f>'Quarter demand'!AS111</f>
        <v>-276.06999999999971</v>
      </c>
      <c r="O111" s="51">
        <f>'Quarter demand'!AV111</f>
        <v>11.26</v>
      </c>
      <c r="P111" s="51">
        <f>'Quarter demand'!AZ111</f>
        <v>-302.48</v>
      </c>
      <c r="Q111" s="51">
        <f>'Quarter demand'!BD111</f>
        <v>-5.8800000000000008</v>
      </c>
      <c r="R111" s="51">
        <f>'Quarter demand'!BH111</f>
        <v>-8.769999999999996</v>
      </c>
      <c r="S111" s="51">
        <f>'Quarter demand'!BK111</f>
        <v>2210.1</v>
      </c>
      <c r="T111" s="51">
        <f>'Quarter demand'!BT111</f>
        <v>608.9</v>
      </c>
      <c r="U111" s="51">
        <f>'Quarter final consumption'!B111</f>
        <v>29912.44</v>
      </c>
      <c r="V111" s="51">
        <f>'Quarter final consumption'!J111</f>
        <v>257.81</v>
      </c>
      <c r="W111" s="51">
        <f>'Quarter final consumption'!R111</f>
        <v>4187.16</v>
      </c>
      <c r="X111" s="51">
        <f>'Quarter final consumption'!Z111</f>
        <v>13914.35</v>
      </c>
      <c r="Y111" s="51">
        <f>'Quarter final consumption'!AF111</f>
        <v>5955.8700000000008</v>
      </c>
      <c r="Z111" s="51">
        <f>'Quarter final consumption'!AN111</f>
        <v>4403.07</v>
      </c>
      <c r="AA111" s="51">
        <f>'Quarter final consumption'!AV111</f>
        <v>1130.1400000000001</v>
      </c>
      <c r="AB111" s="51">
        <f>'Quarter final consumption'!BD111</f>
        <v>2726.4700000000003</v>
      </c>
      <c r="AC111" s="51">
        <f>'Quarter final consumption'!BL111</f>
        <v>326.32</v>
      </c>
      <c r="AD111" s="51">
        <f>'Quarter final consumption'!BT111</f>
        <v>220.14000000000001</v>
      </c>
      <c r="AE111" s="51">
        <f>'Quarter final consumption'!CB111</f>
        <v>1194.1799999999998</v>
      </c>
    </row>
    <row r="112" spans="1:31" x14ac:dyDescent="0.35">
      <c r="A112" s="50" t="s">
        <v>512</v>
      </c>
      <c r="B112" s="51">
        <f>'Quarter supply'!B112</f>
        <v>21739.98</v>
      </c>
      <c r="C112" s="51">
        <f>'Quarter supply'!H112</f>
        <v>32566.520000000004</v>
      </c>
      <c r="D112" s="51">
        <f>'Quarter supply'!P112</f>
        <v>-17099.170000000002</v>
      </c>
      <c r="E112" s="51">
        <f>'Quarter supply'!X112</f>
        <v>-614.19000000000005</v>
      </c>
      <c r="F112" s="51">
        <f>'Quarter supply'!Z112</f>
        <v>-682.70999999999992</v>
      </c>
      <c r="G112" s="51">
        <f>'Quarter supply'!AG112</f>
        <v>35910.429999999993</v>
      </c>
      <c r="H112" s="51">
        <f>'Quarter supply'!AP112</f>
        <v>10.459999999991851</v>
      </c>
      <c r="I112" s="51">
        <f>'Quarter demand'!B112</f>
        <v>35899.97</v>
      </c>
      <c r="J112" s="51">
        <f>'Quarter demand'!K112</f>
        <v>168.51</v>
      </c>
      <c r="K112" s="51">
        <f>'Quarter demand'!T112</f>
        <v>-5678.550000000002</v>
      </c>
      <c r="L112" s="51">
        <f>'Quarter demand'!AD112</f>
        <v>-5190.5400000000009</v>
      </c>
      <c r="M112" s="51">
        <f>'Quarter demand'!AL112</f>
        <v>-202.2</v>
      </c>
      <c r="N112" s="51">
        <f>'Quarter demand'!AS112</f>
        <v>-86.170000000000073</v>
      </c>
      <c r="O112" s="51">
        <f>'Quarter demand'!AV112</f>
        <v>2.0000000000000018E-2</v>
      </c>
      <c r="P112" s="51">
        <f>'Quarter demand'!AZ112</f>
        <v>-187.98000000000002</v>
      </c>
      <c r="Q112" s="51">
        <f>'Quarter demand'!BD112</f>
        <v>-7.5499999999999972</v>
      </c>
      <c r="R112" s="51">
        <f>'Quarter demand'!BH112</f>
        <v>-4.1300000000000097</v>
      </c>
      <c r="S112" s="51">
        <f>'Quarter demand'!BK112</f>
        <v>2189.46</v>
      </c>
      <c r="T112" s="51">
        <f>'Quarter demand'!BT112</f>
        <v>587.15</v>
      </c>
      <c r="U112" s="51">
        <f>'Quarter final consumption'!B112</f>
        <v>27603.22</v>
      </c>
      <c r="V112" s="51">
        <f>'Quarter final consumption'!J112</f>
        <v>199.38</v>
      </c>
      <c r="W112" s="51">
        <f>'Quarter final consumption'!R112</f>
        <v>4120.4400000000005</v>
      </c>
      <c r="X112" s="51">
        <f>'Quarter final consumption'!Z112</f>
        <v>13974.320000000002</v>
      </c>
      <c r="Y112" s="51">
        <f>'Quarter final consumption'!AF112</f>
        <v>4106.84</v>
      </c>
      <c r="Z112" s="51">
        <f>'Quarter final consumption'!AN112</f>
        <v>4023.61</v>
      </c>
      <c r="AA112" s="51">
        <f>'Quarter final consumption'!AV112</f>
        <v>1013.3899999999999</v>
      </c>
      <c r="AB112" s="51">
        <f>'Quarter final consumption'!BD112</f>
        <v>2487.11</v>
      </c>
      <c r="AC112" s="51">
        <f>'Quarter final consumption'!BL112</f>
        <v>364.98</v>
      </c>
      <c r="AD112" s="51">
        <f>'Quarter final consumption'!BT112</f>
        <v>158.13</v>
      </c>
      <c r="AE112" s="51">
        <f>'Quarter final consumption'!CB112</f>
        <v>1178.6299999999999</v>
      </c>
    </row>
    <row r="113" spans="1:31" x14ac:dyDescent="0.35">
      <c r="A113" s="50" t="s">
        <v>514</v>
      </c>
      <c r="B113" s="51">
        <f>'Quarter supply'!B113</f>
        <v>24807.86</v>
      </c>
      <c r="C113" s="51">
        <f>'Quarter supply'!H113</f>
        <v>37143.4</v>
      </c>
      <c r="D113" s="51">
        <f>'Quarter supply'!P113</f>
        <v>-15432.369999999997</v>
      </c>
      <c r="E113" s="51">
        <f>'Quarter supply'!X113</f>
        <v>-469.91</v>
      </c>
      <c r="F113" s="51">
        <f>'Quarter supply'!Z113</f>
        <v>154.60999999999999</v>
      </c>
      <c r="G113" s="51">
        <f>'Quarter supply'!AG113</f>
        <v>46203.59</v>
      </c>
      <c r="H113" s="51">
        <f>'Quarter supply'!AP113</f>
        <v>111.48999999999796</v>
      </c>
      <c r="I113" s="51">
        <f>'Quarter demand'!B113</f>
        <v>46092.1</v>
      </c>
      <c r="J113" s="51">
        <f>'Quarter demand'!K113</f>
        <v>121.23000000000002</v>
      </c>
      <c r="K113" s="51">
        <f>'Quarter demand'!T113</f>
        <v>-6555.07</v>
      </c>
      <c r="L113" s="51">
        <f>'Quarter demand'!AD113</f>
        <v>-5965.4</v>
      </c>
      <c r="M113" s="51">
        <f>'Quarter demand'!AL113</f>
        <v>-296.74000000000007</v>
      </c>
      <c r="N113" s="51">
        <f>'Quarter demand'!AS113</f>
        <v>-225.92000000000007</v>
      </c>
      <c r="O113" s="51">
        <f>'Quarter demand'!AV113</f>
        <v>-0.25</v>
      </c>
      <c r="P113" s="51">
        <f>'Quarter demand'!AZ113</f>
        <v>-66.36</v>
      </c>
      <c r="Q113" s="51">
        <f>'Quarter demand'!BD113</f>
        <v>3.2600000000000033</v>
      </c>
      <c r="R113" s="51">
        <f>'Quarter demand'!BH113</f>
        <v>-3.6599999999999966</v>
      </c>
      <c r="S113" s="51">
        <f>'Quarter demand'!BK113</f>
        <v>2343.09</v>
      </c>
      <c r="T113" s="51">
        <f>'Quarter demand'!BT113</f>
        <v>817.16</v>
      </c>
      <c r="U113" s="51">
        <f>'Quarter final consumption'!B113</f>
        <v>36504.980000000003</v>
      </c>
      <c r="V113" s="51">
        <f>'Quarter final consumption'!J113</f>
        <v>138.70000000000002</v>
      </c>
      <c r="W113" s="51">
        <f>'Quarter final consumption'!R113</f>
        <v>4766.28</v>
      </c>
      <c r="X113" s="51">
        <f>'Quarter final consumption'!Z113</f>
        <v>13394.4</v>
      </c>
      <c r="Y113" s="51">
        <f>'Quarter final consumption'!AF113</f>
        <v>11212.449999999999</v>
      </c>
      <c r="Z113" s="51">
        <f>'Quarter final consumption'!AN113</f>
        <v>5927.64</v>
      </c>
      <c r="AA113" s="51">
        <f>'Quarter final consumption'!AV113</f>
        <v>1536.34</v>
      </c>
      <c r="AB113" s="51">
        <f>'Quarter final consumption'!BD113</f>
        <v>3481.96</v>
      </c>
      <c r="AC113" s="51">
        <f>'Quarter final consumption'!BL113</f>
        <v>391.22</v>
      </c>
      <c r="AD113" s="51">
        <f>'Quarter final consumption'!BT113</f>
        <v>518.12</v>
      </c>
      <c r="AE113" s="51">
        <f>'Quarter final consumption'!CB113</f>
        <v>1065.51</v>
      </c>
    </row>
    <row r="114" spans="1:31" x14ac:dyDescent="0.35">
      <c r="A114" s="50" t="s">
        <v>517</v>
      </c>
      <c r="B114" s="51">
        <f>'Quarter supply'!B114</f>
        <v>25203.09</v>
      </c>
      <c r="C114" s="51">
        <f>'Quarter supply'!H114</f>
        <v>37804.980000000003</v>
      </c>
      <c r="D114" s="51">
        <f>'Quarter supply'!P114</f>
        <v>-14795.279999999999</v>
      </c>
      <c r="E114" s="51">
        <f>'Quarter supply'!X114</f>
        <v>-443.5</v>
      </c>
      <c r="F114" s="51">
        <f>'Quarter supply'!Z114</f>
        <v>1188.9100000000001</v>
      </c>
      <c r="G114" s="51">
        <f>'Quarter supply'!AG114</f>
        <v>48958.200000000012</v>
      </c>
      <c r="H114" s="51">
        <f>'Quarter supply'!AP114</f>
        <v>319.34000000001106</v>
      </c>
      <c r="I114" s="51">
        <f>'Quarter demand'!B114</f>
        <v>48638.86</v>
      </c>
      <c r="J114" s="51">
        <f>'Quarter demand'!K114</f>
        <v>144.11999999999989</v>
      </c>
      <c r="K114" s="51">
        <f>'Quarter demand'!T114</f>
        <v>-6742.6099999999988</v>
      </c>
      <c r="L114" s="51">
        <f>'Quarter demand'!AD114</f>
        <v>-6166.510000000002</v>
      </c>
      <c r="M114" s="51">
        <f>'Quarter demand'!AL114</f>
        <v>-321.91000000000003</v>
      </c>
      <c r="N114" s="51">
        <f>'Quarter demand'!AS114</f>
        <v>-117.81999999999971</v>
      </c>
      <c r="O114" s="51">
        <f>'Quarter demand'!AV114</f>
        <v>0</v>
      </c>
      <c r="P114" s="51">
        <f>'Quarter demand'!AZ114</f>
        <v>-117.53</v>
      </c>
      <c r="Q114" s="51">
        <f>'Quarter demand'!BD114</f>
        <v>-11.7</v>
      </c>
      <c r="R114" s="51">
        <f>'Quarter demand'!BH114</f>
        <v>-7.1400000000000006</v>
      </c>
      <c r="S114" s="51">
        <f>'Quarter demand'!BK114</f>
        <v>2252.88</v>
      </c>
      <c r="T114" s="51">
        <f>'Quarter demand'!BT114</f>
        <v>817.35</v>
      </c>
      <c r="U114" s="51">
        <f>'Quarter final consumption'!B114</f>
        <v>38979.360000000001</v>
      </c>
      <c r="V114" s="51">
        <f>'Quarter final consumption'!J114</f>
        <v>160.51999999999998</v>
      </c>
      <c r="W114" s="51">
        <f>'Quarter final consumption'!R114</f>
        <v>4951.37</v>
      </c>
      <c r="X114" s="51">
        <f>'Quarter final consumption'!Z114</f>
        <v>13011.039999999999</v>
      </c>
      <c r="Y114" s="51">
        <f>'Quarter final consumption'!AF114</f>
        <v>13385.62</v>
      </c>
      <c r="Z114" s="51">
        <f>'Quarter final consumption'!AN114</f>
        <v>6462.0499999999993</v>
      </c>
      <c r="AA114" s="51">
        <f>'Quarter final consumption'!AV114</f>
        <v>1708.8899999999999</v>
      </c>
      <c r="AB114" s="51">
        <f>'Quarter final consumption'!BD114</f>
        <v>3948.42</v>
      </c>
      <c r="AC114" s="51">
        <f>'Quarter final consumption'!BL114</f>
        <v>309.19</v>
      </c>
      <c r="AD114" s="51">
        <f>'Quarter final consumption'!BT114</f>
        <v>495.54999999999995</v>
      </c>
      <c r="AE114" s="51">
        <f>'Quarter final consumption'!CB114</f>
        <v>1008.76</v>
      </c>
    </row>
    <row r="115" spans="1:31" x14ac:dyDescent="0.35">
      <c r="A115" s="50" t="s">
        <v>520</v>
      </c>
      <c r="B115" s="51">
        <f>'Quarter supply'!B115</f>
        <v>23287.09</v>
      </c>
      <c r="C115" s="51">
        <f>'Quarter supply'!H115</f>
        <v>31404.76</v>
      </c>
      <c r="D115" s="51">
        <f>'Quarter supply'!P115</f>
        <v>-17718.12</v>
      </c>
      <c r="E115" s="51">
        <f>'Quarter supply'!X115</f>
        <v>-476.27</v>
      </c>
      <c r="F115" s="51">
        <f>'Quarter supply'!Z115</f>
        <v>410.5</v>
      </c>
      <c r="G115" s="51">
        <f>'Quarter supply'!AG115</f>
        <v>36907.96</v>
      </c>
      <c r="H115" s="51">
        <f>'Quarter supply'!AP115</f>
        <v>-62.940000000002328</v>
      </c>
      <c r="I115" s="51">
        <f>'Quarter demand'!B115</f>
        <v>36970.9</v>
      </c>
      <c r="J115" s="51">
        <f>'Quarter demand'!K115</f>
        <v>-23.550000000000182</v>
      </c>
      <c r="K115" s="51">
        <f>'Quarter demand'!T115</f>
        <v>-5371.9300000000021</v>
      </c>
      <c r="L115" s="51">
        <f>'Quarter demand'!AD115</f>
        <v>-4954.2699999999995</v>
      </c>
      <c r="M115" s="51">
        <f>'Quarter demand'!AL115</f>
        <v>-229.28000000000003</v>
      </c>
      <c r="N115" s="51">
        <f>'Quarter demand'!AS115</f>
        <v>-67.740000000001601</v>
      </c>
      <c r="O115" s="51">
        <f>'Quarter demand'!AV115</f>
        <v>0</v>
      </c>
      <c r="P115" s="51">
        <f>'Quarter demand'!AZ115</f>
        <v>-113.62</v>
      </c>
      <c r="Q115" s="51">
        <f>'Quarter demand'!BD115</f>
        <v>-3.9399999999999995</v>
      </c>
      <c r="R115" s="51">
        <f>'Quarter demand'!BH115</f>
        <v>-3.0799999999999983</v>
      </c>
      <c r="S115" s="51">
        <f>'Quarter demand'!BK115</f>
        <v>2092.19</v>
      </c>
      <c r="T115" s="51">
        <f>'Quarter demand'!BT115</f>
        <v>530</v>
      </c>
      <c r="U115" s="51">
        <f>'Quarter final consumption'!B115</f>
        <v>28947.129999999997</v>
      </c>
      <c r="V115" s="51">
        <f>'Quarter final consumption'!J115</f>
        <v>155.26</v>
      </c>
      <c r="W115" s="51">
        <f>'Quarter final consumption'!R115</f>
        <v>3979.0499999999997</v>
      </c>
      <c r="X115" s="51">
        <f>'Quarter final consumption'!Z115</f>
        <v>14464.4</v>
      </c>
      <c r="Y115" s="51">
        <f>'Quarter final consumption'!AF115</f>
        <v>5077.7800000000007</v>
      </c>
      <c r="Z115" s="51">
        <f>'Quarter final consumption'!AN115</f>
        <v>4268.07</v>
      </c>
      <c r="AA115" s="51">
        <f>'Quarter final consumption'!AV115</f>
        <v>1073.4100000000001</v>
      </c>
      <c r="AB115" s="51">
        <f>'Quarter final consumption'!BD115</f>
        <v>2691.13</v>
      </c>
      <c r="AC115" s="51">
        <f>'Quarter final consumption'!BL115</f>
        <v>309.91000000000003</v>
      </c>
      <c r="AD115" s="51">
        <f>'Quarter final consumption'!BT115</f>
        <v>193.62</v>
      </c>
      <c r="AE115" s="51">
        <f>'Quarter final consumption'!CB115</f>
        <v>1002.57</v>
      </c>
    </row>
    <row r="116" spans="1:31" x14ac:dyDescent="0.35">
      <c r="A116" s="50" t="s">
        <v>522</v>
      </c>
      <c r="B116" s="51">
        <f>'Quarter supply'!B116</f>
        <v>21269.360000000001</v>
      </c>
      <c r="C116" s="51">
        <f>'Quarter supply'!H116</f>
        <v>31609.530000000002</v>
      </c>
      <c r="D116" s="51">
        <f>'Quarter supply'!P116</f>
        <v>-16489.400000000001</v>
      </c>
      <c r="E116" s="51">
        <f>'Quarter supply'!X116</f>
        <v>-588.57000000000005</v>
      </c>
      <c r="F116" s="51">
        <f>'Quarter supply'!Z116</f>
        <v>-321</v>
      </c>
      <c r="G116" s="51">
        <f>'Quarter supply'!AG116</f>
        <v>35479.919999999998</v>
      </c>
      <c r="H116" s="51">
        <f>'Quarter supply'!AP116</f>
        <v>-13.649999999994179</v>
      </c>
      <c r="I116" s="51">
        <f>'Quarter demand'!B116</f>
        <v>35493.569999999992</v>
      </c>
      <c r="J116" s="51">
        <f>'Quarter demand'!K116</f>
        <v>-102.21000000000004</v>
      </c>
      <c r="K116" s="51">
        <f>'Quarter demand'!T116</f>
        <v>-5386.7899999999991</v>
      </c>
      <c r="L116" s="51">
        <f>'Quarter demand'!AD116</f>
        <v>-4909.79</v>
      </c>
      <c r="M116" s="51">
        <f>'Quarter demand'!AL116</f>
        <v>-202.19</v>
      </c>
      <c r="N116" s="51">
        <f>'Quarter demand'!AS116</f>
        <v>-168.77999999999884</v>
      </c>
      <c r="O116" s="51">
        <f>'Quarter demand'!AV116</f>
        <v>0</v>
      </c>
      <c r="P116" s="51">
        <f>'Quarter demand'!AZ116</f>
        <v>-106.55</v>
      </c>
      <c r="Q116" s="51">
        <f>'Quarter demand'!BD116</f>
        <v>3.6199999999999992</v>
      </c>
      <c r="R116" s="51">
        <f>'Quarter demand'!BH116</f>
        <v>-3.1000000000000014</v>
      </c>
      <c r="S116" s="51">
        <f>'Quarter demand'!BK116</f>
        <v>1972.43</v>
      </c>
      <c r="T116" s="51">
        <f>'Quarter demand'!BT116</f>
        <v>546.03</v>
      </c>
      <c r="U116" s="51">
        <f>'Quarter final consumption'!B116</f>
        <v>27476.01</v>
      </c>
      <c r="V116" s="51">
        <f>'Quarter final consumption'!J116</f>
        <v>133.72999999999999</v>
      </c>
      <c r="W116" s="51">
        <f>'Quarter final consumption'!R116</f>
        <v>4017.79</v>
      </c>
      <c r="X116" s="51">
        <f>'Quarter final consumption'!Z116</f>
        <v>14278.47</v>
      </c>
      <c r="Y116" s="51">
        <f>'Quarter final consumption'!AF116</f>
        <v>3903.6499999999996</v>
      </c>
      <c r="Z116" s="51">
        <f>'Quarter final consumption'!AN116</f>
        <v>4051.94</v>
      </c>
      <c r="AA116" s="51">
        <f>'Quarter final consumption'!AV116</f>
        <v>996.99</v>
      </c>
      <c r="AB116" s="51">
        <f>'Quarter final consumption'!BD116</f>
        <v>2535.1400000000003</v>
      </c>
      <c r="AC116" s="51">
        <f>'Quarter final consumption'!BL116</f>
        <v>363.67000000000007</v>
      </c>
      <c r="AD116" s="51">
        <f>'Quarter final consumption'!BT116</f>
        <v>156.14000000000001</v>
      </c>
      <c r="AE116" s="51">
        <f>'Quarter final consumption'!CB116</f>
        <v>1090.43</v>
      </c>
    </row>
    <row r="117" spans="1:31" x14ac:dyDescent="0.35">
      <c r="A117" s="50" t="s">
        <v>523</v>
      </c>
      <c r="B117" s="51">
        <f>'Quarter supply'!B117</f>
        <v>24237.11</v>
      </c>
      <c r="C117" s="51">
        <f>'Quarter supply'!H117</f>
        <v>35327.42</v>
      </c>
      <c r="D117" s="51">
        <f>'Quarter supply'!P117</f>
        <v>-13964.19</v>
      </c>
      <c r="E117" s="51">
        <f>'Quarter supply'!X117</f>
        <v>-411.4</v>
      </c>
      <c r="F117" s="51">
        <f>'Quarter supply'!Z117</f>
        <v>-288.40999999999997</v>
      </c>
      <c r="G117" s="51">
        <f>'Quarter supply'!AG117</f>
        <v>44900.530000000006</v>
      </c>
      <c r="H117" s="51">
        <f>'Quarter supply'!AP117</f>
        <v>-302.72999999998865</v>
      </c>
      <c r="I117" s="51">
        <f>'Quarter demand'!B117</f>
        <v>45203.259999999995</v>
      </c>
      <c r="J117" s="51">
        <f>'Quarter demand'!K117</f>
        <v>-52.960000000000036</v>
      </c>
      <c r="K117" s="51">
        <f>'Quarter demand'!T117</f>
        <v>-5858.7799999999988</v>
      </c>
      <c r="L117" s="51">
        <f>'Quarter demand'!AD117</f>
        <v>-5345.5400000000009</v>
      </c>
      <c r="M117" s="51">
        <f>'Quarter demand'!AL117</f>
        <v>-296.71999999999997</v>
      </c>
      <c r="N117" s="51">
        <f>'Quarter demand'!AS117</f>
        <v>-102.90999999999985</v>
      </c>
      <c r="O117" s="51">
        <f>'Quarter demand'!AV117</f>
        <v>0</v>
      </c>
      <c r="P117" s="51">
        <f>'Quarter demand'!AZ117</f>
        <v>-114.58</v>
      </c>
      <c r="Q117" s="51">
        <f>'Quarter demand'!BD117</f>
        <v>8.57</v>
      </c>
      <c r="R117" s="51">
        <f>'Quarter demand'!BH117</f>
        <v>-7.5999999999999943</v>
      </c>
      <c r="S117" s="51">
        <f>'Quarter demand'!BK117</f>
        <v>2156.7199999999998</v>
      </c>
      <c r="T117" s="51">
        <f>'Quarter demand'!BT117</f>
        <v>864.18</v>
      </c>
      <c r="U117" s="51">
        <f>'Quarter final consumption'!B117</f>
        <v>36277.590000000004</v>
      </c>
      <c r="V117" s="51">
        <f>'Quarter final consumption'!J117</f>
        <v>123.18</v>
      </c>
      <c r="W117" s="51">
        <f>'Quarter final consumption'!R117</f>
        <v>4468.4800000000005</v>
      </c>
      <c r="X117" s="51">
        <f>'Quarter final consumption'!Z117</f>
        <v>13570.05</v>
      </c>
      <c r="Y117" s="51">
        <f>'Quarter final consumption'!AF117</f>
        <v>11195.789999999999</v>
      </c>
      <c r="Z117" s="51">
        <f>'Quarter final consumption'!AN117</f>
        <v>5805.11</v>
      </c>
      <c r="AA117" s="51">
        <f>'Quarter final consumption'!AV117</f>
        <v>1483.97</v>
      </c>
      <c r="AB117" s="51">
        <f>'Quarter final consumption'!BD117</f>
        <v>3467.3199999999997</v>
      </c>
      <c r="AC117" s="51">
        <f>'Quarter final consumption'!BL117</f>
        <v>377.09000000000003</v>
      </c>
      <c r="AD117" s="51">
        <f>'Quarter final consumption'!BT117</f>
        <v>476.73</v>
      </c>
      <c r="AE117" s="51">
        <f>'Quarter final consumption'!CB117</f>
        <v>1114.98</v>
      </c>
    </row>
    <row r="119" spans="1:31" x14ac:dyDescent="0.35">
      <c r="B119" s="233"/>
    </row>
    <row r="121" spans="1:31" x14ac:dyDescent="0.35">
      <c r="B121" s="235"/>
    </row>
  </sheetData>
  <pageMargins left="0.74803149606299213" right="0.74803149606299213" top="0.98425196850393704" bottom="0.98425196850393704" header="0.51181102362204722" footer="0.51181102362204722"/>
  <pageSetup paperSize="9" scale="24" orientation="landscape" r:id="rId1"/>
  <headerFooter alignWithMargins="0"/>
  <ignoredErrors>
    <ignoredError sqref="U101:AE101" calculatedColumn="1"/>
  </ignoredError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127C-43C4-4792-ADD3-10519814019A}">
  <dimension ref="A1:BG120"/>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2.5" x14ac:dyDescent="0.25"/>
  <cols>
    <col min="1" max="1" width="27.81640625" style="19" customWidth="1"/>
    <col min="2" max="2" width="15.81640625" style="19" bestFit="1" customWidth="1"/>
    <col min="3" max="3" width="8.7265625" style="19"/>
    <col min="4" max="4" width="12.7265625" style="19" customWidth="1"/>
    <col min="5" max="5" width="13.54296875" style="19" customWidth="1"/>
    <col min="6" max="6" width="22.453125" style="19" customWidth="1"/>
    <col min="7" max="7" width="18" style="19" customWidth="1"/>
    <col min="8" max="8" width="15.1796875" style="19" customWidth="1"/>
    <col min="9" max="9" width="8.7265625" style="19" customWidth="1"/>
    <col min="10" max="10" width="21" style="19" customWidth="1"/>
    <col min="11" max="11" width="13.81640625" style="19" customWidth="1"/>
    <col min="12" max="12" width="12.453125" style="19" customWidth="1"/>
    <col min="13" max="13" width="14.7265625" style="19" customWidth="1"/>
    <col min="14" max="14" width="23.54296875" style="19" customWidth="1"/>
    <col min="15" max="15" width="11.54296875" style="19" customWidth="1"/>
    <col min="16" max="16" width="14.81640625" style="19" customWidth="1"/>
    <col min="17" max="17" width="8.7265625" style="19" customWidth="1"/>
    <col min="18" max="18" width="22.1796875" style="19" customWidth="1"/>
    <col min="19" max="19" width="13.81640625" style="19" customWidth="1"/>
    <col min="20" max="20" width="13.54296875" style="19" customWidth="1"/>
    <col min="21" max="21" width="11.54296875" style="19" customWidth="1"/>
    <col min="22" max="22" width="19.1796875" style="19" customWidth="1"/>
    <col min="23" max="23" width="13.81640625" style="19" customWidth="1"/>
    <col min="24" max="24" width="22.54296875" style="19" customWidth="1"/>
    <col min="25" max="25" width="14.54296875" style="19" customWidth="1"/>
    <col min="26" max="26" width="19.81640625" style="19" customWidth="1"/>
    <col min="27" max="27" width="9.54296875" style="19" customWidth="1"/>
    <col min="28" max="28" width="18.1796875" style="19" customWidth="1"/>
    <col min="29" max="29" width="14.81640625" style="19" customWidth="1"/>
    <col min="30" max="30" width="14.54296875" style="19" customWidth="1"/>
    <col min="31" max="31" width="12.1796875" style="19" customWidth="1"/>
    <col min="32" max="32" width="18.81640625" style="19" customWidth="1"/>
    <col min="33" max="33" width="21.81640625" style="19" customWidth="1"/>
    <col min="34" max="34" width="9.54296875" style="19" customWidth="1"/>
    <col min="35" max="35" width="17.81640625" style="19" customWidth="1"/>
    <col min="36" max="36" width="14.81640625" style="19" customWidth="1"/>
    <col min="37" max="37" width="14.54296875" style="19" customWidth="1"/>
    <col min="38" max="38" width="11.1796875" style="19" customWidth="1"/>
    <col min="39" max="39" width="19.453125" style="19" customWidth="1"/>
    <col min="40" max="40" width="21.54296875" style="19" customWidth="1"/>
    <col min="41" max="41" width="13.81640625" style="19" customWidth="1"/>
    <col min="42" max="42" width="26.453125" style="19" customWidth="1"/>
    <col min="43" max="43" width="9.54296875" style="19" customWidth="1"/>
    <col min="44" max="44" width="23.26953125" style="19" customWidth="1"/>
    <col min="45" max="45" width="14.81640625" style="19" customWidth="1"/>
    <col min="46" max="46" width="14.54296875" style="19" customWidth="1"/>
    <col min="47" max="47" width="15.81640625" style="19" customWidth="1"/>
    <col min="48" max="48" width="24.54296875" style="19" customWidth="1"/>
    <col min="49" max="49" width="21.54296875" style="19" customWidth="1"/>
    <col min="50" max="50" width="13.81640625" style="19" customWidth="1"/>
    <col min="51" max="51" width="23.453125" style="19" customWidth="1"/>
    <col min="52" max="52" width="9.54296875" style="19" customWidth="1"/>
    <col min="53" max="53" width="18.54296875" style="19" customWidth="1"/>
    <col min="54" max="54" width="14.81640625" style="19" customWidth="1"/>
    <col min="55" max="55" width="14.54296875" style="19" customWidth="1"/>
    <col min="56" max="56" width="10.7265625" style="19" customWidth="1"/>
    <col min="57" max="57" width="19.26953125" style="19" customWidth="1"/>
    <col min="58" max="58" width="21.54296875" style="19" customWidth="1"/>
    <col min="59" max="59" width="13.81640625" style="19" customWidth="1"/>
    <col min="60" max="248" width="8.7265625" style="19"/>
    <col min="249" max="249" width="7.453125" style="19" customWidth="1"/>
    <col min="250" max="250" width="6.26953125" style="19" customWidth="1"/>
    <col min="251" max="251" width="3.26953125" style="19" customWidth="1"/>
    <col min="252" max="257" width="8.7265625" style="19"/>
    <col min="258" max="258" width="3.26953125" style="19" customWidth="1"/>
    <col min="259" max="266" width="8.7265625" style="19"/>
    <col min="267" max="267" width="3.26953125" style="19" customWidth="1"/>
    <col min="268" max="275" width="8.7265625" style="19"/>
    <col min="276" max="276" width="3.26953125" style="19" customWidth="1"/>
    <col min="277" max="278" width="8.7265625" style="19"/>
    <col min="279" max="279" width="3.26953125" style="19" customWidth="1"/>
    <col min="280" max="286" width="8.7265625" style="19"/>
    <col min="287" max="287" width="3.26953125" style="19" customWidth="1"/>
    <col min="288" max="296" width="8.7265625" style="19"/>
    <col min="297" max="297" width="3.26953125" style="19" customWidth="1"/>
    <col min="298" max="303" width="8.7265625" style="19"/>
    <col min="304" max="304" width="10.54296875" style="19" customWidth="1"/>
    <col min="305" max="306" width="8.7265625" style="19"/>
    <col min="307" max="307" width="3.26953125" style="19" customWidth="1"/>
    <col min="308" max="504" width="8.7265625" style="19"/>
    <col min="505" max="505" width="7.453125" style="19" customWidth="1"/>
    <col min="506" max="506" width="6.26953125" style="19" customWidth="1"/>
    <col min="507" max="507" width="3.26953125" style="19" customWidth="1"/>
    <col min="508" max="513" width="8.7265625" style="19"/>
    <col min="514" max="514" width="3.26953125" style="19" customWidth="1"/>
    <col min="515" max="522" width="8.7265625" style="19"/>
    <col min="523" max="523" width="3.26953125" style="19" customWidth="1"/>
    <col min="524" max="531" width="8.7265625" style="19"/>
    <col min="532" max="532" width="3.26953125" style="19" customWidth="1"/>
    <col min="533" max="534" width="8.7265625" style="19"/>
    <col min="535" max="535" width="3.26953125" style="19" customWidth="1"/>
    <col min="536" max="542" width="8.7265625" style="19"/>
    <col min="543" max="543" width="3.26953125" style="19" customWidth="1"/>
    <col min="544" max="552" width="8.7265625" style="19"/>
    <col min="553" max="553" width="3.26953125" style="19" customWidth="1"/>
    <col min="554" max="559" width="8.7265625" style="19"/>
    <col min="560" max="560" width="10.54296875" style="19" customWidth="1"/>
    <col min="561" max="562" width="8.7265625" style="19"/>
    <col min="563" max="563" width="3.26953125" style="19" customWidth="1"/>
    <col min="564" max="760" width="8.7265625" style="19"/>
    <col min="761" max="761" width="7.453125" style="19" customWidth="1"/>
    <col min="762" max="762" width="6.26953125" style="19" customWidth="1"/>
    <col min="763" max="763" width="3.26953125" style="19" customWidth="1"/>
    <col min="764" max="769" width="8.7265625" style="19"/>
    <col min="770" max="770" width="3.26953125" style="19" customWidth="1"/>
    <col min="771" max="778" width="8.7265625" style="19"/>
    <col min="779" max="779" width="3.26953125" style="19" customWidth="1"/>
    <col min="780" max="787" width="8.7265625" style="19"/>
    <col min="788" max="788" width="3.26953125" style="19" customWidth="1"/>
    <col min="789" max="790" width="8.7265625" style="19"/>
    <col min="791" max="791" width="3.26953125" style="19" customWidth="1"/>
    <col min="792" max="798" width="8.7265625" style="19"/>
    <col min="799" max="799" width="3.26953125" style="19" customWidth="1"/>
    <col min="800" max="808" width="8.7265625" style="19"/>
    <col min="809" max="809" width="3.26953125" style="19" customWidth="1"/>
    <col min="810" max="815" width="8.7265625" style="19"/>
    <col min="816" max="816" width="10.54296875" style="19" customWidth="1"/>
    <col min="817" max="818" width="8.7265625" style="19"/>
    <col min="819" max="819" width="3.26953125" style="19" customWidth="1"/>
    <col min="820" max="1016" width="8.7265625" style="19"/>
    <col min="1017" max="1017" width="7.453125" style="19" customWidth="1"/>
    <col min="1018" max="1018" width="6.26953125" style="19" customWidth="1"/>
    <col min="1019" max="1019" width="3.26953125" style="19" customWidth="1"/>
    <col min="1020" max="1025" width="8.7265625" style="19"/>
    <col min="1026" max="1026" width="3.26953125" style="19" customWidth="1"/>
    <col min="1027" max="1034" width="8.7265625" style="19"/>
    <col min="1035" max="1035" width="3.26953125" style="19" customWidth="1"/>
    <col min="1036" max="1043" width="8.7265625" style="19"/>
    <col min="1044" max="1044" width="3.26953125" style="19" customWidth="1"/>
    <col min="1045" max="1046" width="8.7265625" style="19"/>
    <col min="1047" max="1047" width="3.26953125" style="19" customWidth="1"/>
    <col min="1048" max="1054" width="8.7265625" style="19"/>
    <col min="1055" max="1055" width="3.26953125" style="19" customWidth="1"/>
    <col min="1056" max="1064" width="8.7265625" style="19"/>
    <col min="1065" max="1065" width="3.26953125" style="19" customWidth="1"/>
    <col min="1066" max="1071" width="8.7265625" style="19"/>
    <col min="1072" max="1072" width="10.54296875" style="19" customWidth="1"/>
    <col min="1073" max="1074" width="8.7265625" style="19"/>
    <col min="1075" max="1075" width="3.26953125" style="19" customWidth="1"/>
    <col min="1076" max="1272" width="8.7265625" style="19"/>
    <col min="1273" max="1273" width="7.453125" style="19" customWidth="1"/>
    <col min="1274" max="1274" width="6.26953125" style="19" customWidth="1"/>
    <col min="1275" max="1275" width="3.26953125" style="19" customWidth="1"/>
    <col min="1276" max="1281" width="8.7265625" style="19"/>
    <col min="1282" max="1282" width="3.26953125" style="19" customWidth="1"/>
    <col min="1283" max="1290" width="8.7265625" style="19"/>
    <col min="1291" max="1291" width="3.26953125" style="19" customWidth="1"/>
    <col min="1292" max="1299" width="8.7265625" style="19"/>
    <col min="1300" max="1300" width="3.26953125" style="19" customWidth="1"/>
    <col min="1301" max="1302" width="8.7265625" style="19"/>
    <col min="1303" max="1303" width="3.26953125" style="19" customWidth="1"/>
    <col min="1304" max="1310" width="8.7265625" style="19"/>
    <col min="1311" max="1311" width="3.26953125" style="19" customWidth="1"/>
    <col min="1312" max="1320" width="8.7265625" style="19"/>
    <col min="1321" max="1321" width="3.26953125" style="19" customWidth="1"/>
    <col min="1322" max="1327" width="8.7265625" style="19"/>
    <col min="1328" max="1328" width="10.54296875" style="19" customWidth="1"/>
    <col min="1329" max="1330" width="8.7265625" style="19"/>
    <col min="1331" max="1331" width="3.26953125" style="19" customWidth="1"/>
    <col min="1332" max="1528" width="8.7265625" style="19"/>
    <col min="1529" max="1529" width="7.453125" style="19" customWidth="1"/>
    <col min="1530" max="1530" width="6.26953125" style="19" customWidth="1"/>
    <col min="1531" max="1531" width="3.26953125" style="19" customWidth="1"/>
    <col min="1532" max="1537" width="8.7265625" style="19"/>
    <col min="1538" max="1538" width="3.26953125" style="19" customWidth="1"/>
    <col min="1539" max="1546" width="8.7265625" style="19"/>
    <col min="1547" max="1547" width="3.26953125" style="19" customWidth="1"/>
    <col min="1548" max="1555" width="8.7265625" style="19"/>
    <col min="1556" max="1556" width="3.26953125" style="19" customWidth="1"/>
    <col min="1557" max="1558" width="8.7265625" style="19"/>
    <col min="1559" max="1559" width="3.26953125" style="19" customWidth="1"/>
    <col min="1560" max="1566" width="8.7265625" style="19"/>
    <col min="1567" max="1567" width="3.26953125" style="19" customWidth="1"/>
    <col min="1568" max="1576" width="8.7265625" style="19"/>
    <col min="1577" max="1577" width="3.26953125" style="19" customWidth="1"/>
    <col min="1578" max="1583" width="8.7265625" style="19"/>
    <col min="1584" max="1584" width="10.54296875" style="19" customWidth="1"/>
    <col min="1585" max="1586" width="8.7265625" style="19"/>
    <col min="1587" max="1587" width="3.26953125" style="19" customWidth="1"/>
    <col min="1588" max="1784" width="8.7265625" style="19"/>
    <col min="1785" max="1785" width="7.453125" style="19" customWidth="1"/>
    <col min="1786" max="1786" width="6.26953125" style="19" customWidth="1"/>
    <col min="1787" max="1787" width="3.26953125" style="19" customWidth="1"/>
    <col min="1788" max="1793" width="8.7265625" style="19"/>
    <col min="1794" max="1794" width="3.26953125" style="19" customWidth="1"/>
    <col min="1795" max="1802" width="8.7265625" style="19"/>
    <col min="1803" max="1803" width="3.26953125" style="19" customWidth="1"/>
    <col min="1804" max="1811" width="8.7265625" style="19"/>
    <col min="1812" max="1812" width="3.26953125" style="19" customWidth="1"/>
    <col min="1813" max="1814" width="8.7265625" style="19"/>
    <col min="1815" max="1815" width="3.26953125" style="19" customWidth="1"/>
    <col min="1816" max="1822" width="8.7265625" style="19"/>
    <col min="1823" max="1823" width="3.26953125" style="19" customWidth="1"/>
    <col min="1824" max="1832" width="8.7265625" style="19"/>
    <col min="1833" max="1833" width="3.26953125" style="19" customWidth="1"/>
    <col min="1834" max="1839" width="8.7265625" style="19"/>
    <col min="1840" max="1840" width="10.54296875" style="19" customWidth="1"/>
    <col min="1841" max="1842" width="8.7265625" style="19"/>
    <col min="1843" max="1843" width="3.26953125" style="19" customWidth="1"/>
    <col min="1844" max="2040" width="8.7265625" style="19"/>
    <col min="2041" max="2041" width="7.453125" style="19" customWidth="1"/>
    <col min="2042" max="2042" width="6.26953125" style="19" customWidth="1"/>
    <col min="2043" max="2043" width="3.26953125" style="19" customWidth="1"/>
    <col min="2044" max="2049" width="8.7265625" style="19"/>
    <col min="2050" max="2050" width="3.26953125" style="19" customWidth="1"/>
    <col min="2051" max="2058" width="8.7265625" style="19"/>
    <col min="2059" max="2059" width="3.26953125" style="19" customWidth="1"/>
    <col min="2060" max="2067" width="8.7265625" style="19"/>
    <col min="2068" max="2068" width="3.26953125" style="19" customWidth="1"/>
    <col min="2069" max="2070" width="8.7265625" style="19"/>
    <col min="2071" max="2071" width="3.26953125" style="19" customWidth="1"/>
    <col min="2072" max="2078" width="8.7265625" style="19"/>
    <col min="2079" max="2079" width="3.26953125" style="19" customWidth="1"/>
    <col min="2080" max="2088" width="8.7265625" style="19"/>
    <col min="2089" max="2089" width="3.26953125" style="19" customWidth="1"/>
    <col min="2090" max="2095" width="8.7265625" style="19"/>
    <col min="2096" max="2096" width="10.54296875" style="19" customWidth="1"/>
    <col min="2097" max="2098" width="8.7265625" style="19"/>
    <col min="2099" max="2099" width="3.26953125" style="19" customWidth="1"/>
    <col min="2100" max="2296" width="8.7265625" style="19"/>
    <col min="2297" max="2297" width="7.453125" style="19" customWidth="1"/>
    <col min="2298" max="2298" width="6.26953125" style="19" customWidth="1"/>
    <col min="2299" max="2299" width="3.26953125" style="19" customWidth="1"/>
    <col min="2300" max="2305" width="8.7265625" style="19"/>
    <col min="2306" max="2306" width="3.26953125" style="19" customWidth="1"/>
    <col min="2307" max="2314" width="8.7265625" style="19"/>
    <col min="2315" max="2315" width="3.26953125" style="19" customWidth="1"/>
    <col min="2316" max="2323" width="8.7265625" style="19"/>
    <col min="2324" max="2324" width="3.26953125" style="19" customWidth="1"/>
    <col min="2325" max="2326" width="8.7265625" style="19"/>
    <col min="2327" max="2327" width="3.26953125" style="19" customWidth="1"/>
    <col min="2328" max="2334" width="8.7265625" style="19"/>
    <col min="2335" max="2335" width="3.26953125" style="19" customWidth="1"/>
    <col min="2336" max="2344" width="8.7265625" style="19"/>
    <col min="2345" max="2345" width="3.26953125" style="19" customWidth="1"/>
    <col min="2346" max="2351" width="8.7265625" style="19"/>
    <col min="2352" max="2352" width="10.54296875" style="19" customWidth="1"/>
    <col min="2353" max="2354" width="8.7265625" style="19"/>
    <col min="2355" max="2355" width="3.26953125" style="19" customWidth="1"/>
    <col min="2356" max="2552" width="8.7265625" style="19"/>
    <col min="2553" max="2553" width="7.453125" style="19" customWidth="1"/>
    <col min="2554" max="2554" width="6.26953125" style="19" customWidth="1"/>
    <col min="2555" max="2555" width="3.26953125" style="19" customWidth="1"/>
    <col min="2556" max="2561" width="8.7265625" style="19"/>
    <col min="2562" max="2562" width="3.26953125" style="19" customWidth="1"/>
    <col min="2563" max="2570" width="8.7265625" style="19"/>
    <col min="2571" max="2571" width="3.26953125" style="19" customWidth="1"/>
    <col min="2572" max="2579" width="8.7265625" style="19"/>
    <col min="2580" max="2580" width="3.26953125" style="19" customWidth="1"/>
    <col min="2581" max="2582" width="8.7265625" style="19"/>
    <col min="2583" max="2583" width="3.26953125" style="19" customWidth="1"/>
    <col min="2584" max="2590" width="8.7265625" style="19"/>
    <col min="2591" max="2591" width="3.26953125" style="19" customWidth="1"/>
    <col min="2592" max="2600" width="8.7265625" style="19"/>
    <col min="2601" max="2601" width="3.26953125" style="19" customWidth="1"/>
    <col min="2602" max="2607" width="8.7265625" style="19"/>
    <col min="2608" max="2608" width="10.54296875" style="19" customWidth="1"/>
    <col min="2609" max="2610" width="8.7265625" style="19"/>
    <col min="2611" max="2611" width="3.26953125" style="19" customWidth="1"/>
    <col min="2612" max="2808" width="8.7265625" style="19"/>
    <col min="2809" max="2809" width="7.453125" style="19" customWidth="1"/>
    <col min="2810" max="2810" width="6.26953125" style="19" customWidth="1"/>
    <col min="2811" max="2811" width="3.26953125" style="19" customWidth="1"/>
    <col min="2812" max="2817" width="8.7265625" style="19"/>
    <col min="2818" max="2818" width="3.26953125" style="19" customWidth="1"/>
    <col min="2819" max="2826" width="8.7265625" style="19"/>
    <col min="2827" max="2827" width="3.26953125" style="19" customWidth="1"/>
    <col min="2828" max="2835" width="8.7265625" style="19"/>
    <col min="2836" max="2836" width="3.26953125" style="19" customWidth="1"/>
    <col min="2837" max="2838" width="8.7265625" style="19"/>
    <col min="2839" max="2839" width="3.26953125" style="19" customWidth="1"/>
    <col min="2840" max="2846" width="8.7265625" style="19"/>
    <col min="2847" max="2847" width="3.26953125" style="19" customWidth="1"/>
    <col min="2848" max="2856" width="8.7265625" style="19"/>
    <col min="2857" max="2857" width="3.26953125" style="19" customWidth="1"/>
    <col min="2858" max="2863" width="8.7265625" style="19"/>
    <col min="2864" max="2864" width="10.54296875" style="19" customWidth="1"/>
    <col min="2865" max="2866" width="8.7265625" style="19"/>
    <col min="2867" max="2867" width="3.26953125" style="19" customWidth="1"/>
    <col min="2868" max="3064" width="8.7265625" style="19"/>
    <col min="3065" max="3065" width="7.453125" style="19" customWidth="1"/>
    <col min="3066" max="3066" width="6.26953125" style="19" customWidth="1"/>
    <col min="3067" max="3067" width="3.26953125" style="19" customWidth="1"/>
    <col min="3068" max="3073" width="8.7265625" style="19"/>
    <col min="3074" max="3074" width="3.26953125" style="19" customWidth="1"/>
    <col min="3075" max="3082" width="8.7265625" style="19"/>
    <col min="3083" max="3083" width="3.26953125" style="19" customWidth="1"/>
    <col min="3084" max="3091" width="8.7265625" style="19"/>
    <col min="3092" max="3092" width="3.26953125" style="19" customWidth="1"/>
    <col min="3093" max="3094" width="8.7265625" style="19"/>
    <col min="3095" max="3095" width="3.26953125" style="19" customWidth="1"/>
    <col min="3096" max="3102" width="8.7265625" style="19"/>
    <col min="3103" max="3103" width="3.26953125" style="19" customWidth="1"/>
    <col min="3104" max="3112" width="8.7265625" style="19"/>
    <col min="3113" max="3113" width="3.26953125" style="19" customWidth="1"/>
    <col min="3114" max="3119" width="8.7265625" style="19"/>
    <col min="3120" max="3120" width="10.54296875" style="19" customWidth="1"/>
    <col min="3121" max="3122" width="8.7265625" style="19"/>
    <col min="3123" max="3123" width="3.26953125" style="19" customWidth="1"/>
    <col min="3124" max="3320" width="8.7265625" style="19"/>
    <col min="3321" max="3321" width="7.453125" style="19" customWidth="1"/>
    <col min="3322" max="3322" width="6.26953125" style="19" customWidth="1"/>
    <col min="3323" max="3323" width="3.26953125" style="19" customWidth="1"/>
    <col min="3324" max="3329" width="8.7265625" style="19"/>
    <col min="3330" max="3330" width="3.26953125" style="19" customWidth="1"/>
    <col min="3331" max="3338" width="8.7265625" style="19"/>
    <col min="3339" max="3339" width="3.26953125" style="19" customWidth="1"/>
    <col min="3340" max="3347" width="8.7265625" style="19"/>
    <col min="3348" max="3348" width="3.26953125" style="19" customWidth="1"/>
    <col min="3349" max="3350" width="8.7265625" style="19"/>
    <col min="3351" max="3351" width="3.26953125" style="19" customWidth="1"/>
    <col min="3352" max="3358" width="8.7265625" style="19"/>
    <col min="3359" max="3359" width="3.26953125" style="19" customWidth="1"/>
    <col min="3360" max="3368" width="8.7265625" style="19"/>
    <col min="3369" max="3369" width="3.26953125" style="19" customWidth="1"/>
    <col min="3370" max="3375" width="8.7265625" style="19"/>
    <col min="3376" max="3376" width="10.54296875" style="19" customWidth="1"/>
    <col min="3377" max="3378" width="8.7265625" style="19"/>
    <col min="3379" max="3379" width="3.26953125" style="19" customWidth="1"/>
    <col min="3380" max="3576" width="8.7265625" style="19"/>
    <col min="3577" max="3577" width="7.453125" style="19" customWidth="1"/>
    <col min="3578" max="3578" width="6.26953125" style="19" customWidth="1"/>
    <col min="3579" max="3579" width="3.26953125" style="19" customWidth="1"/>
    <col min="3580" max="3585" width="8.7265625" style="19"/>
    <col min="3586" max="3586" width="3.26953125" style="19" customWidth="1"/>
    <col min="3587" max="3594" width="8.7265625" style="19"/>
    <col min="3595" max="3595" width="3.26953125" style="19" customWidth="1"/>
    <col min="3596" max="3603" width="8.7265625" style="19"/>
    <col min="3604" max="3604" width="3.26953125" style="19" customWidth="1"/>
    <col min="3605" max="3606" width="8.7265625" style="19"/>
    <col min="3607" max="3607" width="3.26953125" style="19" customWidth="1"/>
    <col min="3608" max="3614" width="8.7265625" style="19"/>
    <col min="3615" max="3615" width="3.26953125" style="19" customWidth="1"/>
    <col min="3616" max="3624" width="8.7265625" style="19"/>
    <col min="3625" max="3625" width="3.26953125" style="19" customWidth="1"/>
    <col min="3626" max="3631" width="8.7265625" style="19"/>
    <col min="3632" max="3632" width="10.54296875" style="19" customWidth="1"/>
    <col min="3633" max="3634" width="8.7265625" style="19"/>
    <col min="3635" max="3635" width="3.26953125" style="19" customWidth="1"/>
    <col min="3636" max="3832" width="8.7265625" style="19"/>
    <col min="3833" max="3833" width="7.453125" style="19" customWidth="1"/>
    <col min="3834" max="3834" width="6.26953125" style="19" customWidth="1"/>
    <col min="3835" max="3835" width="3.26953125" style="19" customWidth="1"/>
    <col min="3836" max="3841" width="8.7265625" style="19"/>
    <col min="3842" max="3842" width="3.26953125" style="19" customWidth="1"/>
    <col min="3843" max="3850" width="8.7265625" style="19"/>
    <col min="3851" max="3851" width="3.26953125" style="19" customWidth="1"/>
    <col min="3852" max="3859" width="8.7265625" style="19"/>
    <col min="3860" max="3860" width="3.26953125" style="19" customWidth="1"/>
    <col min="3861" max="3862" width="8.7265625" style="19"/>
    <col min="3863" max="3863" width="3.26953125" style="19" customWidth="1"/>
    <col min="3864" max="3870" width="8.7265625" style="19"/>
    <col min="3871" max="3871" width="3.26953125" style="19" customWidth="1"/>
    <col min="3872" max="3880" width="8.7265625" style="19"/>
    <col min="3881" max="3881" width="3.26953125" style="19" customWidth="1"/>
    <col min="3882" max="3887" width="8.7265625" style="19"/>
    <col min="3888" max="3888" width="10.54296875" style="19" customWidth="1"/>
    <col min="3889" max="3890" width="8.7265625" style="19"/>
    <col min="3891" max="3891" width="3.26953125" style="19" customWidth="1"/>
    <col min="3892" max="4088" width="8.7265625" style="19"/>
    <col min="4089" max="4089" width="7.453125" style="19" customWidth="1"/>
    <col min="4090" max="4090" width="6.26953125" style="19" customWidth="1"/>
    <col min="4091" max="4091" width="3.26953125" style="19" customWidth="1"/>
    <col min="4092" max="4097" width="8.7265625" style="19"/>
    <col min="4098" max="4098" width="3.26953125" style="19" customWidth="1"/>
    <col min="4099" max="4106" width="8.7265625" style="19"/>
    <col min="4107" max="4107" width="3.26953125" style="19" customWidth="1"/>
    <col min="4108" max="4115" width="8.7265625" style="19"/>
    <col min="4116" max="4116" width="3.26953125" style="19" customWidth="1"/>
    <col min="4117" max="4118" width="8.7265625" style="19"/>
    <col min="4119" max="4119" width="3.26953125" style="19" customWidth="1"/>
    <col min="4120" max="4126" width="8.7265625" style="19"/>
    <col min="4127" max="4127" width="3.26953125" style="19" customWidth="1"/>
    <col min="4128" max="4136" width="8.7265625" style="19"/>
    <col min="4137" max="4137" width="3.26953125" style="19" customWidth="1"/>
    <col min="4138" max="4143" width="8.7265625" style="19"/>
    <col min="4144" max="4144" width="10.54296875" style="19" customWidth="1"/>
    <col min="4145" max="4146" width="8.7265625" style="19"/>
    <col min="4147" max="4147" width="3.26953125" style="19" customWidth="1"/>
    <col min="4148" max="4344" width="8.7265625" style="19"/>
    <col min="4345" max="4345" width="7.453125" style="19" customWidth="1"/>
    <col min="4346" max="4346" width="6.26953125" style="19" customWidth="1"/>
    <col min="4347" max="4347" width="3.26953125" style="19" customWidth="1"/>
    <col min="4348" max="4353" width="8.7265625" style="19"/>
    <col min="4354" max="4354" width="3.26953125" style="19" customWidth="1"/>
    <col min="4355" max="4362" width="8.7265625" style="19"/>
    <col min="4363" max="4363" width="3.26953125" style="19" customWidth="1"/>
    <col min="4364" max="4371" width="8.7265625" style="19"/>
    <col min="4372" max="4372" width="3.26953125" style="19" customWidth="1"/>
    <col min="4373" max="4374" width="8.7265625" style="19"/>
    <col min="4375" max="4375" width="3.26953125" style="19" customWidth="1"/>
    <col min="4376" max="4382" width="8.7265625" style="19"/>
    <col min="4383" max="4383" width="3.26953125" style="19" customWidth="1"/>
    <col min="4384" max="4392" width="8.7265625" style="19"/>
    <col min="4393" max="4393" width="3.26953125" style="19" customWidth="1"/>
    <col min="4394" max="4399" width="8.7265625" style="19"/>
    <col min="4400" max="4400" width="10.54296875" style="19" customWidth="1"/>
    <col min="4401" max="4402" width="8.7265625" style="19"/>
    <col min="4403" max="4403" width="3.26953125" style="19" customWidth="1"/>
    <col min="4404" max="4600" width="8.7265625" style="19"/>
    <col min="4601" max="4601" width="7.453125" style="19" customWidth="1"/>
    <col min="4602" max="4602" width="6.26953125" style="19" customWidth="1"/>
    <col min="4603" max="4603" width="3.26953125" style="19" customWidth="1"/>
    <col min="4604" max="4609" width="8.7265625" style="19"/>
    <col min="4610" max="4610" width="3.26953125" style="19" customWidth="1"/>
    <col min="4611" max="4618" width="8.7265625" style="19"/>
    <col min="4619" max="4619" width="3.26953125" style="19" customWidth="1"/>
    <col min="4620" max="4627" width="8.7265625" style="19"/>
    <col min="4628" max="4628" width="3.26953125" style="19" customWidth="1"/>
    <col min="4629" max="4630" width="8.7265625" style="19"/>
    <col min="4631" max="4631" width="3.26953125" style="19" customWidth="1"/>
    <col min="4632" max="4638" width="8.7265625" style="19"/>
    <col min="4639" max="4639" width="3.26953125" style="19" customWidth="1"/>
    <col min="4640" max="4648" width="8.7265625" style="19"/>
    <col min="4649" max="4649" width="3.26953125" style="19" customWidth="1"/>
    <col min="4650" max="4655" width="8.7265625" style="19"/>
    <col min="4656" max="4656" width="10.54296875" style="19" customWidth="1"/>
    <col min="4657" max="4658" width="8.7265625" style="19"/>
    <col min="4659" max="4659" width="3.26953125" style="19" customWidth="1"/>
    <col min="4660" max="4856" width="8.7265625" style="19"/>
    <col min="4857" max="4857" width="7.453125" style="19" customWidth="1"/>
    <col min="4858" max="4858" width="6.26953125" style="19" customWidth="1"/>
    <col min="4859" max="4859" width="3.26953125" style="19" customWidth="1"/>
    <col min="4860" max="4865" width="8.7265625" style="19"/>
    <col min="4866" max="4866" width="3.26953125" style="19" customWidth="1"/>
    <col min="4867" max="4874" width="8.7265625" style="19"/>
    <col min="4875" max="4875" width="3.26953125" style="19" customWidth="1"/>
    <col min="4876" max="4883" width="8.7265625" style="19"/>
    <col min="4884" max="4884" width="3.26953125" style="19" customWidth="1"/>
    <col min="4885" max="4886" width="8.7265625" style="19"/>
    <col min="4887" max="4887" width="3.26953125" style="19" customWidth="1"/>
    <col min="4888" max="4894" width="8.7265625" style="19"/>
    <col min="4895" max="4895" width="3.26953125" style="19" customWidth="1"/>
    <col min="4896" max="4904" width="8.7265625" style="19"/>
    <col min="4905" max="4905" width="3.26953125" style="19" customWidth="1"/>
    <col min="4906" max="4911" width="8.7265625" style="19"/>
    <col min="4912" max="4912" width="10.54296875" style="19" customWidth="1"/>
    <col min="4913" max="4914" width="8.7265625" style="19"/>
    <col min="4915" max="4915" width="3.26953125" style="19" customWidth="1"/>
    <col min="4916" max="5112" width="8.7265625" style="19"/>
    <col min="5113" max="5113" width="7.453125" style="19" customWidth="1"/>
    <col min="5114" max="5114" width="6.26953125" style="19" customWidth="1"/>
    <col min="5115" max="5115" width="3.26953125" style="19" customWidth="1"/>
    <col min="5116" max="5121" width="8.7265625" style="19"/>
    <col min="5122" max="5122" width="3.26953125" style="19" customWidth="1"/>
    <col min="5123" max="5130" width="8.7265625" style="19"/>
    <col min="5131" max="5131" width="3.26953125" style="19" customWidth="1"/>
    <col min="5132" max="5139" width="8.7265625" style="19"/>
    <col min="5140" max="5140" width="3.26953125" style="19" customWidth="1"/>
    <col min="5141" max="5142" width="8.7265625" style="19"/>
    <col min="5143" max="5143" width="3.26953125" style="19" customWidth="1"/>
    <col min="5144" max="5150" width="8.7265625" style="19"/>
    <col min="5151" max="5151" width="3.26953125" style="19" customWidth="1"/>
    <col min="5152" max="5160" width="8.7265625" style="19"/>
    <col min="5161" max="5161" width="3.26953125" style="19" customWidth="1"/>
    <col min="5162" max="5167" width="8.7265625" style="19"/>
    <col min="5168" max="5168" width="10.54296875" style="19" customWidth="1"/>
    <col min="5169" max="5170" width="8.7265625" style="19"/>
    <col min="5171" max="5171" width="3.26953125" style="19" customWidth="1"/>
    <col min="5172" max="5368" width="8.7265625" style="19"/>
    <col min="5369" max="5369" width="7.453125" style="19" customWidth="1"/>
    <col min="5370" max="5370" width="6.26953125" style="19" customWidth="1"/>
    <col min="5371" max="5371" width="3.26953125" style="19" customWidth="1"/>
    <col min="5372" max="5377" width="8.7265625" style="19"/>
    <col min="5378" max="5378" width="3.26953125" style="19" customWidth="1"/>
    <col min="5379" max="5386" width="8.7265625" style="19"/>
    <col min="5387" max="5387" width="3.26953125" style="19" customWidth="1"/>
    <col min="5388" max="5395" width="8.7265625" style="19"/>
    <col min="5396" max="5396" width="3.26953125" style="19" customWidth="1"/>
    <col min="5397" max="5398" width="8.7265625" style="19"/>
    <col min="5399" max="5399" width="3.26953125" style="19" customWidth="1"/>
    <col min="5400" max="5406" width="8.7265625" style="19"/>
    <col min="5407" max="5407" width="3.26953125" style="19" customWidth="1"/>
    <col min="5408" max="5416" width="8.7265625" style="19"/>
    <col min="5417" max="5417" width="3.26953125" style="19" customWidth="1"/>
    <col min="5418" max="5423" width="8.7265625" style="19"/>
    <col min="5424" max="5424" width="10.54296875" style="19" customWidth="1"/>
    <col min="5425" max="5426" width="8.7265625" style="19"/>
    <col min="5427" max="5427" width="3.26953125" style="19" customWidth="1"/>
    <col min="5428" max="5624" width="8.7265625" style="19"/>
    <col min="5625" max="5625" width="7.453125" style="19" customWidth="1"/>
    <col min="5626" max="5626" width="6.26953125" style="19" customWidth="1"/>
    <col min="5627" max="5627" width="3.26953125" style="19" customWidth="1"/>
    <col min="5628" max="5633" width="8.7265625" style="19"/>
    <col min="5634" max="5634" width="3.26953125" style="19" customWidth="1"/>
    <col min="5635" max="5642" width="8.7265625" style="19"/>
    <col min="5643" max="5643" width="3.26953125" style="19" customWidth="1"/>
    <col min="5644" max="5651" width="8.7265625" style="19"/>
    <col min="5652" max="5652" width="3.26953125" style="19" customWidth="1"/>
    <col min="5653" max="5654" width="8.7265625" style="19"/>
    <col min="5655" max="5655" width="3.26953125" style="19" customWidth="1"/>
    <col min="5656" max="5662" width="8.7265625" style="19"/>
    <col min="5663" max="5663" width="3.26953125" style="19" customWidth="1"/>
    <col min="5664" max="5672" width="8.7265625" style="19"/>
    <col min="5673" max="5673" width="3.26953125" style="19" customWidth="1"/>
    <col min="5674" max="5679" width="8.7265625" style="19"/>
    <col min="5680" max="5680" width="10.54296875" style="19" customWidth="1"/>
    <col min="5681" max="5682" width="8.7265625" style="19"/>
    <col min="5683" max="5683" width="3.26953125" style="19" customWidth="1"/>
    <col min="5684" max="5880" width="8.7265625" style="19"/>
    <col min="5881" max="5881" width="7.453125" style="19" customWidth="1"/>
    <col min="5882" max="5882" width="6.26953125" style="19" customWidth="1"/>
    <col min="5883" max="5883" width="3.26953125" style="19" customWidth="1"/>
    <col min="5884" max="5889" width="8.7265625" style="19"/>
    <col min="5890" max="5890" width="3.26953125" style="19" customWidth="1"/>
    <col min="5891" max="5898" width="8.7265625" style="19"/>
    <col min="5899" max="5899" width="3.26953125" style="19" customWidth="1"/>
    <col min="5900" max="5907" width="8.7265625" style="19"/>
    <col min="5908" max="5908" width="3.26953125" style="19" customWidth="1"/>
    <col min="5909" max="5910" width="8.7265625" style="19"/>
    <col min="5911" max="5911" width="3.26953125" style="19" customWidth="1"/>
    <col min="5912" max="5918" width="8.7265625" style="19"/>
    <col min="5919" max="5919" width="3.26953125" style="19" customWidth="1"/>
    <col min="5920" max="5928" width="8.7265625" style="19"/>
    <col min="5929" max="5929" width="3.26953125" style="19" customWidth="1"/>
    <col min="5930" max="5935" width="8.7265625" style="19"/>
    <col min="5936" max="5936" width="10.54296875" style="19" customWidth="1"/>
    <col min="5937" max="5938" width="8.7265625" style="19"/>
    <col min="5939" max="5939" width="3.26953125" style="19" customWidth="1"/>
    <col min="5940" max="6136" width="8.7265625" style="19"/>
    <col min="6137" max="6137" width="7.453125" style="19" customWidth="1"/>
    <col min="6138" max="6138" width="6.26953125" style="19" customWidth="1"/>
    <col min="6139" max="6139" width="3.26953125" style="19" customWidth="1"/>
    <col min="6140" max="6145" width="8.7265625" style="19"/>
    <col min="6146" max="6146" width="3.26953125" style="19" customWidth="1"/>
    <col min="6147" max="6154" width="8.7265625" style="19"/>
    <col min="6155" max="6155" width="3.26953125" style="19" customWidth="1"/>
    <col min="6156" max="6163" width="8.7265625" style="19"/>
    <col min="6164" max="6164" width="3.26953125" style="19" customWidth="1"/>
    <col min="6165" max="6166" width="8.7265625" style="19"/>
    <col min="6167" max="6167" width="3.26953125" style="19" customWidth="1"/>
    <col min="6168" max="6174" width="8.7265625" style="19"/>
    <col min="6175" max="6175" width="3.26953125" style="19" customWidth="1"/>
    <col min="6176" max="6184" width="8.7265625" style="19"/>
    <col min="6185" max="6185" width="3.26953125" style="19" customWidth="1"/>
    <col min="6186" max="6191" width="8.7265625" style="19"/>
    <col min="6192" max="6192" width="10.54296875" style="19" customWidth="1"/>
    <col min="6193" max="6194" width="8.7265625" style="19"/>
    <col min="6195" max="6195" width="3.26953125" style="19" customWidth="1"/>
    <col min="6196" max="6392" width="8.7265625" style="19"/>
    <col min="6393" max="6393" width="7.453125" style="19" customWidth="1"/>
    <col min="6394" max="6394" width="6.26953125" style="19" customWidth="1"/>
    <col min="6395" max="6395" width="3.26953125" style="19" customWidth="1"/>
    <col min="6396" max="6401" width="8.7265625" style="19"/>
    <col min="6402" max="6402" width="3.26953125" style="19" customWidth="1"/>
    <col min="6403" max="6410" width="8.7265625" style="19"/>
    <col min="6411" max="6411" width="3.26953125" style="19" customWidth="1"/>
    <col min="6412" max="6419" width="8.7265625" style="19"/>
    <col min="6420" max="6420" width="3.26953125" style="19" customWidth="1"/>
    <col min="6421" max="6422" width="8.7265625" style="19"/>
    <col min="6423" max="6423" width="3.26953125" style="19" customWidth="1"/>
    <col min="6424" max="6430" width="8.7265625" style="19"/>
    <col min="6431" max="6431" width="3.26953125" style="19" customWidth="1"/>
    <col min="6432" max="6440" width="8.7265625" style="19"/>
    <col min="6441" max="6441" width="3.26953125" style="19" customWidth="1"/>
    <col min="6442" max="6447" width="8.7265625" style="19"/>
    <col min="6448" max="6448" width="10.54296875" style="19" customWidth="1"/>
    <col min="6449" max="6450" width="8.7265625" style="19"/>
    <col min="6451" max="6451" width="3.26953125" style="19" customWidth="1"/>
    <col min="6452" max="6648" width="8.7265625" style="19"/>
    <col min="6649" max="6649" width="7.453125" style="19" customWidth="1"/>
    <col min="6650" max="6650" width="6.26953125" style="19" customWidth="1"/>
    <col min="6651" max="6651" width="3.26953125" style="19" customWidth="1"/>
    <col min="6652" max="6657" width="8.7265625" style="19"/>
    <col min="6658" max="6658" width="3.26953125" style="19" customWidth="1"/>
    <col min="6659" max="6666" width="8.7265625" style="19"/>
    <col min="6667" max="6667" width="3.26953125" style="19" customWidth="1"/>
    <col min="6668" max="6675" width="8.7265625" style="19"/>
    <col min="6676" max="6676" width="3.26953125" style="19" customWidth="1"/>
    <col min="6677" max="6678" width="8.7265625" style="19"/>
    <col min="6679" max="6679" width="3.26953125" style="19" customWidth="1"/>
    <col min="6680" max="6686" width="8.7265625" style="19"/>
    <col min="6687" max="6687" width="3.26953125" style="19" customWidth="1"/>
    <col min="6688" max="6696" width="8.7265625" style="19"/>
    <col min="6697" max="6697" width="3.26953125" style="19" customWidth="1"/>
    <col min="6698" max="6703" width="8.7265625" style="19"/>
    <col min="6704" max="6704" width="10.54296875" style="19" customWidth="1"/>
    <col min="6705" max="6706" width="8.7265625" style="19"/>
    <col min="6707" max="6707" width="3.26953125" style="19" customWidth="1"/>
    <col min="6708" max="6904" width="8.7265625" style="19"/>
    <col min="6905" max="6905" width="7.453125" style="19" customWidth="1"/>
    <col min="6906" max="6906" width="6.26953125" style="19" customWidth="1"/>
    <col min="6907" max="6907" width="3.26953125" style="19" customWidth="1"/>
    <col min="6908" max="6913" width="8.7265625" style="19"/>
    <col min="6914" max="6914" width="3.26953125" style="19" customWidth="1"/>
    <col min="6915" max="6922" width="8.7265625" style="19"/>
    <col min="6923" max="6923" width="3.26953125" style="19" customWidth="1"/>
    <col min="6924" max="6931" width="8.7265625" style="19"/>
    <col min="6932" max="6932" width="3.26953125" style="19" customWidth="1"/>
    <col min="6933" max="6934" width="8.7265625" style="19"/>
    <col min="6935" max="6935" width="3.26953125" style="19" customWidth="1"/>
    <col min="6936" max="6942" width="8.7265625" style="19"/>
    <col min="6943" max="6943" width="3.26953125" style="19" customWidth="1"/>
    <col min="6944" max="6952" width="8.7265625" style="19"/>
    <col min="6953" max="6953" width="3.26953125" style="19" customWidth="1"/>
    <col min="6954" max="6959" width="8.7265625" style="19"/>
    <col min="6960" max="6960" width="10.54296875" style="19" customWidth="1"/>
    <col min="6961" max="6962" width="8.7265625" style="19"/>
    <col min="6963" max="6963" width="3.26953125" style="19" customWidth="1"/>
    <col min="6964" max="7160" width="8.7265625" style="19"/>
    <col min="7161" max="7161" width="7.453125" style="19" customWidth="1"/>
    <col min="7162" max="7162" width="6.26953125" style="19" customWidth="1"/>
    <col min="7163" max="7163" width="3.26953125" style="19" customWidth="1"/>
    <col min="7164" max="7169" width="8.7265625" style="19"/>
    <col min="7170" max="7170" width="3.26953125" style="19" customWidth="1"/>
    <col min="7171" max="7178" width="8.7265625" style="19"/>
    <col min="7179" max="7179" width="3.26953125" style="19" customWidth="1"/>
    <col min="7180" max="7187" width="8.7265625" style="19"/>
    <col min="7188" max="7188" width="3.26953125" style="19" customWidth="1"/>
    <col min="7189" max="7190" width="8.7265625" style="19"/>
    <col min="7191" max="7191" width="3.26953125" style="19" customWidth="1"/>
    <col min="7192" max="7198" width="8.7265625" style="19"/>
    <col min="7199" max="7199" width="3.26953125" style="19" customWidth="1"/>
    <col min="7200" max="7208" width="8.7265625" style="19"/>
    <col min="7209" max="7209" width="3.26953125" style="19" customWidth="1"/>
    <col min="7210" max="7215" width="8.7265625" style="19"/>
    <col min="7216" max="7216" width="10.54296875" style="19" customWidth="1"/>
    <col min="7217" max="7218" width="8.7265625" style="19"/>
    <col min="7219" max="7219" width="3.26953125" style="19" customWidth="1"/>
    <col min="7220" max="7416" width="8.7265625" style="19"/>
    <col min="7417" max="7417" width="7.453125" style="19" customWidth="1"/>
    <col min="7418" max="7418" width="6.26953125" style="19" customWidth="1"/>
    <col min="7419" max="7419" width="3.26953125" style="19" customWidth="1"/>
    <col min="7420" max="7425" width="8.7265625" style="19"/>
    <col min="7426" max="7426" width="3.26953125" style="19" customWidth="1"/>
    <col min="7427" max="7434" width="8.7265625" style="19"/>
    <col min="7435" max="7435" width="3.26953125" style="19" customWidth="1"/>
    <col min="7436" max="7443" width="8.7265625" style="19"/>
    <col min="7444" max="7444" width="3.26953125" style="19" customWidth="1"/>
    <col min="7445" max="7446" width="8.7265625" style="19"/>
    <col min="7447" max="7447" width="3.26953125" style="19" customWidth="1"/>
    <col min="7448" max="7454" width="8.7265625" style="19"/>
    <col min="7455" max="7455" width="3.26953125" style="19" customWidth="1"/>
    <col min="7456" max="7464" width="8.7265625" style="19"/>
    <col min="7465" max="7465" width="3.26953125" style="19" customWidth="1"/>
    <col min="7466" max="7471" width="8.7265625" style="19"/>
    <col min="7472" max="7472" width="10.54296875" style="19" customWidth="1"/>
    <col min="7473" max="7474" width="8.7265625" style="19"/>
    <col min="7475" max="7475" width="3.26953125" style="19" customWidth="1"/>
    <col min="7476" max="7672" width="8.7265625" style="19"/>
    <col min="7673" max="7673" width="7.453125" style="19" customWidth="1"/>
    <col min="7674" max="7674" width="6.26953125" style="19" customWidth="1"/>
    <col min="7675" max="7675" width="3.26953125" style="19" customWidth="1"/>
    <col min="7676" max="7681" width="8.7265625" style="19"/>
    <col min="7682" max="7682" width="3.26953125" style="19" customWidth="1"/>
    <col min="7683" max="7690" width="8.7265625" style="19"/>
    <col min="7691" max="7691" width="3.26953125" style="19" customWidth="1"/>
    <col min="7692" max="7699" width="8.7265625" style="19"/>
    <col min="7700" max="7700" width="3.26953125" style="19" customWidth="1"/>
    <col min="7701" max="7702" width="8.7265625" style="19"/>
    <col min="7703" max="7703" width="3.26953125" style="19" customWidth="1"/>
    <col min="7704" max="7710" width="8.7265625" style="19"/>
    <col min="7711" max="7711" width="3.26953125" style="19" customWidth="1"/>
    <col min="7712" max="7720" width="8.7265625" style="19"/>
    <col min="7721" max="7721" width="3.26953125" style="19" customWidth="1"/>
    <col min="7722" max="7727" width="8.7265625" style="19"/>
    <col min="7728" max="7728" width="10.54296875" style="19" customWidth="1"/>
    <col min="7729" max="7730" width="8.7265625" style="19"/>
    <col min="7731" max="7731" width="3.26953125" style="19" customWidth="1"/>
    <col min="7732" max="7928" width="8.7265625" style="19"/>
    <col min="7929" max="7929" width="7.453125" style="19" customWidth="1"/>
    <col min="7930" max="7930" width="6.26953125" style="19" customWidth="1"/>
    <col min="7931" max="7931" width="3.26953125" style="19" customWidth="1"/>
    <col min="7932" max="7937" width="8.7265625" style="19"/>
    <col min="7938" max="7938" width="3.26953125" style="19" customWidth="1"/>
    <col min="7939" max="7946" width="8.7265625" style="19"/>
    <col min="7947" max="7947" width="3.26953125" style="19" customWidth="1"/>
    <col min="7948" max="7955" width="8.7265625" style="19"/>
    <col min="7956" max="7956" width="3.26953125" style="19" customWidth="1"/>
    <col min="7957" max="7958" width="8.7265625" style="19"/>
    <col min="7959" max="7959" width="3.26953125" style="19" customWidth="1"/>
    <col min="7960" max="7966" width="8.7265625" style="19"/>
    <col min="7967" max="7967" width="3.26953125" style="19" customWidth="1"/>
    <col min="7968" max="7976" width="8.7265625" style="19"/>
    <col min="7977" max="7977" width="3.26953125" style="19" customWidth="1"/>
    <col min="7978" max="7983" width="8.7265625" style="19"/>
    <col min="7984" max="7984" width="10.54296875" style="19" customWidth="1"/>
    <col min="7985" max="7986" width="8.7265625" style="19"/>
    <col min="7987" max="7987" width="3.26953125" style="19" customWidth="1"/>
    <col min="7988" max="8184" width="8.7265625" style="19"/>
    <col min="8185" max="8185" width="7.453125" style="19" customWidth="1"/>
    <col min="8186" max="8186" width="6.26953125" style="19" customWidth="1"/>
    <col min="8187" max="8187" width="3.26953125" style="19" customWidth="1"/>
    <col min="8188" max="8193" width="8.7265625" style="19"/>
    <col min="8194" max="8194" width="3.26953125" style="19" customWidth="1"/>
    <col min="8195" max="8202" width="8.7265625" style="19"/>
    <col min="8203" max="8203" width="3.26953125" style="19" customWidth="1"/>
    <col min="8204" max="8211" width="8.7265625" style="19"/>
    <col min="8212" max="8212" width="3.26953125" style="19" customWidth="1"/>
    <col min="8213" max="8214" width="8.7265625" style="19"/>
    <col min="8215" max="8215" width="3.26953125" style="19" customWidth="1"/>
    <col min="8216" max="8222" width="8.7265625" style="19"/>
    <col min="8223" max="8223" width="3.26953125" style="19" customWidth="1"/>
    <col min="8224" max="8232" width="8.7265625" style="19"/>
    <col min="8233" max="8233" width="3.26953125" style="19" customWidth="1"/>
    <col min="8234" max="8239" width="8.7265625" style="19"/>
    <col min="8240" max="8240" width="10.54296875" style="19" customWidth="1"/>
    <col min="8241" max="8242" width="8.7265625" style="19"/>
    <col min="8243" max="8243" width="3.26953125" style="19" customWidth="1"/>
    <col min="8244" max="8440" width="8.7265625" style="19"/>
    <col min="8441" max="8441" width="7.453125" style="19" customWidth="1"/>
    <col min="8442" max="8442" width="6.26953125" style="19" customWidth="1"/>
    <col min="8443" max="8443" width="3.26953125" style="19" customWidth="1"/>
    <col min="8444" max="8449" width="8.7265625" style="19"/>
    <col min="8450" max="8450" width="3.26953125" style="19" customWidth="1"/>
    <col min="8451" max="8458" width="8.7265625" style="19"/>
    <col min="8459" max="8459" width="3.26953125" style="19" customWidth="1"/>
    <col min="8460" max="8467" width="8.7265625" style="19"/>
    <col min="8468" max="8468" width="3.26953125" style="19" customWidth="1"/>
    <col min="8469" max="8470" width="8.7265625" style="19"/>
    <col min="8471" max="8471" width="3.26953125" style="19" customWidth="1"/>
    <col min="8472" max="8478" width="8.7265625" style="19"/>
    <col min="8479" max="8479" width="3.26953125" style="19" customWidth="1"/>
    <col min="8480" max="8488" width="8.7265625" style="19"/>
    <col min="8489" max="8489" width="3.26953125" style="19" customWidth="1"/>
    <col min="8490" max="8495" width="8.7265625" style="19"/>
    <col min="8496" max="8496" width="10.54296875" style="19" customWidth="1"/>
    <col min="8497" max="8498" width="8.7265625" style="19"/>
    <col min="8499" max="8499" width="3.26953125" style="19" customWidth="1"/>
    <col min="8500" max="8696" width="8.7265625" style="19"/>
    <col min="8697" max="8697" width="7.453125" style="19" customWidth="1"/>
    <col min="8698" max="8698" width="6.26953125" style="19" customWidth="1"/>
    <col min="8699" max="8699" width="3.26953125" style="19" customWidth="1"/>
    <col min="8700" max="8705" width="8.7265625" style="19"/>
    <col min="8706" max="8706" width="3.26953125" style="19" customWidth="1"/>
    <col min="8707" max="8714" width="8.7265625" style="19"/>
    <col min="8715" max="8715" width="3.26953125" style="19" customWidth="1"/>
    <col min="8716" max="8723" width="8.7265625" style="19"/>
    <col min="8724" max="8724" width="3.26953125" style="19" customWidth="1"/>
    <col min="8725" max="8726" width="8.7265625" style="19"/>
    <col min="8727" max="8727" width="3.26953125" style="19" customWidth="1"/>
    <col min="8728" max="8734" width="8.7265625" style="19"/>
    <col min="8735" max="8735" width="3.26953125" style="19" customWidth="1"/>
    <col min="8736" max="8744" width="8.7265625" style="19"/>
    <col min="8745" max="8745" width="3.26953125" style="19" customWidth="1"/>
    <col min="8746" max="8751" width="8.7265625" style="19"/>
    <col min="8752" max="8752" width="10.54296875" style="19" customWidth="1"/>
    <col min="8753" max="8754" width="8.7265625" style="19"/>
    <col min="8755" max="8755" width="3.26953125" style="19" customWidth="1"/>
    <col min="8756" max="8952" width="8.7265625" style="19"/>
    <col min="8953" max="8953" width="7.453125" style="19" customWidth="1"/>
    <col min="8954" max="8954" width="6.26953125" style="19" customWidth="1"/>
    <col min="8955" max="8955" width="3.26953125" style="19" customWidth="1"/>
    <col min="8956" max="8961" width="8.7265625" style="19"/>
    <col min="8962" max="8962" width="3.26953125" style="19" customWidth="1"/>
    <col min="8963" max="8970" width="8.7265625" style="19"/>
    <col min="8971" max="8971" width="3.26953125" style="19" customWidth="1"/>
    <col min="8972" max="8979" width="8.7265625" style="19"/>
    <col min="8980" max="8980" width="3.26953125" style="19" customWidth="1"/>
    <col min="8981" max="8982" width="8.7265625" style="19"/>
    <col min="8983" max="8983" width="3.26953125" style="19" customWidth="1"/>
    <col min="8984" max="8990" width="8.7265625" style="19"/>
    <col min="8991" max="8991" width="3.26953125" style="19" customWidth="1"/>
    <col min="8992" max="9000" width="8.7265625" style="19"/>
    <col min="9001" max="9001" width="3.26953125" style="19" customWidth="1"/>
    <col min="9002" max="9007" width="8.7265625" style="19"/>
    <col min="9008" max="9008" width="10.54296875" style="19" customWidth="1"/>
    <col min="9009" max="9010" width="8.7265625" style="19"/>
    <col min="9011" max="9011" width="3.26953125" style="19" customWidth="1"/>
    <col min="9012" max="9208" width="8.7265625" style="19"/>
    <col min="9209" max="9209" width="7.453125" style="19" customWidth="1"/>
    <col min="9210" max="9210" width="6.26953125" style="19" customWidth="1"/>
    <col min="9211" max="9211" width="3.26953125" style="19" customWidth="1"/>
    <col min="9212" max="9217" width="8.7265625" style="19"/>
    <col min="9218" max="9218" width="3.26953125" style="19" customWidth="1"/>
    <col min="9219" max="9226" width="8.7265625" style="19"/>
    <col min="9227" max="9227" width="3.26953125" style="19" customWidth="1"/>
    <col min="9228" max="9235" width="8.7265625" style="19"/>
    <col min="9236" max="9236" width="3.26953125" style="19" customWidth="1"/>
    <col min="9237" max="9238" width="8.7265625" style="19"/>
    <col min="9239" max="9239" width="3.26953125" style="19" customWidth="1"/>
    <col min="9240" max="9246" width="8.7265625" style="19"/>
    <col min="9247" max="9247" width="3.26953125" style="19" customWidth="1"/>
    <col min="9248" max="9256" width="8.7265625" style="19"/>
    <col min="9257" max="9257" width="3.26953125" style="19" customWidth="1"/>
    <col min="9258" max="9263" width="8.7265625" style="19"/>
    <col min="9264" max="9264" width="10.54296875" style="19" customWidth="1"/>
    <col min="9265" max="9266" width="8.7265625" style="19"/>
    <col min="9267" max="9267" width="3.26953125" style="19" customWidth="1"/>
    <col min="9268" max="9464" width="8.7265625" style="19"/>
    <col min="9465" max="9465" width="7.453125" style="19" customWidth="1"/>
    <col min="9466" max="9466" width="6.26953125" style="19" customWidth="1"/>
    <col min="9467" max="9467" width="3.26953125" style="19" customWidth="1"/>
    <col min="9468" max="9473" width="8.7265625" style="19"/>
    <col min="9474" max="9474" width="3.26953125" style="19" customWidth="1"/>
    <col min="9475" max="9482" width="8.7265625" style="19"/>
    <col min="9483" max="9483" width="3.26953125" style="19" customWidth="1"/>
    <col min="9484" max="9491" width="8.7265625" style="19"/>
    <col min="9492" max="9492" width="3.26953125" style="19" customWidth="1"/>
    <col min="9493" max="9494" width="8.7265625" style="19"/>
    <col min="9495" max="9495" width="3.26953125" style="19" customWidth="1"/>
    <col min="9496" max="9502" width="8.7265625" style="19"/>
    <col min="9503" max="9503" width="3.26953125" style="19" customWidth="1"/>
    <col min="9504" max="9512" width="8.7265625" style="19"/>
    <col min="9513" max="9513" width="3.26953125" style="19" customWidth="1"/>
    <col min="9514" max="9519" width="8.7265625" style="19"/>
    <col min="9520" max="9520" width="10.54296875" style="19" customWidth="1"/>
    <col min="9521" max="9522" width="8.7265625" style="19"/>
    <col min="9523" max="9523" width="3.26953125" style="19" customWidth="1"/>
    <col min="9524" max="9720" width="8.7265625" style="19"/>
    <col min="9721" max="9721" width="7.453125" style="19" customWidth="1"/>
    <col min="9722" max="9722" width="6.26953125" style="19" customWidth="1"/>
    <col min="9723" max="9723" width="3.26953125" style="19" customWidth="1"/>
    <col min="9724" max="9729" width="8.7265625" style="19"/>
    <col min="9730" max="9730" width="3.26953125" style="19" customWidth="1"/>
    <col min="9731" max="9738" width="8.7265625" style="19"/>
    <col min="9739" max="9739" width="3.26953125" style="19" customWidth="1"/>
    <col min="9740" max="9747" width="8.7265625" style="19"/>
    <col min="9748" max="9748" width="3.26953125" style="19" customWidth="1"/>
    <col min="9749" max="9750" width="8.7265625" style="19"/>
    <col min="9751" max="9751" width="3.26953125" style="19" customWidth="1"/>
    <col min="9752" max="9758" width="8.7265625" style="19"/>
    <col min="9759" max="9759" width="3.26953125" style="19" customWidth="1"/>
    <col min="9760" max="9768" width="8.7265625" style="19"/>
    <col min="9769" max="9769" width="3.26953125" style="19" customWidth="1"/>
    <col min="9770" max="9775" width="8.7265625" style="19"/>
    <col min="9776" max="9776" width="10.54296875" style="19" customWidth="1"/>
    <col min="9777" max="9778" width="8.7265625" style="19"/>
    <col min="9779" max="9779" width="3.26953125" style="19" customWidth="1"/>
    <col min="9780" max="9976" width="8.7265625" style="19"/>
    <col min="9977" max="9977" width="7.453125" style="19" customWidth="1"/>
    <col min="9978" max="9978" width="6.26953125" style="19" customWidth="1"/>
    <col min="9979" max="9979" width="3.26953125" style="19" customWidth="1"/>
    <col min="9980" max="9985" width="8.7265625" style="19"/>
    <col min="9986" max="9986" width="3.26953125" style="19" customWidth="1"/>
    <col min="9987" max="9994" width="8.7265625" style="19"/>
    <col min="9995" max="9995" width="3.26953125" style="19" customWidth="1"/>
    <col min="9996" max="10003" width="8.7265625" style="19"/>
    <col min="10004" max="10004" width="3.26953125" style="19" customWidth="1"/>
    <col min="10005" max="10006" width="8.7265625" style="19"/>
    <col min="10007" max="10007" width="3.26953125" style="19" customWidth="1"/>
    <col min="10008" max="10014" width="8.7265625" style="19"/>
    <col min="10015" max="10015" width="3.26953125" style="19" customWidth="1"/>
    <col min="10016" max="10024" width="8.7265625" style="19"/>
    <col min="10025" max="10025" width="3.26953125" style="19" customWidth="1"/>
    <col min="10026" max="10031" width="8.7265625" style="19"/>
    <col min="10032" max="10032" width="10.54296875" style="19" customWidth="1"/>
    <col min="10033" max="10034" width="8.7265625" style="19"/>
    <col min="10035" max="10035" width="3.26953125" style="19" customWidth="1"/>
    <col min="10036" max="10232" width="8.7265625" style="19"/>
    <col min="10233" max="10233" width="7.453125" style="19" customWidth="1"/>
    <col min="10234" max="10234" width="6.26953125" style="19" customWidth="1"/>
    <col min="10235" max="10235" width="3.26953125" style="19" customWidth="1"/>
    <col min="10236" max="10241" width="8.7265625" style="19"/>
    <col min="10242" max="10242" width="3.26953125" style="19" customWidth="1"/>
    <col min="10243" max="10250" width="8.7265625" style="19"/>
    <col min="10251" max="10251" width="3.26953125" style="19" customWidth="1"/>
    <col min="10252" max="10259" width="8.7265625" style="19"/>
    <col min="10260" max="10260" width="3.26953125" style="19" customWidth="1"/>
    <col min="10261" max="10262" width="8.7265625" style="19"/>
    <col min="10263" max="10263" width="3.26953125" style="19" customWidth="1"/>
    <col min="10264" max="10270" width="8.7265625" style="19"/>
    <col min="10271" max="10271" width="3.26953125" style="19" customWidth="1"/>
    <col min="10272" max="10280" width="8.7265625" style="19"/>
    <col min="10281" max="10281" width="3.26953125" style="19" customWidth="1"/>
    <col min="10282" max="10287" width="8.7265625" style="19"/>
    <col min="10288" max="10288" width="10.54296875" style="19" customWidth="1"/>
    <col min="10289" max="10290" width="8.7265625" style="19"/>
    <col min="10291" max="10291" width="3.26953125" style="19" customWidth="1"/>
    <col min="10292" max="10488" width="8.7265625" style="19"/>
    <col min="10489" max="10489" width="7.453125" style="19" customWidth="1"/>
    <col min="10490" max="10490" width="6.26953125" style="19" customWidth="1"/>
    <col min="10491" max="10491" width="3.26953125" style="19" customWidth="1"/>
    <col min="10492" max="10497" width="8.7265625" style="19"/>
    <col min="10498" max="10498" width="3.26953125" style="19" customWidth="1"/>
    <col min="10499" max="10506" width="8.7265625" style="19"/>
    <col min="10507" max="10507" width="3.26953125" style="19" customWidth="1"/>
    <col min="10508" max="10515" width="8.7265625" style="19"/>
    <col min="10516" max="10516" width="3.26953125" style="19" customWidth="1"/>
    <col min="10517" max="10518" width="8.7265625" style="19"/>
    <col min="10519" max="10519" width="3.26953125" style="19" customWidth="1"/>
    <col min="10520" max="10526" width="8.7265625" style="19"/>
    <col min="10527" max="10527" width="3.26953125" style="19" customWidth="1"/>
    <col min="10528" max="10536" width="8.7265625" style="19"/>
    <col min="10537" max="10537" width="3.26953125" style="19" customWidth="1"/>
    <col min="10538" max="10543" width="8.7265625" style="19"/>
    <col min="10544" max="10544" width="10.54296875" style="19" customWidth="1"/>
    <col min="10545" max="10546" width="8.7265625" style="19"/>
    <col min="10547" max="10547" width="3.26953125" style="19" customWidth="1"/>
    <col min="10548" max="10744" width="8.7265625" style="19"/>
    <col min="10745" max="10745" width="7.453125" style="19" customWidth="1"/>
    <col min="10746" max="10746" width="6.26953125" style="19" customWidth="1"/>
    <col min="10747" max="10747" width="3.26953125" style="19" customWidth="1"/>
    <col min="10748" max="10753" width="8.7265625" style="19"/>
    <col min="10754" max="10754" width="3.26953125" style="19" customWidth="1"/>
    <col min="10755" max="10762" width="8.7265625" style="19"/>
    <col min="10763" max="10763" width="3.26953125" style="19" customWidth="1"/>
    <col min="10764" max="10771" width="8.7265625" style="19"/>
    <col min="10772" max="10772" width="3.26953125" style="19" customWidth="1"/>
    <col min="10773" max="10774" width="8.7265625" style="19"/>
    <col min="10775" max="10775" width="3.26953125" style="19" customWidth="1"/>
    <col min="10776" max="10782" width="8.7265625" style="19"/>
    <col min="10783" max="10783" width="3.26953125" style="19" customWidth="1"/>
    <col min="10784" max="10792" width="8.7265625" style="19"/>
    <col min="10793" max="10793" width="3.26953125" style="19" customWidth="1"/>
    <col min="10794" max="10799" width="8.7265625" style="19"/>
    <col min="10800" max="10800" width="10.54296875" style="19" customWidth="1"/>
    <col min="10801" max="10802" width="8.7265625" style="19"/>
    <col min="10803" max="10803" width="3.26953125" style="19" customWidth="1"/>
    <col min="10804" max="11000" width="8.7265625" style="19"/>
    <col min="11001" max="11001" width="7.453125" style="19" customWidth="1"/>
    <col min="11002" max="11002" width="6.26953125" style="19" customWidth="1"/>
    <col min="11003" max="11003" width="3.26953125" style="19" customWidth="1"/>
    <col min="11004" max="11009" width="8.7265625" style="19"/>
    <col min="11010" max="11010" width="3.26953125" style="19" customWidth="1"/>
    <col min="11011" max="11018" width="8.7265625" style="19"/>
    <col min="11019" max="11019" width="3.26953125" style="19" customWidth="1"/>
    <col min="11020" max="11027" width="8.7265625" style="19"/>
    <col min="11028" max="11028" width="3.26953125" style="19" customWidth="1"/>
    <col min="11029" max="11030" width="8.7265625" style="19"/>
    <col min="11031" max="11031" width="3.26953125" style="19" customWidth="1"/>
    <col min="11032" max="11038" width="8.7265625" style="19"/>
    <col min="11039" max="11039" width="3.26953125" style="19" customWidth="1"/>
    <col min="11040" max="11048" width="8.7265625" style="19"/>
    <col min="11049" max="11049" width="3.26953125" style="19" customWidth="1"/>
    <col min="11050" max="11055" width="8.7265625" style="19"/>
    <col min="11056" max="11056" width="10.54296875" style="19" customWidth="1"/>
    <col min="11057" max="11058" width="8.7265625" style="19"/>
    <col min="11059" max="11059" width="3.26953125" style="19" customWidth="1"/>
    <col min="11060" max="11256" width="8.7265625" style="19"/>
    <col min="11257" max="11257" width="7.453125" style="19" customWidth="1"/>
    <col min="11258" max="11258" width="6.26953125" style="19" customWidth="1"/>
    <col min="11259" max="11259" width="3.26953125" style="19" customWidth="1"/>
    <col min="11260" max="11265" width="8.7265625" style="19"/>
    <col min="11266" max="11266" width="3.26953125" style="19" customWidth="1"/>
    <col min="11267" max="11274" width="8.7265625" style="19"/>
    <col min="11275" max="11275" width="3.26953125" style="19" customWidth="1"/>
    <col min="11276" max="11283" width="8.7265625" style="19"/>
    <col min="11284" max="11284" width="3.26953125" style="19" customWidth="1"/>
    <col min="11285" max="11286" width="8.7265625" style="19"/>
    <col min="11287" max="11287" width="3.26953125" style="19" customWidth="1"/>
    <col min="11288" max="11294" width="8.7265625" style="19"/>
    <col min="11295" max="11295" width="3.26953125" style="19" customWidth="1"/>
    <col min="11296" max="11304" width="8.7265625" style="19"/>
    <col min="11305" max="11305" width="3.26953125" style="19" customWidth="1"/>
    <col min="11306" max="11311" width="8.7265625" style="19"/>
    <col min="11312" max="11312" width="10.54296875" style="19" customWidth="1"/>
    <col min="11313" max="11314" width="8.7265625" style="19"/>
    <col min="11315" max="11315" width="3.26953125" style="19" customWidth="1"/>
    <col min="11316" max="11512" width="8.7265625" style="19"/>
    <col min="11513" max="11513" width="7.453125" style="19" customWidth="1"/>
    <col min="11514" max="11514" width="6.26953125" style="19" customWidth="1"/>
    <col min="11515" max="11515" width="3.26953125" style="19" customWidth="1"/>
    <col min="11516" max="11521" width="8.7265625" style="19"/>
    <col min="11522" max="11522" width="3.26953125" style="19" customWidth="1"/>
    <col min="11523" max="11530" width="8.7265625" style="19"/>
    <col min="11531" max="11531" width="3.26953125" style="19" customWidth="1"/>
    <col min="11532" max="11539" width="8.7265625" style="19"/>
    <col min="11540" max="11540" width="3.26953125" style="19" customWidth="1"/>
    <col min="11541" max="11542" width="8.7265625" style="19"/>
    <col min="11543" max="11543" width="3.26953125" style="19" customWidth="1"/>
    <col min="11544" max="11550" width="8.7265625" style="19"/>
    <col min="11551" max="11551" width="3.26953125" style="19" customWidth="1"/>
    <col min="11552" max="11560" width="8.7265625" style="19"/>
    <col min="11561" max="11561" width="3.26953125" style="19" customWidth="1"/>
    <col min="11562" max="11567" width="8.7265625" style="19"/>
    <col min="11568" max="11568" width="10.54296875" style="19" customWidth="1"/>
    <col min="11569" max="11570" width="8.7265625" style="19"/>
    <col min="11571" max="11571" width="3.26953125" style="19" customWidth="1"/>
    <col min="11572" max="11768" width="8.7265625" style="19"/>
    <col min="11769" max="11769" width="7.453125" style="19" customWidth="1"/>
    <col min="11770" max="11770" width="6.26953125" style="19" customWidth="1"/>
    <col min="11771" max="11771" width="3.26953125" style="19" customWidth="1"/>
    <col min="11772" max="11777" width="8.7265625" style="19"/>
    <col min="11778" max="11778" width="3.26953125" style="19" customWidth="1"/>
    <col min="11779" max="11786" width="8.7265625" style="19"/>
    <col min="11787" max="11787" width="3.26953125" style="19" customWidth="1"/>
    <col min="11788" max="11795" width="8.7265625" style="19"/>
    <col min="11796" max="11796" width="3.26953125" style="19" customWidth="1"/>
    <col min="11797" max="11798" width="8.7265625" style="19"/>
    <col min="11799" max="11799" width="3.26953125" style="19" customWidth="1"/>
    <col min="11800" max="11806" width="8.7265625" style="19"/>
    <col min="11807" max="11807" width="3.26953125" style="19" customWidth="1"/>
    <col min="11808" max="11816" width="8.7265625" style="19"/>
    <col min="11817" max="11817" width="3.26953125" style="19" customWidth="1"/>
    <col min="11818" max="11823" width="8.7265625" style="19"/>
    <col min="11824" max="11824" width="10.54296875" style="19" customWidth="1"/>
    <col min="11825" max="11826" width="8.7265625" style="19"/>
    <col min="11827" max="11827" width="3.26953125" style="19" customWidth="1"/>
    <col min="11828" max="12024" width="8.7265625" style="19"/>
    <col min="12025" max="12025" width="7.453125" style="19" customWidth="1"/>
    <col min="12026" max="12026" width="6.26953125" style="19" customWidth="1"/>
    <col min="12027" max="12027" width="3.26953125" style="19" customWidth="1"/>
    <col min="12028" max="12033" width="8.7265625" style="19"/>
    <col min="12034" max="12034" width="3.26953125" style="19" customWidth="1"/>
    <col min="12035" max="12042" width="8.7265625" style="19"/>
    <col min="12043" max="12043" width="3.26953125" style="19" customWidth="1"/>
    <col min="12044" max="12051" width="8.7265625" style="19"/>
    <col min="12052" max="12052" width="3.26953125" style="19" customWidth="1"/>
    <col min="12053" max="12054" width="8.7265625" style="19"/>
    <col min="12055" max="12055" width="3.26953125" style="19" customWidth="1"/>
    <col min="12056" max="12062" width="8.7265625" style="19"/>
    <col min="12063" max="12063" width="3.26953125" style="19" customWidth="1"/>
    <col min="12064" max="12072" width="8.7265625" style="19"/>
    <col min="12073" max="12073" width="3.26953125" style="19" customWidth="1"/>
    <col min="12074" max="12079" width="8.7265625" style="19"/>
    <col min="12080" max="12080" width="10.54296875" style="19" customWidth="1"/>
    <col min="12081" max="12082" width="8.7265625" style="19"/>
    <col min="12083" max="12083" width="3.26953125" style="19" customWidth="1"/>
    <col min="12084" max="12280" width="8.7265625" style="19"/>
    <col min="12281" max="12281" width="7.453125" style="19" customWidth="1"/>
    <col min="12282" max="12282" width="6.26953125" style="19" customWidth="1"/>
    <col min="12283" max="12283" width="3.26953125" style="19" customWidth="1"/>
    <col min="12284" max="12289" width="8.7265625" style="19"/>
    <col min="12290" max="12290" width="3.26953125" style="19" customWidth="1"/>
    <col min="12291" max="12298" width="8.7265625" style="19"/>
    <col min="12299" max="12299" width="3.26953125" style="19" customWidth="1"/>
    <col min="12300" max="12307" width="8.7265625" style="19"/>
    <col min="12308" max="12308" width="3.26953125" style="19" customWidth="1"/>
    <col min="12309" max="12310" width="8.7265625" style="19"/>
    <col min="12311" max="12311" width="3.26953125" style="19" customWidth="1"/>
    <col min="12312" max="12318" width="8.7265625" style="19"/>
    <col min="12319" max="12319" width="3.26953125" style="19" customWidth="1"/>
    <col min="12320" max="12328" width="8.7265625" style="19"/>
    <col min="12329" max="12329" width="3.26953125" style="19" customWidth="1"/>
    <col min="12330" max="12335" width="8.7265625" style="19"/>
    <col min="12336" max="12336" width="10.54296875" style="19" customWidth="1"/>
    <col min="12337" max="12338" width="8.7265625" style="19"/>
    <col min="12339" max="12339" width="3.26953125" style="19" customWidth="1"/>
    <col min="12340" max="12536" width="8.7265625" style="19"/>
    <col min="12537" max="12537" width="7.453125" style="19" customWidth="1"/>
    <col min="12538" max="12538" width="6.26953125" style="19" customWidth="1"/>
    <col min="12539" max="12539" width="3.26953125" style="19" customWidth="1"/>
    <col min="12540" max="12545" width="8.7265625" style="19"/>
    <col min="12546" max="12546" width="3.26953125" style="19" customWidth="1"/>
    <col min="12547" max="12554" width="8.7265625" style="19"/>
    <col min="12555" max="12555" width="3.26953125" style="19" customWidth="1"/>
    <col min="12556" max="12563" width="8.7265625" style="19"/>
    <col min="12564" max="12564" width="3.26953125" style="19" customWidth="1"/>
    <col min="12565" max="12566" width="8.7265625" style="19"/>
    <col min="12567" max="12567" width="3.26953125" style="19" customWidth="1"/>
    <col min="12568" max="12574" width="8.7265625" style="19"/>
    <col min="12575" max="12575" width="3.26953125" style="19" customWidth="1"/>
    <col min="12576" max="12584" width="8.7265625" style="19"/>
    <col min="12585" max="12585" width="3.26953125" style="19" customWidth="1"/>
    <col min="12586" max="12591" width="8.7265625" style="19"/>
    <col min="12592" max="12592" width="10.54296875" style="19" customWidth="1"/>
    <col min="12593" max="12594" width="8.7265625" style="19"/>
    <col min="12595" max="12595" width="3.26953125" style="19" customWidth="1"/>
    <col min="12596" max="12792" width="8.7265625" style="19"/>
    <col min="12793" max="12793" width="7.453125" style="19" customWidth="1"/>
    <col min="12794" max="12794" width="6.26953125" style="19" customWidth="1"/>
    <col min="12795" max="12795" width="3.26953125" style="19" customWidth="1"/>
    <col min="12796" max="12801" width="8.7265625" style="19"/>
    <col min="12802" max="12802" width="3.26953125" style="19" customWidth="1"/>
    <col min="12803" max="12810" width="8.7265625" style="19"/>
    <col min="12811" max="12811" width="3.26953125" style="19" customWidth="1"/>
    <col min="12812" max="12819" width="8.7265625" style="19"/>
    <col min="12820" max="12820" width="3.26953125" style="19" customWidth="1"/>
    <col min="12821" max="12822" width="8.7265625" style="19"/>
    <col min="12823" max="12823" width="3.26953125" style="19" customWidth="1"/>
    <col min="12824" max="12830" width="8.7265625" style="19"/>
    <col min="12831" max="12831" width="3.26953125" style="19" customWidth="1"/>
    <col min="12832" max="12840" width="8.7265625" style="19"/>
    <col min="12841" max="12841" width="3.26953125" style="19" customWidth="1"/>
    <col min="12842" max="12847" width="8.7265625" style="19"/>
    <col min="12848" max="12848" width="10.54296875" style="19" customWidth="1"/>
    <col min="12849" max="12850" width="8.7265625" style="19"/>
    <col min="12851" max="12851" width="3.26953125" style="19" customWidth="1"/>
    <col min="12852" max="13048" width="8.7265625" style="19"/>
    <col min="13049" max="13049" width="7.453125" style="19" customWidth="1"/>
    <col min="13050" max="13050" width="6.26953125" style="19" customWidth="1"/>
    <col min="13051" max="13051" width="3.26953125" style="19" customWidth="1"/>
    <col min="13052" max="13057" width="8.7265625" style="19"/>
    <col min="13058" max="13058" width="3.26953125" style="19" customWidth="1"/>
    <col min="13059" max="13066" width="8.7265625" style="19"/>
    <col min="13067" max="13067" width="3.26953125" style="19" customWidth="1"/>
    <col min="13068" max="13075" width="8.7265625" style="19"/>
    <col min="13076" max="13076" width="3.26953125" style="19" customWidth="1"/>
    <col min="13077" max="13078" width="8.7265625" style="19"/>
    <col min="13079" max="13079" width="3.26953125" style="19" customWidth="1"/>
    <col min="13080" max="13086" width="8.7265625" style="19"/>
    <col min="13087" max="13087" width="3.26953125" style="19" customWidth="1"/>
    <col min="13088" max="13096" width="8.7265625" style="19"/>
    <col min="13097" max="13097" width="3.26953125" style="19" customWidth="1"/>
    <col min="13098" max="13103" width="8.7265625" style="19"/>
    <col min="13104" max="13104" width="10.54296875" style="19" customWidth="1"/>
    <col min="13105" max="13106" width="8.7265625" style="19"/>
    <col min="13107" max="13107" width="3.26953125" style="19" customWidth="1"/>
    <col min="13108" max="13304" width="8.7265625" style="19"/>
    <col min="13305" max="13305" width="7.453125" style="19" customWidth="1"/>
    <col min="13306" max="13306" width="6.26953125" style="19" customWidth="1"/>
    <col min="13307" max="13307" width="3.26953125" style="19" customWidth="1"/>
    <col min="13308" max="13313" width="8.7265625" style="19"/>
    <col min="13314" max="13314" width="3.26953125" style="19" customWidth="1"/>
    <col min="13315" max="13322" width="8.7265625" style="19"/>
    <col min="13323" max="13323" width="3.26953125" style="19" customWidth="1"/>
    <col min="13324" max="13331" width="8.7265625" style="19"/>
    <col min="13332" max="13332" width="3.26953125" style="19" customWidth="1"/>
    <col min="13333" max="13334" width="8.7265625" style="19"/>
    <col min="13335" max="13335" width="3.26953125" style="19" customWidth="1"/>
    <col min="13336" max="13342" width="8.7265625" style="19"/>
    <col min="13343" max="13343" width="3.26953125" style="19" customWidth="1"/>
    <col min="13344" max="13352" width="8.7265625" style="19"/>
    <col min="13353" max="13353" width="3.26953125" style="19" customWidth="1"/>
    <col min="13354" max="13359" width="8.7265625" style="19"/>
    <col min="13360" max="13360" width="10.54296875" style="19" customWidth="1"/>
    <col min="13361" max="13362" width="8.7265625" style="19"/>
    <col min="13363" max="13363" width="3.26953125" style="19" customWidth="1"/>
    <col min="13364" max="13560" width="8.7265625" style="19"/>
    <col min="13561" max="13561" width="7.453125" style="19" customWidth="1"/>
    <col min="13562" max="13562" width="6.26953125" style="19" customWidth="1"/>
    <col min="13563" max="13563" width="3.26953125" style="19" customWidth="1"/>
    <col min="13564" max="13569" width="8.7265625" style="19"/>
    <col min="13570" max="13570" width="3.26953125" style="19" customWidth="1"/>
    <col min="13571" max="13578" width="8.7265625" style="19"/>
    <col min="13579" max="13579" width="3.26953125" style="19" customWidth="1"/>
    <col min="13580" max="13587" width="8.7265625" style="19"/>
    <col min="13588" max="13588" width="3.26953125" style="19" customWidth="1"/>
    <col min="13589" max="13590" width="8.7265625" style="19"/>
    <col min="13591" max="13591" width="3.26953125" style="19" customWidth="1"/>
    <col min="13592" max="13598" width="8.7265625" style="19"/>
    <col min="13599" max="13599" width="3.26953125" style="19" customWidth="1"/>
    <col min="13600" max="13608" width="8.7265625" style="19"/>
    <col min="13609" max="13609" width="3.26953125" style="19" customWidth="1"/>
    <col min="13610" max="13615" width="8.7265625" style="19"/>
    <col min="13616" max="13616" width="10.54296875" style="19" customWidth="1"/>
    <col min="13617" max="13618" width="8.7265625" style="19"/>
    <col min="13619" max="13619" width="3.26953125" style="19" customWidth="1"/>
    <col min="13620" max="13816" width="8.7265625" style="19"/>
    <col min="13817" max="13817" width="7.453125" style="19" customWidth="1"/>
    <col min="13818" max="13818" width="6.26953125" style="19" customWidth="1"/>
    <col min="13819" max="13819" width="3.26953125" style="19" customWidth="1"/>
    <col min="13820" max="13825" width="8.7265625" style="19"/>
    <col min="13826" max="13826" width="3.26953125" style="19" customWidth="1"/>
    <col min="13827" max="13834" width="8.7265625" style="19"/>
    <col min="13835" max="13835" width="3.26953125" style="19" customWidth="1"/>
    <col min="13836" max="13843" width="8.7265625" style="19"/>
    <col min="13844" max="13844" width="3.26953125" style="19" customWidth="1"/>
    <col min="13845" max="13846" width="8.7265625" style="19"/>
    <col min="13847" max="13847" width="3.26953125" style="19" customWidth="1"/>
    <col min="13848" max="13854" width="8.7265625" style="19"/>
    <col min="13855" max="13855" width="3.26953125" style="19" customWidth="1"/>
    <col min="13856" max="13864" width="8.7265625" style="19"/>
    <col min="13865" max="13865" width="3.26953125" style="19" customWidth="1"/>
    <col min="13866" max="13871" width="8.7265625" style="19"/>
    <col min="13872" max="13872" width="10.54296875" style="19" customWidth="1"/>
    <col min="13873" max="13874" width="8.7265625" style="19"/>
    <col min="13875" max="13875" width="3.26953125" style="19" customWidth="1"/>
    <col min="13876" max="14072" width="8.7265625" style="19"/>
    <col min="14073" max="14073" width="7.453125" style="19" customWidth="1"/>
    <col min="14074" max="14074" width="6.26953125" style="19" customWidth="1"/>
    <col min="14075" max="14075" width="3.26953125" style="19" customWidth="1"/>
    <col min="14076" max="14081" width="8.7265625" style="19"/>
    <col min="14082" max="14082" width="3.26953125" style="19" customWidth="1"/>
    <col min="14083" max="14090" width="8.7265625" style="19"/>
    <col min="14091" max="14091" width="3.26953125" style="19" customWidth="1"/>
    <col min="14092" max="14099" width="8.7265625" style="19"/>
    <col min="14100" max="14100" width="3.26953125" style="19" customWidth="1"/>
    <col min="14101" max="14102" width="8.7265625" style="19"/>
    <col min="14103" max="14103" width="3.26953125" style="19" customWidth="1"/>
    <col min="14104" max="14110" width="8.7265625" style="19"/>
    <col min="14111" max="14111" width="3.26953125" style="19" customWidth="1"/>
    <col min="14112" max="14120" width="8.7265625" style="19"/>
    <col min="14121" max="14121" width="3.26953125" style="19" customWidth="1"/>
    <col min="14122" max="14127" width="8.7265625" style="19"/>
    <col min="14128" max="14128" width="10.54296875" style="19" customWidth="1"/>
    <col min="14129" max="14130" width="8.7265625" style="19"/>
    <col min="14131" max="14131" width="3.26953125" style="19" customWidth="1"/>
    <col min="14132" max="14328" width="8.7265625" style="19"/>
    <col min="14329" max="14329" width="7.453125" style="19" customWidth="1"/>
    <col min="14330" max="14330" width="6.26953125" style="19" customWidth="1"/>
    <col min="14331" max="14331" width="3.26953125" style="19" customWidth="1"/>
    <col min="14332" max="14337" width="8.7265625" style="19"/>
    <col min="14338" max="14338" width="3.26953125" style="19" customWidth="1"/>
    <col min="14339" max="14346" width="8.7265625" style="19"/>
    <col min="14347" max="14347" width="3.26953125" style="19" customWidth="1"/>
    <col min="14348" max="14355" width="8.7265625" style="19"/>
    <col min="14356" max="14356" width="3.26953125" style="19" customWidth="1"/>
    <col min="14357" max="14358" width="8.7265625" style="19"/>
    <col min="14359" max="14359" width="3.26953125" style="19" customWidth="1"/>
    <col min="14360" max="14366" width="8.7265625" style="19"/>
    <col min="14367" max="14367" width="3.26953125" style="19" customWidth="1"/>
    <col min="14368" max="14376" width="8.7265625" style="19"/>
    <col min="14377" max="14377" width="3.26953125" style="19" customWidth="1"/>
    <col min="14378" max="14383" width="8.7265625" style="19"/>
    <col min="14384" max="14384" width="10.54296875" style="19" customWidth="1"/>
    <col min="14385" max="14386" width="8.7265625" style="19"/>
    <col min="14387" max="14387" width="3.26953125" style="19" customWidth="1"/>
    <col min="14388" max="14584" width="8.7265625" style="19"/>
    <col min="14585" max="14585" width="7.453125" style="19" customWidth="1"/>
    <col min="14586" max="14586" width="6.26953125" style="19" customWidth="1"/>
    <col min="14587" max="14587" width="3.26953125" style="19" customWidth="1"/>
    <col min="14588" max="14593" width="8.7265625" style="19"/>
    <col min="14594" max="14594" width="3.26953125" style="19" customWidth="1"/>
    <col min="14595" max="14602" width="8.7265625" style="19"/>
    <col min="14603" max="14603" width="3.26953125" style="19" customWidth="1"/>
    <col min="14604" max="14611" width="8.7265625" style="19"/>
    <col min="14612" max="14612" width="3.26953125" style="19" customWidth="1"/>
    <col min="14613" max="14614" width="8.7265625" style="19"/>
    <col min="14615" max="14615" width="3.26953125" style="19" customWidth="1"/>
    <col min="14616" max="14622" width="8.7265625" style="19"/>
    <col min="14623" max="14623" width="3.26953125" style="19" customWidth="1"/>
    <col min="14624" max="14632" width="8.7265625" style="19"/>
    <col min="14633" max="14633" width="3.26953125" style="19" customWidth="1"/>
    <col min="14634" max="14639" width="8.7265625" style="19"/>
    <col min="14640" max="14640" width="10.54296875" style="19" customWidth="1"/>
    <col min="14641" max="14642" width="8.7265625" style="19"/>
    <col min="14643" max="14643" width="3.26953125" style="19" customWidth="1"/>
    <col min="14644" max="14840" width="8.7265625" style="19"/>
    <col min="14841" max="14841" width="7.453125" style="19" customWidth="1"/>
    <col min="14842" max="14842" width="6.26953125" style="19" customWidth="1"/>
    <col min="14843" max="14843" width="3.26953125" style="19" customWidth="1"/>
    <col min="14844" max="14849" width="8.7265625" style="19"/>
    <col min="14850" max="14850" width="3.26953125" style="19" customWidth="1"/>
    <col min="14851" max="14858" width="8.7265625" style="19"/>
    <col min="14859" max="14859" width="3.26953125" style="19" customWidth="1"/>
    <col min="14860" max="14867" width="8.7265625" style="19"/>
    <col min="14868" max="14868" width="3.26953125" style="19" customWidth="1"/>
    <col min="14869" max="14870" width="8.7265625" style="19"/>
    <col min="14871" max="14871" width="3.26953125" style="19" customWidth="1"/>
    <col min="14872" max="14878" width="8.7265625" style="19"/>
    <col min="14879" max="14879" width="3.26953125" style="19" customWidth="1"/>
    <col min="14880" max="14888" width="8.7265625" style="19"/>
    <col min="14889" max="14889" width="3.26953125" style="19" customWidth="1"/>
    <col min="14890" max="14895" width="8.7265625" style="19"/>
    <col min="14896" max="14896" width="10.54296875" style="19" customWidth="1"/>
    <col min="14897" max="14898" width="8.7265625" style="19"/>
    <col min="14899" max="14899" width="3.26953125" style="19" customWidth="1"/>
    <col min="14900" max="15096" width="8.7265625" style="19"/>
    <col min="15097" max="15097" width="7.453125" style="19" customWidth="1"/>
    <col min="15098" max="15098" width="6.26953125" style="19" customWidth="1"/>
    <col min="15099" max="15099" width="3.26953125" style="19" customWidth="1"/>
    <col min="15100" max="15105" width="8.7265625" style="19"/>
    <col min="15106" max="15106" width="3.26953125" style="19" customWidth="1"/>
    <col min="15107" max="15114" width="8.7265625" style="19"/>
    <col min="15115" max="15115" width="3.26953125" style="19" customWidth="1"/>
    <col min="15116" max="15123" width="8.7265625" style="19"/>
    <col min="15124" max="15124" width="3.26953125" style="19" customWidth="1"/>
    <col min="15125" max="15126" width="8.7265625" style="19"/>
    <col min="15127" max="15127" width="3.26953125" style="19" customWidth="1"/>
    <col min="15128" max="15134" width="8.7265625" style="19"/>
    <col min="15135" max="15135" width="3.26953125" style="19" customWidth="1"/>
    <col min="15136" max="15144" width="8.7265625" style="19"/>
    <col min="15145" max="15145" width="3.26953125" style="19" customWidth="1"/>
    <col min="15146" max="15151" width="8.7265625" style="19"/>
    <col min="15152" max="15152" width="10.54296875" style="19" customWidth="1"/>
    <col min="15153" max="15154" width="8.7265625" style="19"/>
    <col min="15155" max="15155" width="3.26953125" style="19" customWidth="1"/>
    <col min="15156" max="15352" width="8.7265625" style="19"/>
    <col min="15353" max="15353" width="7.453125" style="19" customWidth="1"/>
    <col min="15354" max="15354" width="6.26953125" style="19" customWidth="1"/>
    <col min="15355" max="15355" width="3.26953125" style="19" customWidth="1"/>
    <col min="15356" max="15361" width="8.7265625" style="19"/>
    <col min="15362" max="15362" width="3.26953125" style="19" customWidth="1"/>
    <col min="15363" max="15370" width="8.7265625" style="19"/>
    <col min="15371" max="15371" width="3.26953125" style="19" customWidth="1"/>
    <col min="15372" max="15379" width="8.7265625" style="19"/>
    <col min="15380" max="15380" width="3.26953125" style="19" customWidth="1"/>
    <col min="15381" max="15382" width="8.7265625" style="19"/>
    <col min="15383" max="15383" width="3.26953125" style="19" customWidth="1"/>
    <col min="15384" max="15390" width="8.7265625" style="19"/>
    <col min="15391" max="15391" width="3.26953125" style="19" customWidth="1"/>
    <col min="15392" max="15400" width="8.7265625" style="19"/>
    <col min="15401" max="15401" width="3.26953125" style="19" customWidth="1"/>
    <col min="15402" max="15407" width="8.7265625" style="19"/>
    <col min="15408" max="15408" width="10.54296875" style="19" customWidth="1"/>
    <col min="15409" max="15410" width="8.7265625" style="19"/>
    <col min="15411" max="15411" width="3.26953125" style="19" customWidth="1"/>
    <col min="15412" max="15608" width="8.7265625" style="19"/>
    <col min="15609" max="15609" width="7.453125" style="19" customWidth="1"/>
    <col min="15610" max="15610" width="6.26953125" style="19" customWidth="1"/>
    <col min="15611" max="15611" width="3.26953125" style="19" customWidth="1"/>
    <col min="15612" max="15617" width="8.7265625" style="19"/>
    <col min="15618" max="15618" width="3.26953125" style="19" customWidth="1"/>
    <col min="15619" max="15626" width="8.7265625" style="19"/>
    <col min="15627" max="15627" width="3.26953125" style="19" customWidth="1"/>
    <col min="15628" max="15635" width="8.7265625" style="19"/>
    <col min="15636" max="15636" width="3.26953125" style="19" customWidth="1"/>
    <col min="15637" max="15638" width="8.7265625" style="19"/>
    <col min="15639" max="15639" width="3.26953125" style="19" customWidth="1"/>
    <col min="15640" max="15646" width="8.7265625" style="19"/>
    <col min="15647" max="15647" width="3.26953125" style="19" customWidth="1"/>
    <col min="15648" max="15656" width="8.7265625" style="19"/>
    <col min="15657" max="15657" width="3.26953125" style="19" customWidth="1"/>
    <col min="15658" max="15663" width="8.7265625" style="19"/>
    <col min="15664" max="15664" width="10.54296875" style="19" customWidth="1"/>
    <col min="15665" max="15666" width="8.7265625" style="19"/>
    <col min="15667" max="15667" width="3.26953125" style="19" customWidth="1"/>
    <col min="15668" max="15864" width="8.7265625" style="19"/>
    <col min="15865" max="15865" width="7.453125" style="19" customWidth="1"/>
    <col min="15866" max="15866" width="6.26953125" style="19" customWidth="1"/>
    <col min="15867" max="15867" width="3.26953125" style="19" customWidth="1"/>
    <col min="15868" max="15873" width="8.7265625" style="19"/>
    <col min="15874" max="15874" width="3.26953125" style="19" customWidth="1"/>
    <col min="15875" max="15882" width="8.7265625" style="19"/>
    <col min="15883" max="15883" width="3.26953125" style="19" customWidth="1"/>
    <col min="15884" max="15891" width="8.7265625" style="19"/>
    <col min="15892" max="15892" width="3.26953125" style="19" customWidth="1"/>
    <col min="15893" max="15894" width="8.7265625" style="19"/>
    <col min="15895" max="15895" width="3.26953125" style="19" customWidth="1"/>
    <col min="15896" max="15902" width="8.7265625" style="19"/>
    <col min="15903" max="15903" width="3.26953125" style="19" customWidth="1"/>
    <col min="15904" max="15912" width="8.7265625" style="19"/>
    <col min="15913" max="15913" width="3.26953125" style="19" customWidth="1"/>
    <col min="15914" max="15919" width="8.7265625" style="19"/>
    <col min="15920" max="15920" width="10.54296875" style="19" customWidth="1"/>
    <col min="15921" max="15922" width="8.7265625" style="19"/>
    <col min="15923" max="15923" width="3.26953125" style="19" customWidth="1"/>
    <col min="15924" max="16120" width="8.7265625" style="19"/>
    <col min="16121" max="16121" width="7.453125" style="19" customWidth="1"/>
    <col min="16122" max="16122" width="6.26953125" style="19" customWidth="1"/>
    <col min="16123" max="16123" width="3.26953125" style="19" customWidth="1"/>
    <col min="16124" max="16129" width="8.7265625" style="19"/>
    <col min="16130" max="16130" width="3.26953125" style="19" customWidth="1"/>
    <col min="16131" max="16138" width="8.7265625" style="19"/>
    <col min="16139" max="16139" width="3.26953125" style="19" customWidth="1"/>
    <col min="16140" max="16147" width="8.7265625" style="19"/>
    <col min="16148" max="16148" width="3.26953125" style="19" customWidth="1"/>
    <col min="16149" max="16150" width="8.7265625" style="19"/>
    <col min="16151" max="16151" width="3.26953125" style="19" customWidth="1"/>
    <col min="16152" max="16158" width="8.7265625" style="19"/>
    <col min="16159" max="16159" width="3.26953125" style="19" customWidth="1"/>
    <col min="16160" max="16168" width="8.7265625" style="19"/>
    <col min="16169" max="16169" width="3.26953125" style="19" customWidth="1"/>
    <col min="16170" max="16175" width="8.7265625" style="19"/>
    <col min="16176" max="16176" width="10.54296875" style="19" customWidth="1"/>
    <col min="16177" max="16178" width="8.7265625" style="19"/>
    <col min="16179" max="16179" width="3.26953125" style="19" customWidth="1"/>
    <col min="16180" max="16384" width="8.7265625" style="19"/>
  </cols>
  <sheetData>
    <row r="1" spans="1:59" s="2" customFormat="1" ht="45" customHeight="1" x14ac:dyDescent="0.35">
      <c r="A1" s="38" t="s">
        <v>271</v>
      </c>
    </row>
    <row r="2" spans="1:59" s="3" customFormat="1" ht="20.25" customHeight="1" x14ac:dyDescent="0.35">
      <c r="A2" s="3" t="s">
        <v>15</v>
      </c>
    </row>
    <row r="3" spans="1:59" s="3" customFormat="1" ht="20.25" customHeight="1" x14ac:dyDescent="0.35">
      <c r="A3" s="44" t="s">
        <v>158</v>
      </c>
    </row>
    <row r="4" spans="1:59" s="3" customFormat="1" ht="20.25" customHeight="1" x14ac:dyDescent="0.35">
      <c r="A4" s="3" t="s">
        <v>159</v>
      </c>
    </row>
    <row r="5" spans="1:59" s="39" customFormat="1" ht="49" customHeight="1" x14ac:dyDescent="0.35">
      <c r="A5" s="57" t="s">
        <v>88</v>
      </c>
      <c r="B5" s="65" t="s">
        <v>272</v>
      </c>
      <c r="C5" s="66" t="s">
        <v>56</v>
      </c>
      <c r="D5" s="66" t="s">
        <v>57</v>
      </c>
      <c r="E5" s="67" t="s">
        <v>313</v>
      </c>
      <c r="F5" s="66" t="s">
        <v>312</v>
      </c>
      <c r="G5" s="66" t="s">
        <v>58</v>
      </c>
      <c r="H5" s="66" t="s">
        <v>273</v>
      </c>
      <c r="I5" s="66" t="s">
        <v>89</v>
      </c>
      <c r="J5" s="66" t="s">
        <v>314</v>
      </c>
      <c r="K5" s="66" t="s">
        <v>279</v>
      </c>
      <c r="L5" s="66" t="s">
        <v>90</v>
      </c>
      <c r="M5" s="67" t="s">
        <v>315</v>
      </c>
      <c r="N5" s="66" t="s">
        <v>316</v>
      </c>
      <c r="O5" s="66" t="s">
        <v>59</v>
      </c>
      <c r="P5" s="66" t="s">
        <v>274</v>
      </c>
      <c r="Q5" s="66" t="s">
        <v>278</v>
      </c>
      <c r="R5" s="66" t="s">
        <v>317</v>
      </c>
      <c r="S5" s="66" t="s">
        <v>281</v>
      </c>
      <c r="T5" s="66" t="s">
        <v>282</v>
      </c>
      <c r="U5" s="67" t="s">
        <v>318</v>
      </c>
      <c r="V5" s="66" t="s">
        <v>319</v>
      </c>
      <c r="W5" s="66" t="s">
        <v>283</v>
      </c>
      <c r="X5" s="66" t="s">
        <v>275</v>
      </c>
      <c r="Y5" s="66" t="s">
        <v>284</v>
      </c>
      <c r="Z5" s="66" t="s">
        <v>310</v>
      </c>
      <c r="AA5" s="66" t="s">
        <v>285</v>
      </c>
      <c r="AB5" s="66" t="s">
        <v>320</v>
      </c>
      <c r="AC5" s="66" t="s">
        <v>286</v>
      </c>
      <c r="AD5" s="66" t="s">
        <v>287</v>
      </c>
      <c r="AE5" s="67" t="s">
        <v>321</v>
      </c>
      <c r="AF5" s="66" t="s">
        <v>322</v>
      </c>
      <c r="AG5" s="66" t="s">
        <v>276</v>
      </c>
      <c r="AH5" s="66" t="s">
        <v>288</v>
      </c>
      <c r="AI5" s="66" t="s">
        <v>323</v>
      </c>
      <c r="AJ5" s="66" t="s">
        <v>289</v>
      </c>
      <c r="AK5" s="66" t="s">
        <v>290</v>
      </c>
      <c r="AL5" s="67" t="s">
        <v>324</v>
      </c>
      <c r="AM5" s="66" t="s">
        <v>325</v>
      </c>
      <c r="AN5" s="66" t="s">
        <v>291</v>
      </c>
      <c r="AO5" s="66" t="s">
        <v>292</v>
      </c>
      <c r="AP5" s="66" t="s">
        <v>311</v>
      </c>
      <c r="AQ5" s="66" t="s">
        <v>293</v>
      </c>
      <c r="AR5" s="66" t="s">
        <v>294</v>
      </c>
      <c r="AS5" s="66" t="s">
        <v>295</v>
      </c>
      <c r="AT5" s="66" t="s">
        <v>296</v>
      </c>
      <c r="AU5" s="66" t="s">
        <v>306</v>
      </c>
      <c r="AV5" s="66" t="s">
        <v>307</v>
      </c>
      <c r="AW5" s="66" t="s">
        <v>297</v>
      </c>
      <c r="AX5" s="66" t="s">
        <v>298</v>
      </c>
      <c r="AY5" s="66" t="s">
        <v>277</v>
      </c>
      <c r="AZ5" s="66" t="s">
        <v>299</v>
      </c>
      <c r="BA5" s="66" t="s">
        <v>326</v>
      </c>
      <c r="BB5" s="66" t="s">
        <v>301</v>
      </c>
      <c r="BC5" s="66" t="s">
        <v>302</v>
      </c>
      <c r="BD5" s="67" t="s">
        <v>327</v>
      </c>
      <c r="BE5" s="66" t="s">
        <v>328</v>
      </c>
      <c r="BF5" s="66" t="s">
        <v>309</v>
      </c>
      <c r="BG5" s="68" t="s">
        <v>303</v>
      </c>
    </row>
    <row r="6" spans="1:59" ht="15.5" x14ac:dyDescent="0.35">
      <c r="A6" s="50" t="s">
        <v>171</v>
      </c>
      <c r="B6" s="43">
        <f>SUM(C6:G6)</f>
        <v>76593.349999999991</v>
      </c>
      <c r="C6" s="52">
        <v>6850.59</v>
      </c>
      <c r="D6" s="52">
        <v>36353.410000000003</v>
      </c>
      <c r="E6" s="52">
        <v>26536.67</v>
      </c>
      <c r="F6" s="52">
        <v>561.87</v>
      </c>
      <c r="G6" s="52">
        <v>6290.81</v>
      </c>
      <c r="H6" s="43">
        <f>SUM(I6:O6)</f>
        <v>19918.400000000001</v>
      </c>
      <c r="I6" s="52">
        <v>3220.34</v>
      </c>
      <c r="J6" s="52">
        <v>103.7</v>
      </c>
      <c r="K6" s="52">
        <v>12668.62</v>
      </c>
      <c r="L6" s="52">
        <v>3225.1</v>
      </c>
      <c r="M6" s="52">
        <v>337.4</v>
      </c>
      <c r="N6" s="56">
        <v>0</v>
      </c>
      <c r="O6" s="52">
        <v>363.24</v>
      </c>
      <c r="P6" s="43">
        <f>SUM(Q6:W6)</f>
        <v>-30606.929999999997</v>
      </c>
      <c r="Q6" s="52">
        <v>-187.5</v>
      </c>
      <c r="R6" s="52">
        <v>-68.62</v>
      </c>
      <c r="S6" s="52">
        <v>-23940.93</v>
      </c>
      <c r="T6" s="52">
        <v>-5742.87</v>
      </c>
      <c r="U6" s="52">
        <v>-666.12</v>
      </c>
      <c r="V6" s="56">
        <v>0</v>
      </c>
      <c r="W6" s="52">
        <v>-0.89</v>
      </c>
      <c r="X6" s="43">
        <f>Y6</f>
        <v>-768.76</v>
      </c>
      <c r="Y6" s="52">
        <v>-768.76</v>
      </c>
      <c r="Z6" s="43">
        <f>SUM(AA6:AF6)</f>
        <v>1811.5500000000002</v>
      </c>
      <c r="AA6" s="52">
        <v>1130.2</v>
      </c>
      <c r="AB6" s="52">
        <v>5.2</v>
      </c>
      <c r="AC6" s="52">
        <v>-381.37</v>
      </c>
      <c r="AD6" s="52">
        <v>-140.76</v>
      </c>
      <c r="AE6" s="52">
        <v>1198.28</v>
      </c>
      <c r="AF6" s="56">
        <v>0</v>
      </c>
      <c r="AG6" s="43">
        <f>SUM(AH6:AO6)</f>
        <v>66947.610000000015</v>
      </c>
      <c r="AH6" s="43">
        <f t="shared" ref="AH6:AH37" si="0">C6+I6+Q6+AA6</f>
        <v>11013.630000000001</v>
      </c>
      <c r="AI6" s="43">
        <f t="shared" ref="AI6:AI37" si="1">J6+R6+AB6</f>
        <v>40.28</v>
      </c>
      <c r="AJ6" s="43">
        <f t="shared" ref="AJ6:AJ37" si="2">D6+K6+S6+AC6</f>
        <v>24699.730000000007</v>
      </c>
      <c r="AK6" s="43">
        <f t="shared" ref="AK6:AK37" si="3">L6+T6+Y6+AD6</f>
        <v>-3427.29</v>
      </c>
      <c r="AL6" s="43">
        <f t="shared" ref="AL6:AL37" si="4">E6+M6+U6+AE6</f>
        <v>27406.23</v>
      </c>
      <c r="AM6" s="43">
        <f t="shared" ref="AM6:AM69" si="5">F6+N6+V6+AF6</f>
        <v>561.87</v>
      </c>
      <c r="AN6" s="43">
        <f>G6</f>
        <v>6290.81</v>
      </c>
      <c r="AO6" s="43">
        <f t="shared" ref="AO6:AO37" si="6">O6+W6</f>
        <v>362.35</v>
      </c>
      <c r="AP6" s="43">
        <f t="shared" ref="AP6:AP37" si="7">AG6-AY6</f>
        <v>-1320.4599999999773</v>
      </c>
      <c r="AQ6" s="43">
        <f t="shared" ref="AQ6:AQ37" si="8">AH6-AZ6</f>
        <v>-456.17999999999847</v>
      </c>
      <c r="AR6" s="43">
        <f t="shared" ref="AR6:AR37" si="9">AI6-BA6</f>
        <v>-78.529999999999944</v>
      </c>
      <c r="AS6" s="43">
        <f t="shared" ref="AS6:AS37" si="10">AJ6-BB6</f>
        <v>-749.78999999998996</v>
      </c>
      <c r="AT6" s="43">
        <f t="shared" ref="AT6:AT37" si="11">AK6-BC6</f>
        <v>-78.580000000000837</v>
      </c>
      <c r="AU6" s="43">
        <f t="shared" ref="AU6:AU37" si="12">AL6-BD6</f>
        <v>-5.9099999999962165</v>
      </c>
      <c r="AV6" s="43">
        <f t="shared" ref="AV6:AV37" si="13">AM6-BE6</f>
        <v>-0.44999999999993179</v>
      </c>
      <c r="AW6" s="43">
        <f t="shared" ref="AW6:AW37" si="14">AN6-BF6</f>
        <v>0</v>
      </c>
      <c r="AX6" s="43">
        <f t="shared" ref="AX6:AX37" si="15">AO6-BG6</f>
        <v>48.979999999998313</v>
      </c>
      <c r="AY6" s="43">
        <f>'Quarter demand'!B6</f>
        <v>68268.069999999992</v>
      </c>
      <c r="AZ6" s="43">
        <f>'Quarter demand'!C6</f>
        <v>11469.81</v>
      </c>
      <c r="BA6" s="43">
        <f>'Quarter demand'!D6</f>
        <v>118.80999999999995</v>
      </c>
      <c r="BB6" s="43">
        <f>'Quarter demand'!E6</f>
        <v>25449.519999999997</v>
      </c>
      <c r="BC6" s="43">
        <f>'Quarter demand'!F6</f>
        <v>-3348.7099999999991</v>
      </c>
      <c r="BD6" s="43">
        <f>'Quarter demand'!G6</f>
        <v>27412.139999999996</v>
      </c>
      <c r="BE6" s="43">
        <f>'Quarter demand'!H6</f>
        <v>562.31999999999994</v>
      </c>
      <c r="BF6" s="43">
        <f>'Quarter demand'!I6</f>
        <v>6290.81</v>
      </c>
      <c r="BG6" s="53">
        <f>'Quarter demand'!J6</f>
        <v>313.37000000000171</v>
      </c>
    </row>
    <row r="7" spans="1:59" ht="15.5" x14ac:dyDescent="0.35">
      <c r="A7" s="50" t="s">
        <v>172</v>
      </c>
      <c r="B7" s="43">
        <f t="shared" ref="B7:B70" si="16">SUM(C7:G7)</f>
        <v>66988.460000000006</v>
      </c>
      <c r="C7" s="52">
        <v>6412.18</v>
      </c>
      <c r="D7" s="52">
        <v>34922.39</v>
      </c>
      <c r="E7" s="52">
        <v>19501.5</v>
      </c>
      <c r="F7" s="52">
        <v>495.18</v>
      </c>
      <c r="G7" s="52">
        <v>5657.21</v>
      </c>
      <c r="H7" s="43">
        <f t="shared" ref="H7:H71" si="17">SUM(I7:O7)</f>
        <v>22100.43</v>
      </c>
      <c r="I7" s="52">
        <v>3733.23</v>
      </c>
      <c r="J7" s="52">
        <v>243.8</v>
      </c>
      <c r="K7" s="52">
        <v>15405.9</v>
      </c>
      <c r="L7" s="52">
        <v>2166.5500000000002</v>
      </c>
      <c r="M7" s="52">
        <v>207.65</v>
      </c>
      <c r="N7" s="56">
        <v>0</v>
      </c>
      <c r="O7" s="52">
        <v>343.3</v>
      </c>
      <c r="P7" s="43">
        <f t="shared" ref="P7:P71" si="18">SUM(Q7:W7)</f>
        <v>-30763.66</v>
      </c>
      <c r="Q7" s="52">
        <v>-178.86</v>
      </c>
      <c r="R7" s="52">
        <v>-55.4</v>
      </c>
      <c r="S7" s="52">
        <v>-22197.75</v>
      </c>
      <c r="T7" s="52">
        <v>-7787.7</v>
      </c>
      <c r="U7" s="52">
        <v>-542.73</v>
      </c>
      <c r="V7" s="56">
        <v>0</v>
      </c>
      <c r="W7" s="52">
        <v>-1.22</v>
      </c>
      <c r="X7" s="43">
        <f t="shared" ref="X7:X71" si="19">Y7</f>
        <v>-861.8</v>
      </c>
      <c r="Y7" s="52">
        <v>-861.8</v>
      </c>
      <c r="Z7" s="43">
        <f t="shared" ref="Z7:Z71" si="20">SUM(AA7:AF7)</f>
        <v>168.29</v>
      </c>
      <c r="AA7" s="52">
        <v>36.83</v>
      </c>
      <c r="AB7" s="52">
        <v>0.03</v>
      </c>
      <c r="AC7" s="52">
        <v>15.77</v>
      </c>
      <c r="AD7" s="52">
        <v>173.53</v>
      </c>
      <c r="AE7" s="52">
        <v>-57.87</v>
      </c>
      <c r="AF7" s="56">
        <v>0</v>
      </c>
      <c r="AG7" s="43">
        <f>SUM(AH7:AO7)</f>
        <v>57631.720000000008</v>
      </c>
      <c r="AH7" s="43">
        <f t="shared" si="0"/>
        <v>10003.379999999999</v>
      </c>
      <c r="AI7" s="43">
        <f t="shared" si="1"/>
        <v>188.43</v>
      </c>
      <c r="AJ7" s="43">
        <f t="shared" si="2"/>
        <v>28146.31</v>
      </c>
      <c r="AK7" s="43">
        <f t="shared" si="3"/>
        <v>-6309.42</v>
      </c>
      <c r="AL7" s="43">
        <f t="shared" si="4"/>
        <v>19108.550000000003</v>
      </c>
      <c r="AM7" s="43">
        <f t="shared" si="5"/>
        <v>495.18</v>
      </c>
      <c r="AN7" s="43">
        <f t="shared" ref="AN7:AN38" si="21">G7</f>
        <v>5657.21</v>
      </c>
      <c r="AO7" s="43">
        <f t="shared" si="6"/>
        <v>342.08</v>
      </c>
      <c r="AP7" s="43">
        <f t="shared" si="7"/>
        <v>1245.8200000000143</v>
      </c>
      <c r="AQ7" s="43">
        <f t="shared" si="8"/>
        <v>517.03000000000065</v>
      </c>
      <c r="AR7" s="43">
        <f t="shared" si="9"/>
        <v>60.129999999999711</v>
      </c>
      <c r="AS7" s="43">
        <f t="shared" si="10"/>
        <v>487.31000000000131</v>
      </c>
      <c r="AT7" s="43">
        <f t="shared" si="11"/>
        <v>340.15000000000327</v>
      </c>
      <c r="AU7" s="43">
        <f t="shared" si="12"/>
        <v>-248.45999999999549</v>
      </c>
      <c r="AV7" s="43">
        <f t="shared" si="13"/>
        <v>0</v>
      </c>
      <c r="AW7" s="43">
        <f t="shared" si="14"/>
        <v>0</v>
      </c>
      <c r="AX7" s="43">
        <f t="shared" si="15"/>
        <v>89.659999999999911</v>
      </c>
      <c r="AY7" s="43">
        <f>'Quarter demand'!B7</f>
        <v>56385.899999999994</v>
      </c>
      <c r="AZ7" s="43">
        <f>'Quarter demand'!C7</f>
        <v>9486.3499999999985</v>
      </c>
      <c r="BA7" s="43">
        <f>'Quarter demand'!D7</f>
        <v>128.3000000000003</v>
      </c>
      <c r="BB7" s="43">
        <f>'Quarter demand'!E7</f>
        <v>27659</v>
      </c>
      <c r="BC7" s="43">
        <f>'Quarter demand'!F7</f>
        <v>-6649.5700000000033</v>
      </c>
      <c r="BD7" s="43">
        <f>'Quarter demand'!G7</f>
        <v>19357.009999999998</v>
      </c>
      <c r="BE7" s="43">
        <f>'Quarter demand'!H7</f>
        <v>495.18</v>
      </c>
      <c r="BF7" s="43">
        <f>'Quarter demand'!I7</f>
        <v>5657.21</v>
      </c>
      <c r="BG7" s="54">
        <f>'Quarter demand'!J7</f>
        <v>252.42000000000007</v>
      </c>
    </row>
    <row r="8" spans="1:59" ht="15.5" x14ac:dyDescent="0.35">
      <c r="A8" s="50" t="s">
        <v>173</v>
      </c>
      <c r="B8" s="43">
        <f t="shared" si="16"/>
        <v>63631.94</v>
      </c>
      <c r="C8" s="52">
        <v>5787.84</v>
      </c>
      <c r="D8" s="52">
        <v>35687.980000000003</v>
      </c>
      <c r="E8" s="52">
        <v>16195.57</v>
      </c>
      <c r="F8" s="52">
        <v>461.82</v>
      </c>
      <c r="G8" s="52">
        <v>5498.73</v>
      </c>
      <c r="H8" s="43">
        <f t="shared" si="17"/>
        <v>19663.82</v>
      </c>
      <c r="I8" s="52">
        <v>3450.55</v>
      </c>
      <c r="J8" s="52">
        <v>104.07</v>
      </c>
      <c r="K8" s="52">
        <v>12525.73</v>
      </c>
      <c r="L8" s="52">
        <v>3374.79</v>
      </c>
      <c r="M8" s="52">
        <v>132.16</v>
      </c>
      <c r="N8" s="56">
        <v>0</v>
      </c>
      <c r="O8" s="52">
        <v>76.52</v>
      </c>
      <c r="P8" s="43">
        <f t="shared" si="18"/>
        <v>-29405.169999999995</v>
      </c>
      <c r="Q8" s="52">
        <v>-147.69</v>
      </c>
      <c r="R8" s="52">
        <v>-53.91</v>
      </c>
      <c r="S8" s="52">
        <v>-22433.96</v>
      </c>
      <c r="T8" s="52">
        <v>-6232.62</v>
      </c>
      <c r="U8" s="52">
        <v>-533.28</v>
      </c>
      <c r="V8" s="56">
        <v>0</v>
      </c>
      <c r="W8" s="52">
        <v>-3.71</v>
      </c>
      <c r="X8" s="43">
        <f t="shared" si="19"/>
        <v>-815.16</v>
      </c>
      <c r="Y8" s="52">
        <v>-815.16</v>
      </c>
      <c r="Z8" s="43">
        <f t="shared" si="20"/>
        <v>-1125.3399999999999</v>
      </c>
      <c r="AA8" s="52">
        <v>229.7</v>
      </c>
      <c r="AB8" s="52">
        <v>-44.95</v>
      </c>
      <c r="AC8" s="52">
        <v>-369.96</v>
      </c>
      <c r="AD8" s="52">
        <v>267.69</v>
      </c>
      <c r="AE8" s="52">
        <v>-1207.82</v>
      </c>
      <c r="AF8" s="56">
        <v>0</v>
      </c>
      <c r="AG8" s="43">
        <f>SUM(AH8:AO8)</f>
        <v>51950.090000000011</v>
      </c>
      <c r="AH8" s="43">
        <f t="shared" si="0"/>
        <v>9320.4</v>
      </c>
      <c r="AI8" s="43">
        <f t="shared" si="1"/>
        <v>5.2099999999999937</v>
      </c>
      <c r="AJ8" s="43">
        <f t="shared" si="2"/>
        <v>25409.790000000008</v>
      </c>
      <c r="AK8" s="43">
        <f t="shared" si="3"/>
        <v>-3405.2999999999997</v>
      </c>
      <c r="AL8" s="43">
        <f t="shared" si="4"/>
        <v>14586.63</v>
      </c>
      <c r="AM8" s="43">
        <f t="shared" si="5"/>
        <v>461.82</v>
      </c>
      <c r="AN8" s="43">
        <f t="shared" si="21"/>
        <v>5498.73</v>
      </c>
      <c r="AO8" s="43">
        <f t="shared" si="6"/>
        <v>72.81</v>
      </c>
      <c r="AP8" s="43">
        <f t="shared" si="7"/>
        <v>263.3300000000163</v>
      </c>
      <c r="AQ8" s="43">
        <f t="shared" si="8"/>
        <v>123.77999999999884</v>
      </c>
      <c r="AR8" s="43">
        <f t="shared" si="9"/>
        <v>-22.380000000000038</v>
      </c>
      <c r="AS8" s="43">
        <f t="shared" si="10"/>
        <v>-205.42999999999302</v>
      </c>
      <c r="AT8" s="43">
        <f t="shared" si="11"/>
        <v>345.89000000000624</v>
      </c>
      <c r="AU8" s="43">
        <f t="shared" si="12"/>
        <v>-9.1299999999991996</v>
      </c>
      <c r="AV8" s="43">
        <f t="shared" si="13"/>
        <v>0.19999999999998863</v>
      </c>
      <c r="AW8" s="43">
        <f t="shared" si="14"/>
        <v>9.999999999308784E-3</v>
      </c>
      <c r="AX8" s="43">
        <f t="shared" si="15"/>
        <v>30.38999999999902</v>
      </c>
      <c r="AY8" s="43">
        <f>'Quarter demand'!B8</f>
        <v>51686.759999999995</v>
      </c>
      <c r="AZ8" s="43">
        <f>'Quarter demand'!C8</f>
        <v>9196.6200000000008</v>
      </c>
      <c r="BA8" s="43">
        <f>'Quarter demand'!D8</f>
        <v>27.590000000000032</v>
      </c>
      <c r="BB8" s="43">
        <f>'Quarter demand'!E8</f>
        <v>25615.22</v>
      </c>
      <c r="BC8" s="43">
        <f>'Quarter demand'!F8</f>
        <v>-3751.190000000006</v>
      </c>
      <c r="BD8" s="43">
        <f>'Quarter demand'!G8</f>
        <v>14595.759999999998</v>
      </c>
      <c r="BE8" s="43">
        <f>'Quarter demand'!H8</f>
        <v>461.62</v>
      </c>
      <c r="BF8" s="43">
        <f>'Quarter demand'!I8</f>
        <v>5498.72</v>
      </c>
      <c r="BG8" s="54">
        <f>'Quarter demand'!J8</f>
        <v>42.420000000000982</v>
      </c>
    </row>
    <row r="9" spans="1:59" ht="15.5" x14ac:dyDescent="0.35">
      <c r="A9" s="50" t="s">
        <v>174</v>
      </c>
      <c r="B9" s="43">
        <f t="shared" si="16"/>
        <v>80019.28</v>
      </c>
      <c r="C9" s="52">
        <v>6706.54</v>
      </c>
      <c r="D9" s="52">
        <v>38298.959999999999</v>
      </c>
      <c r="E9" s="52">
        <v>27951.89</v>
      </c>
      <c r="F9" s="52">
        <v>558.16</v>
      </c>
      <c r="G9" s="52">
        <v>6503.73</v>
      </c>
      <c r="H9" s="43">
        <f t="shared" si="17"/>
        <v>20377.87</v>
      </c>
      <c r="I9" s="52">
        <v>4377.45</v>
      </c>
      <c r="J9" s="52">
        <v>137.94</v>
      </c>
      <c r="K9" s="52">
        <v>11751.42</v>
      </c>
      <c r="L9" s="52">
        <v>3578.14</v>
      </c>
      <c r="M9" s="52">
        <v>232.67</v>
      </c>
      <c r="N9" s="56">
        <v>0</v>
      </c>
      <c r="O9" s="52">
        <v>300.25</v>
      </c>
      <c r="P9" s="43">
        <f t="shared" si="18"/>
        <v>-31780.22</v>
      </c>
      <c r="Q9" s="52">
        <v>-192.12</v>
      </c>
      <c r="R9" s="52">
        <v>-46.77</v>
      </c>
      <c r="S9" s="52">
        <v>-23942.93</v>
      </c>
      <c r="T9" s="52">
        <v>-6617.63</v>
      </c>
      <c r="U9" s="52">
        <v>-975.32</v>
      </c>
      <c r="V9" s="56">
        <v>0</v>
      </c>
      <c r="W9" s="52">
        <v>-5.45</v>
      </c>
      <c r="X9" s="43">
        <f t="shared" si="19"/>
        <v>-811.65</v>
      </c>
      <c r="Y9" s="52">
        <v>-811.65</v>
      </c>
      <c r="Z9" s="43">
        <f t="shared" si="20"/>
        <v>-854.98</v>
      </c>
      <c r="AA9" s="52">
        <v>-489.9</v>
      </c>
      <c r="AB9" s="52">
        <v>-94.41</v>
      </c>
      <c r="AC9" s="52">
        <v>86.96</v>
      </c>
      <c r="AD9" s="52">
        <v>-392.88</v>
      </c>
      <c r="AE9" s="52">
        <v>35.25</v>
      </c>
      <c r="AF9" s="56">
        <v>0</v>
      </c>
      <c r="AG9" s="43">
        <f>SUM(AH9:AO9)</f>
        <v>66950.3</v>
      </c>
      <c r="AH9" s="43">
        <f t="shared" si="0"/>
        <v>10401.969999999999</v>
      </c>
      <c r="AI9" s="43">
        <f t="shared" si="1"/>
        <v>-3.2400000000000091</v>
      </c>
      <c r="AJ9" s="43">
        <f t="shared" si="2"/>
        <v>26194.409999999996</v>
      </c>
      <c r="AK9" s="43">
        <f t="shared" si="3"/>
        <v>-4244.0200000000004</v>
      </c>
      <c r="AL9" s="43">
        <f t="shared" si="4"/>
        <v>27244.489999999998</v>
      </c>
      <c r="AM9" s="43">
        <f t="shared" si="5"/>
        <v>558.16</v>
      </c>
      <c r="AN9" s="43">
        <f t="shared" si="21"/>
        <v>6503.73</v>
      </c>
      <c r="AO9" s="43">
        <f t="shared" si="6"/>
        <v>294.8</v>
      </c>
      <c r="AP9" s="43">
        <f t="shared" si="7"/>
        <v>-226.67999999999302</v>
      </c>
      <c r="AQ9" s="43">
        <f t="shared" si="8"/>
        <v>-55.930000000000291</v>
      </c>
      <c r="AR9" s="43">
        <f t="shared" si="9"/>
        <v>-48.730000000000075</v>
      </c>
      <c r="AS9" s="43">
        <f t="shared" si="10"/>
        <v>-678.95000000000437</v>
      </c>
      <c r="AT9" s="43">
        <f t="shared" si="11"/>
        <v>-153.04999999999927</v>
      </c>
      <c r="AU9" s="43">
        <f t="shared" si="12"/>
        <v>718.75</v>
      </c>
      <c r="AV9" s="43">
        <f t="shared" si="13"/>
        <v>0.24000000000000909</v>
      </c>
      <c r="AW9" s="43">
        <f t="shared" si="14"/>
        <v>0</v>
      </c>
      <c r="AX9" s="43">
        <f t="shared" si="15"/>
        <v>-9.0099999999994793</v>
      </c>
      <c r="AY9" s="43">
        <f>'Quarter demand'!B9</f>
        <v>67176.98</v>
      </c>
      <c r="AZ9" s="43">
        <f>'Quarter demand'!C9</f>
        <v>10457.9</v>
      </c>
      <c r="BA9" s="43">
        <f>'Quarter demand'!D9</f>
        <v>45.490000000000066</v>
      </c>
      <c r="BB9" s="43">
        <f>'Quarter demand'!E9</f>
        <v>26873.360000000001</v>
      </c>
      <c r="BC9" s="43">
        <f>'Quarter demand'!F9</f>
        <v>-4090.9700000000012</v>
      </c>
      <c r="BD9" s="43">
        <f>'Quarter demand'!G9</f>
        <v>26525.739999999998</v>
      </c>
      <c r="BE9" s="43">
        <f>'Quarter demand'!H9</f>
        <v>557.91999999999996</v>
      </c>
      <c r="BF9" s="43">
        <f>'Quarter demand'!I9</f>
        <v>6503.7300000000005</v>
      </c>
      <c r="BG9" s="54">
        <f>'Quarter demand'!J9</f>
        <v>303.80999999999949</v>
      </c>
    </row>
    <row r="10" spans="1:59" ht="15.5" x14ac:dyDescent="0.35">
      <c r="A10" s="50" t="s">
        <v>175</v>
      </c>
      <c r="B10" s="43">
        <f t="shared" si="16"/>
        <v>80226.63</v>
      </c>
      <c r="C10" s="52">
        <v>6107.98</v>
      </c>
      <c r="D10" s="52">
        <v>37667.040000000001</v>
      </c>
      <c r="E10" s="52">
        <v>29490.75</v>
      </c>
      <c r="F10" s="52">
        <v>600.69000000000005</v>
      </c>
      <c r="G10" s="52">
        <v>6360.17</v>
      </c>
      <c r="H10" s="43">
        <f t="shared" si="17"/>
        <v>19628.32</v>
      </c>
      <c r="I10" s="52">
        <v>3879.57</v>
      </c>
      <c r="J10" s="52">
        <v>34.909999999999997</v>
      </c>
      <c r="K10" s="52">
        <v>11006.5</v>
      </c>
      <c r="L10" s="52">
        <v>3996.73</v>
      </c>
      <c r="M10" s="52">
        <v>397.14</v>
      </c>
      <c r="N10" s="56">
        <v>0</v>
      </c>
      <c r="O10" s="52">
        <v>313.47000000000003</v>
      </c>
      <c r="P10" s="43">
        <f t="shared" si="18"/>
        <v>-30087.93</v>
      </c>
      <c r="Q10" s="52">
        <v>-171.07</v>
      </c>
      <c r="R10" s="52">
        <v>-48.34</v>
      </c>
      <c r="S10" s="52">
        <v>-22709.439999999999</v>
      </c>
      <c r="T10" s="52">
        <v>-5927.14</v>
      </c>
      <c r="U10" s="52">
        <v>-1229.8599999999999</v>
      </c>
      <c r="V10" s="56">
        <v>0</v>
      </c>
      <c r="W10" s="52">
        <v>-2.08</v>
      </c>
      <c r="X10" s="43">
        <f t="shared" si="19"/>
        <v>-670.73</v>
      </c>
      <c r="Y10" s="52">
        <v>-670.73</v>
      </c>
      <c r="Z10" s="43">
        <f t="shared" si="20"/>
        <v>1491.85</v>
      </c>
      <c r="AA10" s="52">
        <v>-191.95</v>
      </c>
      <c r="AB10" s="52">
        <v>132.38</v>
      </c>
      <c r="AC10" s="52">
        <v>262.92</v>
      </c>
      <c r="AD10" s="52">
        <v>-166.53</v>
      </c>
      <c r="AE10" s="52">
        <v>1455.03</v>
      </c>
      <c r="AF10" s="56">
        <v>0</v>
      </c>
      <c r="AG10" s="43">
        <f>SUM(AH10:AO10)</f>
        <v>70588.14</v>
      </c>
      <c r="AH10" s="43">
        <f t="shared" si="0"/>
        <v>9624.5299999999988</v>
      </c>
      <c r="AI10" s="43">
        <f t="shared" si="1"/>
        <v>118.94999999999999</v>
      </c>
      <c r="AJ10" s="43">
        <f t="shared" si="2"/>
        <v>26227.02</v>
      </c>
      <c r="AK10" s="43">
        <f t="shared" si="3"/>
        <v>-2767.6700000000005</v>
      </c>
      <c r="AL10" s="43">
        <f t="shared" si="4"/>
        <v>30113.059999999998</v>
      </c>
      <c r="AM10" s="43">
        <f t="shared" si="5"/>
        <v>600.69000000000005</v>
      </c>
      <c r="AN10" s="43">
        <f t="shared" si="21"/>
        <v>6360.17</v>
      </c>
      <c r="AO10" s="43">
        <f t="shared" si="6"/>
        <v>311.39000000000004</v>
      </c>
      <c r="AP10" s="43">
        <f t="shared" si="7"/>
        <v>561.7899999999936</v>
      </c>
      <c r="AQ10" s="43">
        <f t="shared" si="8"/>
        <v>-557.50000000000182</v>
      </c>
      <c r="AR10" s="43">
        <f t="shared" si="9"/>
        <v>-1.0599999999999454</v>
      </c>
      <c r="AS10" s="43">
        <f t="shared" si="10"/>
        <v>899.56000000000131</v>
      </c>
      <c r="AT10" s="43">
        <f t="shared" si="11"/>
        <v>213.99999999999409</v>
      </c>
      <c r="AU10" s="43">
        <f t="shared" si="12"/>
        <v>58.889999999999418</v>
      </c>
      <c r="AV10" s="43">
        <f t="shared" si="13"/>
        <v>-6.9999999999936335E-2</v>
      </c>
      <c r="AW10" s="43">
        <f t="shared" si="14"/>
        <v>0.44000000000050932</v>
      </c>
      <c r="AX10" s="43">
        <f t="shared" si="15"/>
        <v>-52.46999999999872</v>
      </c>
      <c r="AY10" s="43">
        <f>'Quarter demand'!B10</f>
        <v>70026.350000000006</v>
      </c>
      <c r="AZ10" s="43">
        <f>'Quarter demand'!C10</f>
        <v>10182.030000000001</v>
      </c>
      <c r="BA10" s="43">
        <f>'Quarter demand'!D10</f>
        <v>120.00999999999993</v>
      </c>
      <c r="BB10" s="43">
        <f>'Quarter demand'!E10</f>
        <v>25327.46</v>
      </c>
      <c r="BC10" s="43">
        <f>'Quarter demand'!F10</f>
        <v>-2981.6699999999946</v>
      </c>
      <c r="BD10" s="43">
        <f>'Quarter demand'!G10</f>
        <v>30054.17</v>
      </c>
      <c r="BE10" s="43">
        <f>'Quarter demand'!H10</f>
        <v>600.76</v>
      </c>
      <c r="BF10" s="43">
        <f>'Quarter demand'!I10</f>
        <v>6359.73</v>
      </c>
      <c r="BG10" s="54">
        <f>'Quarter demand'!J10</f>
        <v>363.85999999999876</v>
      </c>
    </row>
    <row r="11" spans="1:59" ht="15.5" x14ac:dyDescent="0.35">
      <c r="A11" s="50" t="s">
        <v>176</v>
      </c>
      <c r="B11" s="43">
        <f t="shared" si="16"/>
        <v>69706.299999999988</v>
      </c>
      <c r="C11" s="52">
        <v>5923.43</v>
      </c>
      <c r="D11" s="52">
        <v>36204.31</v>
      </c>
      <c r="E11" s="52">
        <v>21129.61</v>
      </c>
      <c r="F11" s="52">
        <v>531.52</v>
      </c>
      <c r="G11" s="52">
        <v>5917.43</v>
      </c>
      <c r="H11" s="43">
        <f t="shared" si="17"/>
        <v>19009.95</v>
      </c>
      <c r="I11" s="52">
        <v>3025.17</v>
      </c>
      <c r="J11" s="52">
        <v>91.36</v>
      </c>
      <c r="K11" s="52">
        <v>11884.63</v>
      </c>
      <c r="L11" s="52">
        <v>3472.53</v>
      </c>
      <c r="M11" s="52">
        <v>213.99</v>
      </c>
      <c r="N11" s="56">
        <v>0</v>
      </c>
      <c r="O11" s="52">
        <v>322.27</v>
      </c>
      <c r="P11" s="43">
        <f t="shared" si="18"/>
        <v>-32278.849999999995</v>
      </c>
      <c r="Q11" s="52">
        <v>-117.64</v>
      </c>
      <c r="R11" s="52">
        <v>-50.25</v>
      </c>
      <c r="S11" s="52">
        <v>-23330.69</v>
      </c>
      <c r="T11" s="52">
        <v>-7042.19</v>
      </c>
      <c r="U11" s="52">
        <v>-1734.67</v>
      </c>
      <c r="V11" s="56">
        <v>0</v>
      </c>
      <c r="W11" s="52">
        <v>-3.41</v>
      </c>
      <c r="X11" s="43">
        <f t="shared" si="19"/>
        <v>-599.72</v>
      </c>
      <c r="Y11" s="52">
        <v>-599.72</v>
      </c>
      <c r="Z11" s="43">
        <f t="shared" si="20"/>
        <v>-118.94999999999999</v>
      </c>
      <c r="AA11" s="52">
        <v>-787.8</v>
      </c>
      <c r="AB11" s="52">
        <v>52.68</v>
      </c>
      <c r="AC11" s="52">
        <v>506.26</v>
      </c>
      <c r="AD11" s="52">
        <v>499.16</v>
      </c>
      <c r="AE11" s="52">
        <v>-389.25</v>
      </c>
      <c r="AF11" s="56">
        <v>0</v>
      </c>
      <c r="AG11" s="43">
        <f t="shared" ref="AG11:AG16" si="22">SUM(AH11:AO11)</f>
        <v>55718.729999999989</v>
      </c>
      <c r="AH11" s="43">
        <f t="shared" si="0"/>
        <v>8043.1600000000008</v>
      </c>
      <c r="AI11" s="43">
        <f t="shared" si="1"/>
        <v>93.789999999999992</v>
      </c>
      <c r="AJ11" s="43">
        <f t="shared" si="2"/>
        <v>25264.509999999995</v>
      </c>
      <c r="AK11" s="43">
        <f t="shared" si="3"/>
        <v>-3670.2199999999993</v>
      </c>
      <c r="AL11" s="43">
        <f t="shared" si="4"/>
        <v>19219.68</v>
      </c>
      <c r="AM11" s="43">
        <f t="shared" si="5"/>
        <v>531.52</v>
      </c>
      <c r="AN11" s="43">
        <f t="shared" si="21"/>
        <v>5917.43</v>
      </c>
      <c r="AO11" s="43">
        <f t="shared" si="6"/>
        <v>318.85999999999996</v>
      </c>
      <c r="AP11" s="43">
        <f t="shared" si="7"/>
        <v>37.959999999984575</v>
      </c>
      <c r="AQ11" s="43">
        <f t="shared" si="8"/>
        <v>-69.130000000000109</v>
      </c>
      <c r="AR11" s="43">
        <f t="shared" si="9"/>
        <v>-62.689999999999628</v>
      </c>
      <c r="AS11" s="43">
        <f t="shared" si="10"/>
        <v>523.0199999999968</v>
      </c>
      <c r="AT11" s="43">
        <f t="shared" si="11"/>
        <v>316.34999999999673</v>
      </c>
      <c r="AU11" s="43">
        <f t="shared" si="12"/>
        <v>-735.23999999999796</v>
      </c>
      <c r="AV11" s="43">
        <f t="shared" si="13"/>
        <v>-5.999999999994543E-2</v>
      </c>
      <c r="AW11" s="43">
        <f t="shared" si="14"/>
        <v>0.44000000000050932</v>
      </c>
      <c r="AX11" s="43">
        <f t="shared" si="15"/>
        <v>65.269999999999811</v>
      </c>
      <c r="AY11" s="43">
        <f>'Quarter demand'!B11</f>
        <v>55680.770000000004</v>
      </c>
      <c r="AZ11" s="43">
        <f>'Quarter demand'!C11</f>
        <v>8112.2900000000009</v>
      </c>
      <c r="BA11" s="43">
        <f>'Quarter demand'!D11</f>
        <v>156.47999999999962</v>
      </c>
      <c r="BB11" s="43">
        <f>'Quarter demand'!E11</f>
        <v>24741.489999999998</v>
      </c>
      <c r="BC11" s="43">
        <f>'Quarter demand'!F11</f>
        <v>-3986.5699999999961</v>
      </c>
      <c r="BD11" s="43">
        <f>'Quarter demand'!G11</f>
        <v>19954.919999999998</v>
      </c>
      <c r="BE11" s="43">
        <f>'Quarter demand'!H11</f>
        <v>531.57999999999993</v>
      </c>
      <c r="BF11" s="43">
        <f>'Quarter demand'!I11</f>
        <v>5916.99</v>
      </c>
      <c r="BG11" s="54">
        <f>'Quarter demand'!J11</f>
        <v>253.59000000000015</v>
      </c>
    </row>
    <row r="12" spans="1:59" ht="15.5" x14ac:dyDescent="0.35">
      <c r="A12" s="50" t="s">
        <v>177</v>
      </c>
      <c r="B12" s="43">
        <f t="shared" si="16"/>
        <v>67370.64</v>
      </c>
      <c r="C12" s="52">
        <v>5582.4</v>
      </c>
      <c r="D12" s="52">
        <v>37573.019999999997</v>
      </c>
      <c r="E12" s="52">
        <v>18562.41</v>
      </c>
      <c r="F12" s="52">
        <v>506.9</v>
      </c>
      <c r="G12" s="52">
        <v>5145.91</v>
      </c>
      <c r="H12" s="43">
        <f t="shared" si="17"/>
        <v>20655.46</v>
      </c>
      <c r="I12" s="52">
        <v>3029.66</v>
      </c>
      <c r="J12" s="52">
        <v>106.82</v>
      </c>
      <c r="K12" s="52">
        <v>12908.19</v>
      </c>
      <c r="L12" s="52">
        <v>4168.32</v>
      </c>
      <c r="M12" s="52">
        <v>148.47</v>
      </c>
      <c r="N12" s="56">
        <v>0</v>
      </c>
      <c r="O12" s="52">
        <v>294</v>
      </c>
      <c r="P12" s="43">
        <f t="shared" si="18"/>
        <v>-34199.35</v>
      </c>
      <c r="Q12" s="52">
        <v>-125.07</v>
      </c>
      <c r="R12" s="52">
        <v>-55.14</v>
      </c>
      <c r="S12" s="52">
        <v>-26481.84</v>
      </c>
      <c r="T12" s="52">
        <v>-5629.46</v>
      </c>
      <c r="U12" s="52">
        <v>-1897.1</v>
      </c>
      <c r="V12" s="56">
        <v>0</v>
      </c>
      <c r="W12" s="52">
        <v>-10.74</v>
      </c>
      <c r="X12" s="43">
        <f t="shared" si="19"/>
        <v>-647</v>
      </c>
      <c r="Y12" s="52">
        <v>-647</v>
      </c>
      <c r="Z12" s="43">
        <f t="shared" si="20"/>
        <v>-2493.5500000000002</v>
      </c>
      <c r="AA12" s="52">
        <v>-733.56</v>
      </c>
      <c r="AB12" s="52">
        <v>-20.69</v>
      </c>
      <c r="AC12" s="52">
        <v>-471.08</v>
      </c>
      <c r="AD12" s="52">
        <v>35.82</v>
      </c>
      <c r="AE12" s="52">
        <v>-1304.04</v>
      </c>
      <c r="AF12" s="56">
        <v>0</v>
      </c>
      <c r="AG12" s="43">
        <f t="shared" si="22"/>
        <v>50686.200000000004</v>
      </c>
      <c r="AH12" s="43">
        <f t="shared" si="0"/>
        <v>7753.43</v>
      </c>
      <c r="AI12" s="43">
        <f t="shared" si="1"/>
        <v>30.989999999999991</v>
      </c>
      <c r="AJ12" s="43">
        <f t="shared" si="2"/>
        <v>23528.289999999997</v>
      </c>
      <c r="AK12" s="43">
        <f t="shared" si="3"/>
        <v>-2072.3200000000002</v>
      </c>
      <c r="AL12" s="43">
        <f t="shared" si="4"/>
        <v>15509.740000000002</v>
      </c>
      <c r="AM12" s="43">
        <f t="shared" si="5"/>
        <v>506.9</v>
      </c>
      <c r="AN12" s="43">
        <f t="shared" si="21"/>
        <v>5145.91</v>
      </c>
      <c r="AO12" s="43">
        <f t="shared" si="6"/>
        <v>283.26</v>
      </c>
      <c r="AP12" s="43">
        <f t="shared" si="7"/>
        <v>-880.94999999998981</v>
      </c>
      <c r="AQ12" s="43">
        <f t="shared" si="8"/>
        <v>-258.11000000000058</v>
      </c>
      <c r="AR12" s="43">
        <f t="shared" si="9"/>
        <v>-104.36999999999996</v>
      </c>
      <c r="AS12" s="43">
        <f t="shared" si="10"/>
        <v>-316.10000000000582</v>
      </c>
      <c r="AT12" s="43">
        <f t="shared" si="11"/>
        <v>146.33999999999969</v>
      </c>
      <c r="AU12" s="43">
        <f t="shared" si="12"/>
        <v>-298.09999999999854</v>
      </c>
      <c r="AV12" s="43">
        <f t="shared" si="13"/>
        <v>-5.0000000000068212E-2</v>
      </c>
      <c r="AW12" s="43">
        <f t="shared" si="14"/>
        <v>-1.2600000000002183</v>
      </c>
      <c r="AX12" s="43">
        <f t="shared" si="15"/>
        <v>-49.29999999999859</v>
      </c>
      <c r="AY12" s="43">
        <f>'Quarter demand'!B12</f>
        <v>51567.149999999994</v>
      </c>
      <c r="AZ12" s="43">
        <f>'Quarter demand'!C12</f>
        <v>8011.5400000000009</v>
      </c>
      <c r="BA12" s="43">
        <f>'Quarter demand'!D12</f>
        <v>135.35999999999996</v>
      </c>
      <c r="BB12" s="43">
        <f>'Quarter demand'!E12</f>
        <v>23844.390000000003</v>
      </c>
      <c r="BC12" s="43">
        <f>'Quarter demand'!F12</f>
        <v>-2218.66</v>
      </c>
      <c r="BD12" s="43">
        <f>'Quarter demand'!G12</f>
        <v>15807.84</v>
      </c>
      <c r="BE12" s="43">
        <f>'Quarter demand'!H12</f>
        <v>506.95000000000005</v>
      </c>
      <c r="BF12" s="43">
        <f>'Quarter demand'!I12</f>
        <v>5147.17</v>
      </c>
      <c r="BG12" s="54">
        <f>'Quarter demand'!J12</f>
        <v>332.55999999999858</v>
      </c>
    </row>
    <row r="13" spans="1:59" ht="15.5" x14ac:dyDescent="0.35">
      <c r="A13" s="50" t="s">
        <v>178</v>
      </c>
      <c r="B13" s="43">
        <f t="shared" si="16"/>
        <v>80351.839999999997</v>
      </c>
      <c r="C13" s="52">
        <v>5605.45</v>
      </c>
      <c r="D13" s="52">
        <v>38716.050000000003</v>
      </c>
      <c r="E13" s="52">
        <v>29926</v>
      </c>
      <c r="F13" s="52">
        <v>586.17999999999995</v>
      </c>
      <c r="G13" s="52">
        <v>5518.16</v>
      </c>
      <c r="H13" s="43">
        <f t="shared" si="17"/>
        <v>21182.720000000001</v>
      </c>
      <c r="I13" s="52">
        <v>3799.12</v>
      </c>
      <c r="J13" s="52">
        <v>71.92</v>
      </c>
      <c r="K13" s="52">
        <v>13164.28</v>
      </c>
      <c r="L13" s="52">
        <v>3483.45</v>
      </c>
      <c r="M13" s="52">
        <v>346.32</v>
      </c>
      <c r="N13" s="56">
        <v>0</v>
      </c>
      <c r="O13" s="52">
        <v>317.63</v>
      </c>
      <c r="P13" s="43">
        <f t="shared" si="18"/>
        <v>-35409.96</v>
      </c>
      <c r="Q13" s="52">
        <v>-164.59</v>
      </c>
      <c r="R13" s="52">
        <v>-41.64</v>
      </c>
      <c r="S13" s="52">
        <v>-27874.25</v>
      </c>
      <c r="T13" s="52">
        <v>-4924.8</v>
      </c>
      <c r="U13" s="52">
        <v>-2398.3000000000002</v>
      </c>
      <c r="V13" s="56">
        <v>0</v>
      </c>
      <c r="W13" s="52">
        <v>-6.38</v>
      </c>
      <c r="X13" s="43">
        <f t="shared" si="19"/>
        <v>-553.36</v>
      </c>
      <c r="Y13" s="52">
        <v>-553.36</v>
      </c>
      <c r="Z13" s="43">
        <f t="shared" si="20"/>
        <v>1726.8200000000002</v>
      </c>
      <c r="AA13" s="52">
        <v>1044.83</v>
      </c>
      <c r="AB13" s="52">
        <v>12.77</v>
      </c>
      <c r="AC13" s="52">
        <v>-511.82</v>
      </c>
      <c r="AD13" s="52">
        <v>273.22000000000003</v>
      </c>
      <c r="AE13" s="52">
        <v>907.82</v>
      </c>
      <c r="AF13" s="56">
        <v>0</v>
      </c>
      <c r="AG13" s="43">
        <f t="shared" si="22"/>
        <v>67298.06</v>
      </c>
      <c r="AH13" s="43">
        <f t="shared" si="0"/>
        <v>10284.81</v>
      </c>
      <c r="AI13" s="43">
        <f t="shared" si="1"/>
        <v>43.05</v>
      </c>
      <c r="AJ13" s="43">
        <f t="shared" si="2"/>
        <v>23494.260000000002</v>
      </c>
      <c r="AK13" s="43">
        <f t="shared" si="3"/>
        <v>-1721.4900000000005</v>
      </c>
      <c r="AL13" s="43">
        <f t="shared" si="4"/>
        <v>28781.84</v>
      </c>
      <c r="AM13" s="43">
        <f t="shared" si="5"/>
        <v>586.17999999999995</v>
      </c>
      <c r="AN13" s="43">
        <f t="shared" si="21"/>
        <v>5518.16</v>
      </c>
      <c r="AO13" s="43">
        <f t="shared" si="6"/>
        <v>311.25</v>
      </c>
      <c r="AP13" s="43">
        <f t="shared" si="7"/>
        <v>996.13000000000466</v>
      </c>
      <c r="AQ13" s="43">
        <f t="shared" si="8"/>
        <v>484.34999999999854</v>
      </c>
      <c r="AR13" s="43">
        <f t="shared" si="9"/>
        <v>-101.01</v>
      </c>
      <c r="AS13" s="43">
        <f t="shared" si="10"/>
        <v>-1038.3199999999961</v>
      </c>
      <c r="AT13" s="43">
        <f t="shared" si="11"/>
        <v>444.85999999999808</v>
      </c>
      <c r="AU13" s="43">
        <f t="shared" si="12"/>
        <v>1034.9199999999983</v>
      </c>
      <c r="AV13" s="43">
        <f t="shared" si="13"/>
        <v>-6.0000000000059117E-2</v>
      </c>
      <c r="AW13" s="43">
        <f t="shared" si="14"/>
        <v>0.39000000000032742</v>
      </c>
      <c r="AX13" s="43">
        <f t="shared" si="15"/>
        <v>171</v>
      </c>
      <c r="AY13" s="43">
        <f>'Quarter demand'!B13</f>
        <v>66301.929999999993</v>
      </c>
      <c r="AZ13" s="43">
        <f>'Quarter demand'!C13</f>
        <v>9800.4600000000009</v>
      </c>
      <c r="BA13" s="43">
        <f>'Quarter demand'!D13</f>
        <v>144.06</v>
      </c>
      <c r="BB13" s="43">
        <f>'Quarter demand'!E13</f>
        <v>24532.579999999998</v>
      </c>
      <c r="BC13" s="43">
        <f>'Quarter demand'!F13</f>
        <v>-2166.3499999999985</v>
      </c>
      <c r="BD13" s="43">
        <f>'Quarter demand'!G13</f>
        <v>27746.920000000002</v>
      </c>
      <c r="BE13" s="43">
        <f>'Quarter demand'!H13</f>
        <v>586.24</v>
      </c>
      <c r="BF13" s="43">
        <f>'Quarter demand'!I13</f>
        <v>5517.7699999999995</v>
      </c>
      <c r="BG13" s="54">
        <f>'Quarter demand'!J13</f>
        <v>140.25</v>
      </c>
    </row>
    <row r="14" spans="1:59" ht="15.5" x14ac:dyDescent="0.35">
      <c r="A14" s="50" t="s">
        <v>179</v>
      </c>
      <c r="B14" s="43">
        <f t="shared" si="16"/>
        <v>81029.89</v>
      </c>
      <c r="C14" s="52">
        <v>5019.09</v>
      </c>
      <c r="D14" s="52">
        <v>37490.76</v>
      </c>
      <c r="E14" s="52">
        <v>32398.19</v>
      </c>
      <c r="F14" s="52">
        <v>616.59</v>
      </c>
      <c r="G14" s="52">
        <v>5505.26</v>
      </c>
      <c r="H14" s="43">
        <f t="shared" si="17"/>
        <v>22703.490000000005</v>
      </c>
      <c r="I14" s="52">
        <v>3542.07</v>
      </c>
      <c r="J14" s="52">
        <v>74.760000000000005</v>
      </c>
      <c r="K14" s="52">
        <v>14360.29</v>
      </c>
      <c r="L14" s="52">
        <v>4152.34</v>
      </c>
      <c r="M14" s="52">
        <v>293.29000000000002</v>
      </c>
      <c r="N14" s="56">
        <v>0</v>
      </c>
      <c r="O14" s="52">
        <v>280.74</v>
      </c>
      <c r="P14" s="43">
        <f t="shared" si="18"/>
        <v>-35336.92</v>
      </c>
      <c r="Q14" s="52">
        <v>-136.47</v>
      </c>
      <c r="R14" s="52">
        <v>-49.24</v>
      </c>
      <c r="S14" s="52">
        <v>-26914.799999999999</v>
      </c>
      <c r="T14" s="52">
        <v>-5395.25</v>
      </c>
      <c r="U14" s="52">
        <v>-2838.76</v>
      </c>
      <c r="V14" s="56">
        <v>0</v>
      </c>
      <c r="W14" s="52">
        <v>-2.4</v>
      </c>
      <c r="X14" s="43">
        <f t="shared" si="19"/>
        <v>-541.11</v>
      </c>
      <c r="Y14" s="52">
        <v>-541.11</v>
      </c>
      <c r="Z14" s="43">
        <f t="shared" si="20"/>
        <v>3437.29</v>
      </c>
      <c r="AA14" s="52">
        <v>1877.15</v>
      </c>
      <c r="AB14" s="52">
        <v>54.19</v>
      </c>
      <c r="AC14" s="52">
        <v>4.5599999999999996</v>
      </c>
      <c r="AD14" s="52">
        <v>-51.92</v>
      </c>
      <c r="AE14" s="52">
        <v>1553.31</v>
      </c>
      <c r="AF14" s="56">
        <v>0</v>
      </c>
      <c r="AG14" s="43">
        <f t="shared" si="22"/>
        <v>71292.639999999985</v>
      </c>
      <c r="AH14" s="43">
        <f t="shared" si="0"/>
        <v>10301.84</v>
      </c>
      <c r="AI14" s="43">
        <f t="shared" si="1"/>
        <v>79.710000000000008</v>
      </c>
      <c r="AJ14" s="43">
        <f t="shared" si="2"/>
        <v>24940.810000000005</v>
      </c>
      <c r="AK14" s="43">
        <f t="shared" si="3"/>
        <v>-1835.94</v>
      </c>
      <c r="AL14" s="43">
        <f t="shared" si="4"/>
        <v>31406.030000000002</v>
      </c>
      <c r="AM14" s="43">
        <f t="shared" si="5"/>
        <v>616.59</v>
      </c>
      <c r="AN14" s="43">
        <f t="shared" si="21"/>
        <v>5505.26</v>
      </c>
      <c r="AO14" s="43">
        <f t="shared" si="6"/>
        <v>278.34000000000003</v>
      </c>
      <c r="AP14" s="43">
        <f t="shared" si="7"/>
        <v>1289.9000000000087</v>
      </c>
      <c r="AQ14" s="43">
        <f t="shared" si="8"/>
        <v>-1.7999999999992724</v>
      </c>
      <c r="AR14" s="43">
        <f t="shared" si="9"/>
        <v>3.0999999999997669</v>
      </c>
      <c r="AS14" s="43">
        <f t="shared" si="10"/>
        <v>395.2100000000064</v>
      </c>
      <c r="AT14" s="43">
        <f t="shared" si="11"/>
        <v>374.82000000000198</v>
      </c>
      <c r="AU14" s="43">
        <f t="shared" si="12"/>
        <v>284.51000000000931</v>
      </c>
      <c r="AV14" s="43">
        <f t="shared" si="13"/>
        <v>-3.9399999999999409</v>
      </c>
      <c r="AW14" s="43">
        <f t="shared" si="14"/>
        <v>0.42000000000007276</v>
      </c>
      <c r="AX14" s="43">
        <f t="shared" si="15"/>
        <v>237.58000000000163</v>
      </c>
      <c r="AY14" s="43">
        <f>'Quarter demand'!B14</f>
        <v>70002.739999999976</v>
      </c>
      <c r="AZ14" s="43">
        <f>'Quarter demand'!C14</f>
        <v>10303.64</v>
      </c>
      <c r="BA14" s="43">
        <f>'Quarter demand'!D14</f>
        <v>76.610000000000241</v>
      </c>
      <c r="BB14" s="43">
        <f>'Quarter demand'!E14</f>
        <v>24545.599999999999</v>
      </c>
      <c r="BC14" s="43">
        <f>'Quarter demand'!F14</f>
        <v>-2210.760000000002</v>
      </c>
      <c r="BD14" s="43">
        <f>'Quarter demand'!G14</f>
        <v>31121.519999999993</v>
      </c>
      <c r="BE14" s="43">
        <f>'Quarter demand'!H14</f>
        <v>620.53</v>
      </c>
      <c r="BF14" s="43">
        <f>'Quarter demand'!I14</f>
        <v>5504.84</v>
      </c>
      <c r="BG14" s="54">
        <f>'Quarter demand'!J14</f>
        <v>40.759999999998399</v>
      </c>
    </row>
    <row r="15" spans="1:59" ht="15.5" x14ac:dyDescent="0.35">
      <c r="A15" s="50" t="s">
        <v>180</v>
      </c>
      <c r="B15" s="43">
        <f t="shared" si="16"/>
        <v>69656.41</v>
      </c>
      <c r="C15" s="52">
        <v>5024.72</v>
      </c>
      <c r="D15" s="52">
        <v>33742.42</v>
      </c>
      <c r="E15" s="52">
        <v>25396.9</v>
      </c>
      <c r="F15" s="52">
        <v>549.51</v>
      </c>
      <c r="G15" s="52">
        <v>4942.8599999999997</v>
      </c>
      <c r="H15" s="43">
        <f t="shared" si="17"/>
        <v>23148.74</v>
      </c>
      <c r="I15" s="52">
        <v>3958.51</v>
      </c>
      <c r="J15" s="52">
        <v>87.17</v>
      </c>
      <c r="K15" s="52">
        <v>14866.16</v>
      </c>
      <c r="L15" s="52">
        <v>3376.22</v>
      </c>
      <c r="M15" s="52">
        <v>534.30999999999995</v>
      </c>
      <c r="N15" s="56">
        <v>0</v>
      </c>
      <c r="O15" s="52">
        <v>326.37</v>
      </c>
      <c r="P15" s="43">
        <f t="shared" si="18"/>
        <v>-35987.440000000002</v>
      </c>
      <c r="Q15" s="52">
        <v>-102.13</v>
      </c>
      <c r="R15" s="52">
        <v>-54.29</v>
      </c>
      <c r="S15" s="52">
        <v>-26116.9</v>
      </c>
      <c r="T15" s="52">
        <v>-5541.56</v>
      </c>
      <c r="U15" s="52">
        <v>-4171.17</v>
      </c>
      <c r="V15" s="56">
        <v>0</v>
      </c>
      <c r="W15" s="52">
        <v>-1.39</v>
      </c>
      <c r="X15" s="43">
        <f t="shared" si="19"/>
        <v>-693.97</v>
      </c>
      <c r="Y15" s="52">
        <v>-693.97</v>
      </c>
      <c r="Z15" s="43">
        <f t="shared" si="20"/>
        <v>109.58000000000004</v>
      </c>
      <c r="AA15" s="52">
        <v>27.21</v>
      </c>
      <c r="AB15" s="52">
        <v>-36.630000000000003</v>
      </c>
      <c r="AC15" s="52">
        <v>931.52</v>
      </c>
      <c r="AD15" s="52">
        <v>-40.380000000000003</v>
      </c>
      <c r="AE15" s="52">
        <v>-772.14</v>
      </c>
      <c r="AF15" s="56">
        <v>0</v>
      </c>
      <c r="AG15" s="43">
        <f t="shared" si="22"/>
        <v>56233.320000000007</v>
      </c>
      <c r="AH15" s="43">
        <f t="shared" si="0"/>
        <v>8908.31</v>
      </c>
      <c r="AI15" s="43">
        <f t="shared" si="1"/>
        <v>-3.75</v>
      </c>
      <c r="AJ15" s="43">
        <f t="shared" si="2"/>
        <v>23423.200000000001</v>
      </c>
      <c r="AK15" s="43">
        <f t="shared" si="3"/>
        <v>-2899.6900000000005</v>
      </c>
      <c r="AL15" s="43">
        <f t="shared" si="4"/>
        <v>20987.9</v>
      </c>
      <c r="AM15" s="43">
        <f t="shared" si="5"/>
        <v>549.51</v>
      </c>
      <c r="AN15" s="43">
        <f t="shared" si="21"/>
        <v>4942.8599999999997</v>
      </c>
      <c r="AO15" s="43">
        <f t="shared" si="6"/>
        <v>324.98</v>
      </c>
      <c r="AP15" s="43">
        <f t="shared" si="7"/>
        <v>-570.21999999999389</v>
      </c>
      <c r="AQ15" s="43">
        <f t="shared" si="8"/>
        <v>133.13000000000102</v>
      </c>
      <c r="AR15" s="43">
        <f t="shared" si="9"/>
        <v>-79.929999999999893</v>
      </c>
      <c r="AS15" s="43">
        <f t="shared" si="10"/>
        <v>-205.35999999999694</v>
      </c>
      <c r="AT15" s="43">
        <f t="shared" si="11"/>
        <v>-46.399999999999636</v>
      </c>
      <c r="AU15" s="43">
        <f t="shared" si="12"/>
        <v>-415.54000000000087</v>
      </c>
      <c r="AV15" s="43">
        <f t="shared" si="13"/>
        <v>0.90999999999996817</v>
      </c>
      <c r="AW15" s="43">
        <f t="shared" si="14"/>
        <v>0.3999999999996362</v>
      </c>
      <c r="AX15" s="43">
        <f t="shared" si="15"/>
        <v>42.569999999999254</v>
      </c>
      <c r="AY15" s="43">
        <f>'Quarter demand'!B15</f>
        <v>56803.54</v>
      </c>
      <c r="AZ15" s="43">
        <f>'Quarter demand'!C15</f>
        <v>8775.1799999999985</v>
      </c>
      <c r="BA15" s="43">
        <f>'Quarter demand'!D15</f>
        <v>76.179999999999893</v>
      </c>
      <c r="BB15" s="43">
        <f>'Quarter demand'!E15</f>
        <v>23628.559999999998</v>
      </c>
      <c r="BC15" s="43">
        <f>'Quarter demand'!F15</f>
        <v>-2853.2900000000009</v>
      </c>
      <c r="BD15" s="43">
        <f>'Quarter demand'!G15</f>
        <v>21403.440000000002</v>
      </c>
      <c r="BE15" s="43">
        <f>'Quarter demand'!H15</f>
        <v>548.6</v>
      </c>
      <c r="BF15" s="43">
        <f>'Quarter demand'!I15</f>
        <v>4942.46</v>
      </c>
      <c r="BG15" s="54">
        <f>'Quarter demand'!J15</f>
        <v>282.41000000000076</v>
      </c>
    </row>
    <row r="16" spans="1:59" ht="15.5" x14ac:dyDescent="0.35">
      <c r="A16" s="50" t="s">
        <v>181</v>
      </c>
      <c r="B16" s="43">
        <f t="shared" si="16"/>
        <v>63732.37</v>
      </c>
      <c r="C16" s="52">
        <v>4364.8100000000004</v>
      </c>
      <c r="D16" s="52">
        <v>33320.660000000003</v>
      </c>
      <c r="E16" s="52">
        <v>20896.990000000002</v>
      </c>
      <c r="F16" s="52">
        <v>532.35</v>
      </c>
      <c r="G16" s="52">
        <v>4617.5600000000004</v>
      </c>
      <c r="H16" s="43">
        <f t="shared" si="17"/>
        <v>23841.21</v>
      </c>
      <c r="I16" s="52">
        <v>3712</v>
      </c>
      <c r="J16" s="52">
        <v>140.49</v>
      </c>
      <c r="K16" s="52">
        <v>15567.15</v>
      </c>
      <c r="L16" s="52">
        <v>3705.89</v>
      </c>
      <c r="M16" s="52">
        <v>391.83</v>
      </c>
      <c r="N16" s="56">
        <v>0</v>
      </c>
      <c r="O16" s="52">
        <v>323.85000000000002</v>
      </c>
      <c r="P16" s="43">
        <f t="shared" si="18"/>
        <v>-33882.14</v>
      </c>
      <c r="Q16" s="52">
        <v>-108.17</v>
      </c>
      <c r="R16" s="52">
        <v>-134.37</v>
      </c>
      <c r="S16" s="52">
        <v>-24374.28</v>
      </c>
      <c r="T16" s="52">
        <v>-5619.38</v>
      </c>
      <c r="U16" s="52">
        <v>-3642.02</v>
      </c>
      <c r="V16" s="56">
        <v>0</v>
      </c>
      <c r="W16" s="52">
        <v>-3.92</v>
      </c>
      <c r="X16" s="43">
        <f t="shared" si="19"/>
        <v>-588.71</v>
      </c>
      <c r="Y16" s="52">
        <v>-588.71</v>
      </c>
      <c r="Z16" s="43">
        <v>-1637.8706252610209</v>
      </c>
      <c r="AA16" s="52">
        <v>293.12</v>
      </c>
      <c r="AB16" s="52">
        <v>-137.44999999999999</v>
      </c>
      <c r="AC16" s="52">
        <v>-290.60000000000002</v>
      </c>
      <c r="AD16" s="52">
        <v>261.91000000000003</v>
      </c>
      <c r="AE16" s="52">
        <v>-1569.65</v>
      </c>
      <c r="AF16" s="56">
        <v>0</v>
      </c>
      <c r="AG16" s="43">
        <f t="shared" si="22"/>
        <v>51660.060000000005</v>
      </c>
      <c r="AH16" s="43">
        <f t="shared" si="0"/>
        <v>8261.76</v>
      </c>
      <c r="AI16" s="43">
        <f t="shared" si="1"/>
        <v>-131.32999999999998</v>
      </c>
      <c r="AJ16" s="43">
        <f t="shared" si="2"/>
        <v>24222.930000000008</v>
      </c>
      <c r="AK16" s="43">
        <f t="shared" si="3"/>
        <v>-2240.2900000000004</v>
      </c>
      <c r="AL16" s="43">
        <f t="shared" si="4"/>
        <v>16077.150000000003</v>
      </c>
      <c r="AM16" s="43">
        <f t="shared" si="5"/>
        <v>532.35</v>
      </c>
      <c r="AN16" s="43">
        <f t="shared" si="21"/>
        <v>4617.5600000000004</v>
      </c>
      <c r="AO16" s="43">
        <f t="shared" si="6"/>
        <v>319.93</v>
      </c>
      <c r="AP16" s="43">
        <f t="shared" si="7"/>
        <v>-352.90999999999622</v>
      </c>
      <c r="AQ16" s="43">
        <f t="shared" si="8"/>
        <v>-405.46999999999935</v>
      </c>
      <c r="AR16" s="43">
        <f t="shared" si="9"/>
        <v>34.889999999999702</v>
      </c>
      <c r="AS16" s="43">
        <f t="shared" si="10"/>
        <v>174.2100000000064</v>
      </c>
      <c r="AT16" s="43">
        <f t="shared" si="11"/>
        <v>109.49000000000206</v>
      </c>
      <c r="AU16" s="43">
        <f t="shared" si="12"/>
        <v>-56.469999999997526</v>
      </c>
      <c r="AV16" s="43">
        <f t="shared" si="13"/>
        <v>2.5400000000000773</v>
      </c>
      <c r="AW16" s="43">
        <f t="shared" si="14"/>
        <v>-1.1899999999995998</v>
      </c>
      <c r="AX16" s="43">
        <f t="shared" si="15"/>
        <v>-210.91000000000014</v>
      </c>
      <c r="AY16" s="43">
        <f>'Quarter demand'!B16</f>
        <v>52012.97</v>
      </c>
      <c r="AZ16" s="43">
        <f>'Quarter demand'!C16</f>
        <v>8667.23</v>
      </c>
      <c r="BA16" s="43">
        <f>'Quarter demand'!D16</f>
        <v>-166.21999999999969</v>
      </c>
      <c r="BB16" s="43">
        <f>'Quarter demand'!E16</f>
        <v>24048.720000000001</v>
      </c>
      <c r="BC16" s="43">
        <f>'Quarter demand'!F16</f>
        <v>-2349.7800000000025</v>
      </c>
      <c r="BD16" s="43">
        <f>'Quarter demand'!G16</f>
        <v>16133.62</v>
      </c>
      <c r="BE16" s="43">
        <f>'Quarter demand'!H16</f>
        <v>529.80999999999995</v>
      </c>
      <c r="BF16" s="43">
        <f>'Quarter demand'!I16</f>
        <v>4618.75</v>
      </c>
      <c r="BG16" s="54">
        <f>'Quarter demand'!J16</f>
        <v>530.84000000000015</v>
      </c>
    </row>
    <row r="17" spans="1:59" ht="15.5" x14ac:dyDescent="0.35">
      <c r="A17" s="50" t="s">
        <v>182</v>
      </c>
      <c r="B17" s="43">
        <f t="shared" si="16"/>
        <v>74270.949999999983</v>
      </c>
      <c r="C17" s="52">
        <v>5142.8599999999997</v>
      </c>
      <c r="D17" s="52">
        <v>33728.25</v>
      </c>
      <c r="E17" s="52">
        <v>29704.82</v>
      </c>
      <c r="F17" s="52">
        <v>607.9</v>
      </c>
      <c r="G17" s="52">
        <v>5087.12</v>
      </c>
      <c r="H17" s="43">
        <f t="shared" si="17"/>
        <v>24665.559999999998</v>
      </c>
      <c r="I17" s="52">
        <v>4519.26</v>
      </c>
      <c r="J17" s="52">
        <v>44.29</v>
      </c>
      <c r="K17" s="52">
        <v>14547.73</v>
      </c>
      <c r="L17" s="52">
        <v>4236.05</v>
      </c>
      <c r="M17" s="52">
        <v>1018.92</v>
      </c>
      <c r="N17" s="56">
        <v>0</v>
      </c>
      <c r="O17" s="52">
        <v>299.31</v>
      </c>
      <c r="P17" s="43">
        <f t="shared" si="18"/>
        <v>-32123.779999999995</v>
      </c>
      <c r="Q17" s="52">
        <v>-150.53</v>
      </c>
      <c r="R17" s="52">
        <v>-77.430000000000007</v>
      </c>
      <c r="S17" s="52">
        <v>-24178.6</v>
      </c>
      <c r="T17" s="52">
        <v>-5782.23</v>
      </c>
      <c r="U17" s="52">
        <v>-1931.19</v>
      </c>
      <c r="V17" s="56">
        <v>0</v>
      </c>
      <c r="W17" s="52">
        <v>-3.8</v>
      </c>
      <c r="X17" s="43">
        <f t="shared" si="19"/>
        <v>-383.79</v>
      </c>
      <c r="Y17" s="52">
        <v>-383.79</v>
      </c>
      <c r="Z17" s="43">
        <f t="shared" si="20"/>
        <v>1474.86</v>
      </c>
      <c r="AA17" s="52">
        <v>1638.53</v>
      </c>
      <c r="AB17" s="52">
        <v>7.34</v>
      </c>
      <c r="AC17" s="52">
        <v>550.5</v>
      </c>
      <c r="AD17" s="52">
        <v>-558.30999999999995</v>
      </c>
      <c r="AE17" s="52">
        <v>-163.19999999999999</v>
      </c>
      <c r="AF17" s="56">
        <v>0</v>
      </c>
      <c r="AG17" s="43">
        <f t="shared" ref="AG17:AG80" si="23">SUM(AH17:AO17)</f>
        <v>67903.799999999988</v>
      </c>
      <c r="AH17" s="43">
        <f t="shared" si="0"/>
        <v>11150.119999999999</v>
      </c>
      <c r="AI17" s="43">
        <f t="shared" si="1"/>
        <v>-25.800000000000008</v>
      </c>
      <c r="AJ17" s="43">
        <f t="shared" si="2"/>
        <v>24647.879999999997</v>
      </c>
      <c r="AK17" s="43">
        <f t="shared" si="3"/>
        <v>-2488.2799999999993</v>
      </c>
      <c r="AL17" s="43">
        <f t="shared" si="4"/>
        <v>28629.35</v>
      </c>
      <c r="AM17" s="43">
        <f t="shared" si="5"/>
        <v>607.9</v>
      </c>
      <c r="AN17" s="43">
        <f t="shared" si="21"/>
        <v>5087.12</v>
      </c>
      <c r="AO17" s="43">
        <f t="shared" si="6"/>
        <v>295.51</v>
      </c>
      <c r="AP17" s="43">
        <f t="shared" si="7"/>
        <v>708.21999999997206</v>
      </c>
      <c r="AQ17" s="43">
        <f t="shared" si="8"/>
        <v>235.0099999999984</v>
      </c>
      <c r="AR17" s="43">
        <f t="shared" si="9"/>
        <v>1.9400000000000013</v>
      </c>
      <c r="AS17" s="43">
        <f t="shared" si="10"/>
        <v>177.93999999999505</v>
      </c>
      <c r="AT17" s="43">
        <f t="shared" si="11"/>
        <v>-196.67000000000235</v>
      </c>
      <c r="AU17" s="43">
        <f t="shared" si="12"/>
        <v>429.81999999999971</v>
      </c>
      <c r="AV17" s="43">
        <f t="shared" si="13"/>
        <v>0.59000000000003183</v>
      </c>
      <c r="AW17" s="43">
        <f t="shared" si="14"/>
        <v>0.37999999999919964</v>
      </c>
      <c r="AX17" s="43">
        <f t="shared" si="15"/>
        <v>59.210000000000719</v>
      </c>
      <c r="AY17" s="43">
        <f>'Quarter demand'!B17</f>
        <v>67195.580000000016</v>
      </c>
      <c r="AZ17" s="43">
        <f>'Quarter demand'!C17</f>
        <v>10915.11</v>
      </c>
      <c r="BA17" s="43">
        <f>'Quarter demand'!D17</f>
        <v>-27.740000000000009</v>
      </c>
      <c r="BB17" s="43">
        <f>'Quarter demand'!E17</f>
        <v>24469.940000000002</v>
      </c>
      <c r="BC17" s="43">
        <f>'Quarter demand'!F17</f>
        <v>-2291.6099999999969</v>
      </c>
      <c r="BD17" s="43">
        <f>'Quarter demand'!G17</f>
        <v>28199.53</v>
      </c>
      <c r="BE17" s="43">
        <f>'Quarter demand'!H17</f>
        <v>607.30999999999995</v>
      </c>
      <c r="BF17" s="43">
        <f>'Quarter demand'!I17</f>
        <v>5086.7400000000007</v>
      </c>
      <c r="BG17" s="54">
        <f>'Quarter demand'!J17</f>
        <v>236.29999999999927</v>
      </c>
    </row>
    <row r="18" spans="1:59" ht="15.5" x14ac:dyDescent="0.35">
      <c r="A18" s="50" t="s">
        <v>183</v>
      </c>
      <c r="B18" s="43">
        <f t="shared" si="16"/>
        <v>74032.78</v>
      </c>
      <c r="C18" s="52">
        <v>4786.29</v>
      </c>
      <c r="D18" s="52">
        <v>31991.1</v>
      </c>
      <c r="E18" s="52">
        <v>31207.01</v>
      </c>
      <c r="F18" s="52">
        <v>680.07</v>
      </c>
      <c r="G18" s="52">
        <v>5368.31</v>
      </c>
      <c r="H18" s="43">
        <f t="shared" si="17"/>
        <v>25368.77</v>
      </c>
      <c r="I18" s="52">
        <v>5884.19</v>
      </c>
      <c r="J18" s="52">
        <v>20.6</v>
      </c>
      <c r="K18" s="52">
        <v>13619.85</v>
      </c>
      <c r="L18" s="52">
        <v>4374.38</v>
      </c>
      <c r="M18" s="52">
        <v>1190.2</v>
      </c>
      <c r="N18" s="56">
        <v>0</v>
      </c>
      <c r="O18" s="52">
        <v>279.55</v>
      </c>
      <c r="P18" s="43">
        <f t="shared" si="18"/>
        <v>-29743.7</v>
      </c>
      <c r="Q18" s="52">
        <v>-110.55</v>
      </c>
      <c r="R18" s="52">
        <v>-92.7</v>
      </c>
      <c r="S18" s="52">
        <v>-22792.799999999999</v>
      </c>
      <c r="T18" s="52">
        <v>-4833.99</v>
      </c>
      <c r="U18" s="52">
        <v>-1912.55</v>
      </c>
      <c r="V18" s="56">
        <v>0</v>
      </c>
      <c r="W18" s="52">
        <v>-1.1100000000000001</v>
      </c>
      <c r="X18" s="43">
        <f t="shared" si="19"/>
        <v>-520.32000000000005</v>
      </c>
      <c r="Y18" s="52">
        <v>-520.32000000000005</v>
      </c>
      <c r="Z18" s="43">
        <f t="shared" si="20"/>
        <v>2924.76</v>
      </c>
      <c r="AA18" s="52">
        <v>1758.25</v>
      </c>
      <c r="AB18" s="52">
        <v>35.58</v>
      </c>
      <c r="AC18" s="52">
        <v>-683.89</v>
      </c>
      <c r="AD18" s="52">
        <v>302.87</v>
      </c>
      <c r="AE18" s="52">
        <v>1511.95</v>
      </c>
      <c r="AF18" s="56">
        <v>0</v>
      </c>
      <c r="AG18" s="43">
        <f t="shared" si="23"/>
        <v>72062.290000000008</v>
      </c>
      <c r="AH18" s="43">
        <f t="shared" si="0"/>
        <v>12318.18</v>
      </c>
      <c r="AI18" s="43">
        <f t="shared" si="1"/>
        <v>-36.519999999999996</v>
      </c>
      <c r="AJ18" s="43">
        <f t="shared" si="2"/>
        <v>22134.26</v>
      </c>
      <c r="AK18" s="43">
        <f t="shared" si="3"/>
        <v>-677.05999999999972</v>
      </c>
      <c r="AL18" s="43">
        <f t="shared" si="4"/>
        <v>31996.61</v>
      </c>
      <c r="AM18" s="43">
        <f t="shared" si="5"/>
        <v>680.07</v>
      </c>
      <c r="AN18" s="43">
        <f t="shared" si="21"/>
        <v>5368.31</v>
      </c>
      <c r="AO18" s="43">
        <f t="shared" si="6"/>
        <v>278.44</v>
      </c>
      <c r="AP18" s="43">
        <f t="shared" si="7"/>
        <v>-814.22999999999593</v>
      </c>
      <c r="AQ18" s="43">
        <f t="shared" si="8"/>
        <v>97.899999999999636</v>
      </c>
      <c r="AR18" s="43">
        <f t="shared" si="9"/>
        <v>-69.319999999999894</v>
      </c>
      <c r="AS18" s="43">
        <f t="shared" si="10"/>
        <v>220.49999999999636</v>
      </c>
      <c r="AT18" s="43">
        <f t="shared" si="11"/>
        <v>-730.88999999999783</v>
      </c>
      <c r="AU18" s="43">
        <f t="shared" si="12"/>
        <v>-198.33000000000175</v>
      </c>
      <c r="AV18" s="43">
        <f t="shared" si="13"/>
        <v>-2.5900000000000318</v>
      </c>
      <c r="AW18" s="43">
        <f t="shared" si="14"/>
        <v>-0.3000000000001819</v>
      </c>
      <c r="AX18" s="43">
        <f t="shared" si="15"/>
        <v>-131.20000000000215</v>
      </c>
      <c r="AY18" s="43">
        <f>'Quarter demand'!B18</f>
        <v>72876.52</v>
      </c>
      <c r="AZ18" s="43">
        <f>'Quarter demand'!C18</f>
        <v>12220.28</v>
      </c>
      <c r="BA18" s="43">
        <f>'Quarter demand'!D18</f>
        <v>32.799999999999898</v>
      </c>
      <c r="BB18" s="43">
        <f>'Quarter demand'!E18</f>
        <v>21913.760000000002</v>
      </c>
      <c r="BC18" s="43">
        <f>'Quarter demand'!F18</f>
        <v>53.829999999998108</v>
      </c>
      <c r="BD18" s="43">
        <f>'Quarter demand'!G18</f>
        <v>32194.940000000002</v>
      </c>
      <c r="BE18" s="43">
        <f>'Quarter demand'!H18</f>
        <v>682.66000000000008</v>
      </c>
      <c r="BF18" s="43">
        <f>'Quarter demand'!I18</f>
        <v>5368.6100000000006</v>
      </c>
      <c r="BG18" s="54">
        <f>'Quarter demand'!J18</f>
        <v>409.64000000000215</v>
      </c>
    </row>
    <row r="19" spans="1:59" ht="15.5" x14ac:dyDescent="0.35">
      <c r="A19" s="50" t="s">
        <v>184</v>
      </c>
      <c r="B19" s="43">
        <f t="shared" si="16"/>
        <v>66483.91</v>
      </c>
      <c r="C19" s="52">
        <v>5156.58</v>
      </c>
      <c r="D19" s="52">
        <v>31049.53</v>
      </c>
      <c r="E19" s="52">
        <v>24947.68</v>
      </c>
      <c r="F19" s="52">
        <v>601.71</v>
      </c>
      <c r="G19" s="52">
        <v>4728.41</v>
      </c>
      <c r="H19" s="43">
        <f t="shared" si="17"/>
        <v>25402.220000000005</v>
      </c>
      <c r="I19" s="52">
        <v>6052.51</v>
      </c>
      <c r="J19" s="52">
        <v>53.84</v>
      </c>
      <c r="K19" s="52">
        <v>12581.92</v>
      </c>
      <c r="L19" s="52">
        <v>6177.35</v>
      </c>
      <c r="M19" s="52">
        <v>309.63</v>
      </c>
      <c r="N19" s="56">
        <v>0</v>
      </c>
      <c r="O19" s="52">
        <v>226.97</v>
      </c>
      <c r="P19" s="43">
        <f t="shared" si="18"/>
        <v>-32162.550000000003</v>
      </c>
      <c r="Q19" s="52">
        <v>-81.760000000000005</v>
      </c>
      <c r="R19" s="52">
        <v>-53.21</v>
      </c>
      <c r="S19" s="52">
        <v>-24371.59</v>
      </c>
      <c r="T19" s="52">
        <v>-4316.57</v>
      </c>
      <c r="U19" s="52">
        <v>-3338.52</v>
      </c>
      <c r="V19" s="56">
        <v>0</v>
      </c>
      <c r="W19" s="52">
        <v>-0.9</v>
      </c>
      <c r="X19" s="43">
        <f t="shared" si="19"/>
        <v>-678.8</v>
      </c>
      <c r="Y19" s="52">
        <v>-678.8</v>
      </c>
      <c r="Z19" s="43">
        <f t="shared" si="20"/>
        <v>-2167.7000000000003</v>
      </c>
      <c r="AA19" s="52">
        <v>-1754.78</v>
      </c>
      <c r="AB19" s="52">
        <v>41.24</v>
      </c>
      <c r="AC19" s="52">
        <v>736.18</v>
      </c>
      <c r="AD19" s="52">
        <v>-742.02</v>
      </c>
      <c r="AE19" s="52">
        <v>-448.32</v>
      </c>
      <c r="AF19" s="56">
        <v>0</v>
      </c>
      <c r="AG19" s="43">
        <f t="shared" si="23"/>
        <v>56877.079999999994</v>
      </c>
      <c r="AH19" s="43">
        <f t="shared" si="0"/>
        <v>9372.5499999999993</v>
      </c>
      <c r="AI19" s="43">
        <f t="shared" si="1"/>
        <v>41.870000000000005</v>
      </c>
      <c r="AJ19" s="43">
        <f t="shared" si="2"/>
        <v>19996.039999999997</v>
      </c>
      <c r="AK19" s="43">
        <f t="shared" si="3"/>
        <v>439.96000000000072</v>
      </c>
      <c r="AL19" s="43">
        <f t="shared" si="4"/>
        <v>21470.47</v>
      </c>
      <c r="AM19" s="43">
        <f t="shared" si="5"/>
        <v>601.71</v>
      </c>
      <c r="AN19" s="43">
        <f t="shared" si="21"/>
        <v>4728.41</v>
      </c>
      <c r="AO19" s="43">
        <f t="shared" si="6"/>
        <v>226.07</v>
      </c>
      <c r="AP19" s="43">
        <f t="shared" si="7"/>
        <v>-485.79000000000087</v>
      </c>
      <c r="AQ19" s="43">
        <f t="shared" si="8"/>
        <v>-164.77999999999884</v>
      </c>
      <c r="AR19" s="43">
        <f t="shared" si="9"/>
        <v>-20.199999999999989</v>
      </c>
      <c r="AS19" s="43">
        <f t="shared" si="10"/>
        <v>291.02999999999884</v>
      </c>
      <c r="AT19" s="43">
        <f t="shared" si="11"/>
        <v>-613.35000000000423</v>
      </c>
      <c r="AU19" s="43">
        <f t="shared" si="12"/>
        <v>145.02000000000407</v>
      </c>
      <c r="AV19" s="43">
        <f t="shared" si="13"/>
        <v>0.37000000000000455</v>
      </c>
      <c r="AW19" s="43">
        <f t="shared" si="14"/>
        <v>-0.26999999999952706</v>
      </c>
      <c r="AX19" s="43">
        <f t="shared" si="15"/>
        <v>-123.60999999999939</v>
      </c>
      <c r="AY19" s="43">
        <f>'Quarter demand'!B19</f>
        <v>57362.869999999995</v>
      </c>
      <c r="AZ19" s="43">
        <f>'Quarter demand'!C19</f>
        <v>9537.3299999999981</v>
      </c>
      <c r="BA19" s="43">
        <f>'Quarter demand'!D19</f>
        <v>62.069999999999993</v>
      </c>
      <c r="BB19" s="43">
        <f>'Quarter demand'!E19</f>
        <v>19705.009999999998</v>
      </c>
      <c r="BC19" s="43">
        <f>'Quarter demand'!F19</f>
        <v>1053.3100000000049</v>
      </c>
      <c r="BD19" s="43">
        <f>'Quarter demand'!G19</f>
        <v>21325.449999999997</v>
      </c>
      <c r="BE19" s="43">
        <f>'Quarter demand'!H19</f>
        <v>601.34</v>
      </c>
      <c r="BF19" s="43">
        <f>'Quarter demand'!I19</f>
        <v>4728.6799999999994</v>
      </c>
      <c r="BG19" s="54">
        <f>'Quarter demand'!J19</f>
        <v>349.67999999999938</v>
      </c>
    </row>
    <row r="20" spans="1:59" ht="15.5" x14ac:dyDescent="0.35">
      <c r="A20" s="50" t="s">
        <v>185</v>
      </c>
      <c r="B20" s="43">
        <f t="shared" si="16"/>
        <v>63019.15</v>
      </c>
      <c r="C20" s="52">
        <v>4815.46</v>
      </c>
      <c r="D20" s="52">
        <v>31030.19</v>
      </c>
      <c r="E20" s="52">
        <v>21357.57</v>
      </c>
      <c r="F20" s="52">
        <v>573.99</v>
      </c>
      <c r="G20" s="52">
        <v>5241.9399999999996</v>
      </c>
      <c r="H20" s="43">
        <f t="shared" si="17"/>
        <v>26318.179999999997</v>
      </c>
      <c r="I20" s="52">
        <v>5797.71</v>
      </c>
      <c r="J20" s="52">
        <v>17.649999999999999</v>
      </c>
      <c r="K20" s="52">
        <v>15733.63</v>
      </c>
      <c r="L20" s="52">
        <v>4366.53</v>
      </c>
      <c r="M20" s="52">
        <v>173</v>
      </c>
      <c r="N20" s="56">
        <v>0</v>
      </c>
      <c r="O20" s="52">
        <v>229.66</v>
      </c>
      <c r="P20" s="43">
        <f t="shared" si="18"/>
        <v>-32731.77</v>
      </c>
      <c r="Q20" s="52">
        <v>-105.22</v>
      </c>
      <c r="R20" s="52">
        <v>-53.15</v>
      </c>
      <c r="S20" s="52">
        <v>-22837.43</v>
      </c>
      <c r="T20" s="52">
        <v>-5745.74</v>
      </c>
      <c r="U20" s="52">
        <v>-3987.7</v>
      </c>
      <c r="V20" s="56">
        <v>0</v>
      </c>
      <c r="W20" s="52">
        <v>-2.5299999999999998</v>
      </c>
      <c r="X20" s="43">
        <f t="shared" si="19"/>
        <v>-677.87</v>
      </c>
      <c r="Y20" s="52">
        <v>-677.87</v>
      </c>
      <c r="Z20" s="43">
        <f t="shared" si="20"/>
        <v>-3019.54</v>
      </c>
      <c r="AA20" s="52">
        <v>-1988.87</v>
      </c>
      <c r="AB20" s="52">
        <v>30.17</v>
      </c>
      <c r="AC20" s="52">
        <v>152.69</v>
      </c>
      <c r="AD20" s="52">
        <v>335.65</v>
      </c>
      <c r="AE20" s="52">
        <v>-1549.18</v>
      </c>
      <c r="AF20" s="56">
        <v>0</v>
      </c>
      <c r="AG20" s="43">
        <f t="shared" si="23"/>
        <v>52908.149999999994</v>
      </c>
      <c r="AH20" s="43">
        <f t="shared" si="0"/>
        <v>8519.0800000000017</v>
      </c>
      <c r="AI20" s="43">
        <f t="shared" si="1"/>
        <v>-5.3299999999999983</v>
      </c>
      <c r="AJ20" s="43">
        <f t="shared" si="2"/>
        <v>24079.079999999998</v>
      </c>
      <c r="AK20" s="43">
        <f t="shared" si="3"/>
        <v>-1721.4299999999998</v>
      </c>
      <c r="AL20" s="43">
        <f t="shared" si="4"/>
        <v>15993.689999999999</v>
      </c>
      <c r="AM20" s="43">
        <f t="shared" si="5"/>
        <v>573.99</v>
      </c>
      <c r="AN20" s="43">
        <f t="shared" si="21"/>
        <v>5241.9399999999996</v>
      </c>
      <c r="AO20" s="43">
        <f t="shared" si="6"/>
        <v>227.13</v>
      </c>
      <c r="AP20" s="43">
        <f t="shared" si="7"/>
        <v>1667.9300000000003</v>
      </c>
      <c r="AQ20" s="43">
        <f t="shared" si="8"/>
        <v>32.080000000003565</v>
      </c>
      <c r="AR20" s="43">
        <f t="shared" si="9"/>
        <v>-5.1699999999999733</v>
      </c>
      <c r="AS20" s="43">
        <f t="shared" si="10"/>
        <v>-76.510000000002037</v>
      </c>
      <c r="AT20" s="43">
        <f t="shared" si="11"/>
        <v>1485.0199999999973</v>
      </c>
      <c r="AU20" s="43">
        <f t="shared" si="12"/>
        <v>141.16999999999825</v>
      </c>
      <c r="AV20" s="43">
        <f t="shared" si="13"/>
        <v>2.7899999999999636</v>
      </c>
      <c r="AW20" s="43">
        <f t="shared" si="14"/>
        <v>0.90999999999985448</v>
      </c>
      <c r="AX20" s="43">
        <f t="shared" si="15"/>
        <v>87.640000000000214</v>
      </c>
      <c r="AY20" s="43">
        <f>'Quarter demand'!B20</f>
        <v>51240.219999999994</v>
      </c>
      <c r="AZ20" s="43">
        <f>'Quarter demand'!C20</f>
        <v>8486.9999999999982</v>
      </c>
      <c r="BA20" s="43">
        <f>'Quarter demand'!D20</f>
        <v>-0.16000000000002501</v>
      </c>
      <c r="BB20" s="43">
        <f>'Quarter demand'!E20</f>
        <v>24155.59</v>
      </c>
      <c r="BC20" s="43">
        <f>'Quarter demand'!F20</f>
        <v>-3206.4499999999971</v>
      </c>
      <c r="BD20" s="43">
        <f>'Quarter demand'!G20</f>
        <v>15852.52</v>
      </c>
      <c r="BE20" s="43">
        <f>'Quarter demand'!H20</f>
        <v>571.20000000000005</v>
      </c>
      <c r="BF20" s="43">
        <f>'Quarter demand'!I20</f>
        <v>5241.03</v>
      </c>
      <c r="BG20" s="54">
        <f>'Quarter demand'!J20</f>
        <v>139.48999999999978</v>
      </c>
    </row>
    <row r="21" spans="1:59" ht="15.5" x14ac:dyDescent="0.35">
      <c r="A21" s="50" t="s">
        <v>186</v>
      </c>
      <c r="B21" s="43">
        <f t="shared" si="16"/>
        <v>73890.500000000015</v>
      </c>
      <c r="C21" s="52">
        <v>5210.4399999999996</v>
      </c>
      <c r="D21" s="52">
        <v>33757.480000000003</v>
      </c>
      <c r="E21" s="52">
        <v>28357.31</v>
      </c>
      <c r="F21" s="52">
        <v>677.14</v>
      </c>
      <c r="G21" s="52">
        <v>5888.13</v>
      </c>
      <c r="H21" s="43">
        <f t="shared" si="17"/>
        <v>27247.65</v>
      </c>
      <c r="I21" s="52">
        <v>5720.17</v>
      </c>
      <c r="J21" s="52">
        <v>18.82</v>
      </c>
      <c r="K21" s="52">
        <v>16489.13</v>
      </c>
      <c r="L21" s="52">
        <v>3892.26</v>
      </c>
      <c r="M21" s="52">
        <v>946.6</v>
      </c>
      <c r="N21" s="56">
        <v>0</v>
      </c>
      <c r="O21" s="52">
        <v>180.67</v>
      </c>
      <c r="P21" s="43">
        <f t="shared" si="18"/>
        <v>-33638.76</v>
      </c>
      <c r="Q21" s="52">
        <v>-114.34</v>
      </c>
      <c r="R21" s="52">
        <v>-68.56</v>
      </c>
      <c r="S21" s="52">
        <v>-25045.57</v>
      </c>
      <c r="T21" s="52">
        <v>-5736.67</v>
      </c>
      <c r="U21" s="52">
        <v>-2655.46</v>
      </c>
      <c r="V21" s="56">
        <v>0</v>
      </c>
      <c r="W21" s="52">
        <v>-18.16</v>
      </c>
      <c r="X21" s="43">
        <f t="shared" si="19"/>
        <v>-556.37</v>
      </c>
      <c r="Y21" s="52">
        <v>-556.37</v>
      </c>
      <c r="Z21" s="43">
        <f t="shared" si="20"/>
        <v>-1204.1000000000001</v>
      </c>
      <c r="AA21" s="52">
        <v>-206.12</v>
      </c>
      <c r="AB21" s="52">
        <v>7.64</v>
      </c>
      <c r="AC21" s="52">
        <v>-872.09</v>
      </c>
      <c r="AD21" s="52">
        <v>-562.25</v>
      </c>
      <c r="AE21" s="52">
        <v>428.72</v>
      </c>
      <c r="AF21" s="56">
        <v>0</v>
      </c>
      <c r="AG21" s="43">
        <f t="shared" si="23"/>
        <v>65738.92</v>
      </c>
      <c r="AH21" s="43">
        <f t="shared" si="0"/>
        <v>10610.15</v>
      </c>
      <c r="AI21" s="43">
        <f t="shared" si="1"/>
        <v>-42.1</v>
      </c>
      <c r="AJ21" s="43">
        <f t="shared" si="2"/>
        <v>24328.95</v>
      </c>
      <c r="AK21" s="43">
        <f t="shared" si="3"/>
        <v>-2963.0299999999997</v>
      </c>
      <c r="AL21" s="43">
        <f t="shared" si="4"/>
        <v>27077.170000000002</v>
      </c>
      <c r="AM21" s="43">
        <f t="shared" si="5"/>
        <v>677.14</v>
      </c>
      <c r="AN21" s="43">
        <f t="shared" si="21"/>
        <v>5888.13</v>
      </c>
      <c r="AO21" s="43">
        <f t="shared" si="6"/>
        <v>162.51</v>
      </c>
      <c r="AP21" s="43">
        <f t="shared" si="7"/>
        <v>201.17999999999302</v>
      </c>
      <c r="AQ21" s="43">
        <f t="shared" si="8"/>
        <v>-105.17000000000007</v>
      </c>
      <c r="AR21" s="43">
        <f t="shared" si="9"/>
        <v>39.089999999999996</v>
      </c>
      <c r="AS21" s="43">
        <f t="shared" si="10"/>
        <v>-325.75</v>
      </c>
      <c r="AT21" s="43">
        <f t="shared" si="11"/>
        <v>235.51000000000113</v>
      </c>
      <c r="AU21" s="43">
        <f t="shared" si="12"/>
        <v>90.930000000003929</v>
      </c>
      <c r="AV21" s="43">
        <f t="shared" si="13"/>
        <v>-0.54999999999995453</v>
      </c>
      <c r="AW21" s="43">
        <f t="shared" si="14"/>
        <v>-0.34000000000014552</v>
      </c>
      <c r="AX21" s="43">
        <f t="shared" si="15"/>
        <v>267.46000000000163</v>
      </c>
      <c r="AY21" s="43">
        <f>'Quarter demand'!B21</f>
        <v>65537.740000000005</v>
      </c>
      <c r="AZ21" s="43">
        <f>'Quarter demand'!C21</f>
        <v>10715.32</v>
      </c>
      <c r="BA21" s="43">
        <f>'Quarter demand'!D21</f>
        <v>-81.19</v>
      </c>
      <c r="BB21" s="43">
        <f>'Quarter demand'!E21</f>
        <v>24654.7</v>
      </c>
      <c r="BC21" s="43">
        <f>'Quarter demand'!F21</f>
        <v>-3198.5400000000009</v>
      </c>
      <c r="BD21" s="43">
        <f>'Quarter demand'!G21</f>
        <v>26986.239999999998</v>
      </c>
      <c r="BE21" s="43">
        <f>'Quarter demand'!H21</f>
        <v>677.68999999999994</v>
      </c>
      <c r="BF21" s="43">
        <f>'Quarter demand'!I21</f>
        <v>5888.47</v>
      </c>
      <c r="BG21" s="54">
        <f>'Quarter demand'!J21</f>
        <v>-104.95000000000164</v>
      </c>
    </row>
    <row r="22" spans="1:59" ht="15.5" x14ac:dyDescent="0.35">
      <c r="A22" s="50" t="s">
        <v>187</v>
      </c>
      <c r="B22" s="43">
        <f t="shared" si="16"/>
        <v>73058.100000000006</v>
      </c>
      <c r="C22" s="52">
        <v>5320.86</v>
      </c>
      <c r="D22" s="52">
        <v>32489.74</v>
      </c>
      <c r="E22" s="52">
        <v>28694.75</v>
      </c>
      <c r="F22" s="52">
        <v>744.85</v>
      </c>
      <c r="G22" s="52">
        <v>5807.9</v>
      </c>
      <c r="H22" s="43">
        <f t="shared" si="17"/>
        <v>25775.829999999998</v>
      </c>
      <c r="I22" s="52">
        <v>4704.58</v>
      </c>
      <c r="J22" s="52">
        <v>33.590000000000003</v>
      </c>
      <c r="K22" s="52">
        <v>15214.61</v>
      </c>
      <c r="L22" s="52">
        <v>3554.97</v>
      </c>
      <c r="M22" s="52">
        <v>2098.8000000000002</v>
      </c>
      <c r="N22" s="56">
        <v>0</v>
      </c>
      <c r="O22" s="52">
        <v>169.28</v>
      </c>
      <c r="P22" s="43">
        <f t="shared" si="18"/>
        <v>-32180.899999999998</v>
      </c>
      <c r="Q22" s="52">
        <v>-94.05</v>
      </c>
      <c r="R22" s="52">
        <v>-71.05</v>
      </c>
      <c r="S22" s="52">
        <v>-24565.77</v>
      </c>
      <c r="T22" s="52">
        <v>-5451.09</v>
      </c>
      <c r="U22" s="52">
        <v>-1986.41</v>
      </c>
      <c r="V22" s="56">
        <v>0</v>
      </c>
      <c r="W22" s="52">
        <v>-12.53</v>
      </c>
      <c r="X22" s="43">
        <f t="shared" si="19"/>
        <v>-502.68</v>
      </c>
      <c r="Y22" s="52">
        <v>-502.68</v>
      </c>
      <c r="Z22" s="43">
        <f t="shared" si="20"/>
        <v>3309.41</v>
      </c>
      <c r="AA22" s="52">
        <v>1213.04</v>
      </c>
      <c r="AB22" s="52">
        <v>6.73</v>
      </c>
      <c r="AC22" s="52">
        <v>426.54</v>
      </c>
      <c r="AD22" s="52">
        <v>424.74</v>
      </c>
      <c r="AE22" s="52">
        <v>1238.3599999999999</v>
      </c>
      <c r="AF22" s="56">
        <v>0</v>
      </c>
      <c r="AG22" s="43">
        <f t="shared" si="23"/>
        <v>69459.760000000009</v>
      </c>
      <c r="AH22" s="43">
        <f t="shared" si="0"/>
        <v>11144.43</v>
      </c>
      <c r="AI22" s="43">
        <f t="shared" si="1"/>
        <v>-30.729999999999993</v>
      </c>
      <c r="AJ22" s="43">
        <f t="shared" si="2"/>
        <v>23565.120000000006</v>
      </c>
      <c r="AK22" s="43">
        <f t="shared" si="3"/>
        <v>-1974.0600000000002</v>
      </c>
      <c r="AL22" s="43">
        <f t="shared" si="4"/>
        <v>30045.5</v>
      </c>
      <c r="AM22" s="43">
        <f t="shared" si="5"/>
        <v>744.85</v>
      </c>
      <c r="AN22" s="43">
        <f t="shared" si="21"/>
        <v>5807.9</v>
      </c>
      <c r="AO22" s="43">
        <f t="shared" si="6"/>
        <v>156.75</v>
      </c>
      <c r="AP22" s="43">
        <f t="shared" si="7"/>
        <v>-469.02999999998428</v>
      </c>
      <c r="AQ22" s="43">
        <f t="shared" si="8"/>
        <v>144.22999999999956</v>
      </c>
      <c r="AR22" s="43">
        <f t="shared" si="9"/>
        <v>13.390000000000068</v>
      </c>
      <c r="AS22" s="43">
        <f t="shared" si="10"/>
        <v>-66.179999999993015</v>
      </c>
      <c r="AT22" s="43">
        <f t="shared" si="11"/>
        <v>110.91999999999939</v>
      </c>
      <c r="AU22" s="43">
        <f t="shared" si="12"/>
        <v>-645.13999999999942</v>
      </c>
      <c r="AV22" s="43">
        <f t="shared" si="13"/>
        <v>-2.0699999999999363</v>
      </c>
      <c r="AW22" s="43">
        <f t="shared" si="14"/>
        <v>-1.0000000000218279E-2</v>
      </c>
      <c r="AX22" s="43">
        <f t="shared" si="15"/>
        <v>-24.169999999999163</v>
      </c>
      <c r="AY22" s="43">
        <f>'Quarter demand'!B22</f>
        <v>69928.789999999994</v>
      </c>
      <c r="AZ22" s="43">
        <f>'Quarter demand'!C22</f>
        <v>11000.2</v>
      </c>
      <c r="BA22" s="43">
        <f>'Quarter demand'!D22</f>
        <v>-44.120000000000061</v>
      </c>
      <c r="BB22" s="43">
        <f>'Quarter demand'!E22</f>
        <v>23631.3</v>
      </c>
      <c r="BC22" s="43">
        <f>'Quarter demand'!F22</f>
        <v>-2084.9799999999996</v>
      </c>
      <c r="BD22" s="43">
        <f>'Quarter demand'!G22</f>
        <v>30690.639999999999</v>
      </c>
      <c r="BE22" s="43">
        <f>'Quarter demand'!H22</f>
        <v>746.92</v>
      </c>
      <c r="BF22" s="43">
        <f>'Quarter demand'!I22</f>
        <v>5807.91</v>
      </c>
      <c r="BG22" s="54">
        <f>'Quarter demand'!J22</f>
        <v>180.91999999999916</v>
      </c>
    </row>
    <row r="23" spans="1:59" ht="15.5" x14ac:dyDescent="0.35">
      <c r="A23" s="50" t="s">
        <v>188</v>
      </c>
      <c r="B23" s="43">
        <f t="shared" si="16"/>
        <v>68091.72</v>
      </c>
      <c r="C23" s="52">
        <v>4619.0200000000004</v>
      </c>
      <c r="D23" s="52">
        <v>32344.240000000002</v>
      </c>
      <c r="E23" s="52">
        <v>25425.02</v>
      </c>
      <c r="F23" s="52">
        <v>651.61</v>
      </c>
      <c r="G23" s="52">
        <v>5051.83</v>
      </c>
      <c r="H23" s="43">
        <f t="shared" si="17"/>
        <v>28632.140000000003</v>
      </c>
      <c r="I23" s="52">
        <v>4761.5</v>
      </c>
      <c r="J23" s="52">
        <v>40.659999999999997</v>
      </c>
      <c r="K23" s="52">
        <v>18803.310000000001</v>
      </c>
      <c r="L23" s="52">
        <v>4153.07</v>
      </c>
      <c r="M23" s="52">
        <v>631.13</v>
      </c>
      <c r="N23" s="56">
        <v>0</v>
      </c>
      <c r="O23" s="52">
        <v>242.47</v>
      </c>
      <c r="P23" s="43">
        <f t="shared" si="18"/>
        <v>-37722.65</v>
      </c>
      <c r="Q23" s="52">
        <v>-101.49</v>
      </c>
      <c r="R23" s="52">
        <v>-102.71</v>
      </c>
      <c r="S23" s="52">
        <v>-26824.9</v>
      </c>
      <c r="T23" s="52">
        <v>-6137.85</v>
      </c>
      <c r="U23" s="52">
        <v>-4551.93</v>
      </c>
      <c r="V23" s="56">
        <v>0</v>
      </c>
      <c r="W23" s="52">
        <v>-3.77</v>
      </c>
      <c r="X23" s="43">
        <f t="shared" si="19"/>
        <v>-585.95000000000005</v>
      </c>
      <c r="Y23" s="52">
        <v>-585.95000000000005</v>
      </c>
      <c r="Z23" s="43">
        <f t="shared" si="20"/>
        <v>-3795.01</v>
      </c>
      <c r="AA23" s="52">
        <v>-2228.23</v>
      </c>
      <c r="AB23" s="52">
        <v>55.73</v>
      </c>
      <c r="AC23" s="52">
        <v>-812.86</v>
      </c>
      <c r="AD23" s="52">
        <v>-58.06</v>
      </c>
      <c r="AE23" s="52">
        <v>-751.59</v>
      </c>
      <c r="AF23" s="56">
        <v>0</v>
      </c>
      <c r="AG23" s="43">
        <f t="shared" si="23"/>
        <v>54620.25</v>
      </c>
      <c r="AH23" s="43">
        <f t="shared" si="0"/>
        <v>7050.8000000000011</v>
      </c>
      <c r="AI23" s="43">
        <f t="shared" si="1"/>
        <v>-6.32</v>
      </c>
      <c r="AJ23" s="43">
        <f t="shared" si="2"/>
        <v>23509.79</v>
      </c>
      <c r="AK23" s="43">
        <f t="shared" si="3"/>
        <v>-2628.7900000000004</v>
      </c>
      <c r="AL23" s="43">
        <f t="shared" si="4"/>
        <v>20752.63</v>
      </c>
      <c r="AM23" s="43">
        <f t="shared" si="5"/>
        <v>651.61</v>
      </c>
      <c r="AN23" s="43">
        <f t="shared" si="21"/>
        <v>5051.83</v>
      </c>
      <c r="AO23" s="43">
        <f t="shared" si="6"/>
        <v>238.7</v>
      </c>
      <c r="AP23" s="43">
        <f t="shared" si="7"/>
        <v>528.09999999999854</v>
      </c>
      <c r="AQ23" s="43">
        <f t="shared" si="8"/>
        <v>-540.88999999999942</v>
      </c>
      <c r="AR23" s="43">
        <f t="shared" si="9"/>
        <v>-30.089999999999755</v>
      </c>
      <c r="AS23" s="43">
        <f t="shared" si="10"/>
        <v>259.71000000000276</v>
      </c>
      <c r="AT23" s="43">
        <f t="shared" si="11"/>
        <v>725.17999999999711</v>
      </c>
      <c r="AU23" s="43">
        <f t="shared" si="12"/>
        <v>78.049999999999272</v>
      </c>
      <c r="AV23" s="43">
        <f t="shared" si="13"/>
        <v>0.82000000000005002</v>
      </c>
      <c r="AW23" s="43">
        <f t="shared" si="14"/>
        <v>0</v>
      </c>
      <c r="AX23" s="43">
        <f t="shared" si="15"/>
        <v>35.319999999999879</v>
      </c>
      <c r="AY23" s="43">
        <f>'Quarter demand'!B23</f>
        <v>54092.15</v>
      </c>
      <c r="AZ23" s="43">
        <f>'Quarter demand'!C23</f>
        <v>7591.6900000000005</v>
      </c>
      <c r="BA23" s="43">
        <f>'Quarter demand'!D23</f>
        <v>23.769999999999754</v>
      </c>
      <c r="BB23" s="43">
        <f>'Quarter demand'!E23</f>
        <v>23250.079999999998</v>
      </c>
      <c r="BC23" s="43">
        <f>'Quarter demand'!F23</f>
        <v>-3353.9699999999975</v>
      </c>
      <c r="BD23" s="43">
        <f>'Quarter demand'!G23</f>
        <v>20674.580000000002</v>
      </c>
      <c r="BE23" s="43">
        <f>'Quarter demand'!H23</f>
        <v>650.79</v>
      </c>
      <c r="BF23" s="43">
        <f>'Quarter demand'!I23</f>
        <v>5051.83</v>
      </c>
      <c r="BG23" s="54">
        <f>'Quarter demand'!J23</f>
        <v>203.38000000000011</v>
      </c>
    </row>
    <row r="24" spans="1:59" ht="15.5" x14ac:dyDescent="0.35">
      <c r="A24" s="50" t="s">
        <v>189</v>
      </c>
      <c r="B24" s="43">
        <f t="shared" si="16"/>
        <v>58936.530000000006</v>
      </c>
      <c r="C24" s="52">
        <v>4218.07</v>
      </c>
      <c r="D24" s="52">
        <v>29018.33</v>
      </c>
      <c r="E24" s="52">
        <v>20279.45</v>
      </c>
      <c r="F24" s="52">
        <v>617.57000000000005</v>
      </c>
      <c r="G24" s="52">
        <v>4803.1099999999997</v>
      </c>
      <c r="H24" s="43">
        <f t="shared" si="17"/>
        <v>24422.41</v>
      </c>
      <c r="I24" s="52">
        <v>4690.3900000000003</v>
      </c>
      <c r="J24" s="52">
        <v>44.27</v>
      </c>
      <c r="K24" s="52">
        <v>14532.61</v>
      </c>
      <c r="L24" s="52">
        <v>4380.2</v>
      </c>
      <c r="M24" s="52">
        <v>677.73</v>
      </c>
      <c r="N24" s="56">
        <v>0</v>
      </c>
      <c r="O24" s="52">
        <v>97.21</v>
      </c>
      <c r="P24" s="43">
        <f t="shared" si="18"/>
        <v>-30447.829999999998</v>
      </c>
      <c r="Q24" s="52">
        <v>-86.55</v>
      </c>
      <c r="R24" s="52">
        <v>-48.32</v>
      </c>
      <c r="S24" s="52">
        <v>-20019.259999999998</v>
      </c>
      <c r="T24" s="52">
        <v>-7205.59</v>
      </c>
      <c r="U24" s="52">
        <v>-3046.43</v>
      </c>
      <c r="V24" s="56">
        <v>0</v>
      </c>
      <c r="W24" s="52">
        <v>-41.68</v>
      </c>
      <c r="X24" s="43">
        <f t="shared" si="19"/>
        <v>-444</v>
      </c>
      <c r="Y24" s="52">
        <v>-444</v>
      </c>
      <c r="Z24" s="43">
        <f t="shared" si="20"/>
        <v>-1148.3800000000001</v>
      </c>
      <c r="AA24" s="52">
        <v>-1314.25</v>
      </c>
      <c r="AB24" s="52">
        <v>47.8</v>
      </c>
      <c r="AC24" s="52">
        <v>772.76</v>
      </c>
      <c r="AD24" s="52">
        <v>604.13</v>
      </c>
      <c r="AE24" s="52">
        <v>-1258.82</v>
      </c>
      <c r="AF24" s="56">
        <v>0</v>
      </c>
      <c r="AG24" s="43">
        <f t="shared" si="23"/>
        <v>51318.73</v>
      </c>
      <c r="AH24" s="43">
        <f t="shared" si="0"/>
        <v>7507.66</v>
      </c>
      <c r="AI24" s="43">
        <f t="shared" si="1"/>
        <v>43.75</v>
      </c>
      <c r="AJ24" s="43">
        <f t="shared" si="2"/>
        <v>24304.440000000002</v>
      </c>
      <c r="AK24" s="43">
        <f t="shared" si="3"/>
        <v>-2665.26</v>
      </c>
      <c r="AL24" s="43">
        <f t="shared" si="4"/>
        <v>16651.93</v>
      </c>
      <c r="AM24" s="43">
        <f t="shared" si="5"/>
        <v>617.57000000000005</v>
      </c>
      <c r="AN24" s="43">
        <f t="shared" si="21"/>
        <v>4803.1099999999997</v>
      </c>
      <c r="AO24" s="43">
        <f t="shared" si="6"/>
        <v>55.529999999999994</v>
      </c>
      <c r="AP24" s="43">
        <f t="shared" si="7"/>
        <v>314.28000000000611</v>
      </c>
      <c r="AQ24" s="43">
        <f t="shared" si="8"/>
        <v>-254.46999999999935</v>
      </c>
      <c r="AR24" s="43">
        <f t="shared" si="9"/>
        <v>-22.370000000000118</v>
      </c>
      <c r="AS24" s="43">
        <f t="shared" si="10"/>
        <v>-88.779999999995198</v>
      </c>
      <c r="AT24" s="43">
        <f t="shared" si="11"/>
        <v>222.94000000000051</v>
      </c>
      <c r="AU24" s="43">
        <f t="shared" si="12"/>
        <v>416.13000000000102</v>
      </c>
      <c r="AV24" s="43">
        <f t="shared" si="13"/>
        <v>2.2000000000000455</v>
      </c>
      <c r="AW24" s="43">
        <f t="shared" si="14"/>
        <v>0</v>
      </c>
      <c r="AX24" s="43">
        <f t="shared" si="15"/>
        <v>38.630000000000358</v>
      </c>
      <c r="AY24" s="43">
        <f>'Quarter demand'!B24</f>
        <v>51004.45</v>
      </c>
      <c r="AZ24" s="43">
        <f>'Quarter demand'!C24</f>
        <v>7762.1299999999992</v>
      </c>
      <c r="BA24" s="43">
        <f>'Quarter demand'!D24</f>
        <v>66.120000000000118</v>
      </c>
      <c r="BB24" s="43">
        <f>'Quarter demand'!E24</f>
        <v>24393.219999999998</v>
      </c>
      <c r="BC24" s="43">
        <f>'Quarter demand'!F24</f>
        <v>-2888.2000000000007</v>
      </c>
      <c r="BD24" s="43">
        <f>'Quarter demand'!G24</f>
        <v>16235.8</v>
      </c>
      <c r="BE24" s="43">
        <f>'Quarter demand'!H24</f>
        <v>615.37</v>
      </c>
      <c r="BF24" s="43">
        <f>'Quarter demand'!I24</f>
        <v>4803.1099999999997</v>
      </c>
      <c r="BG24" s="54">
        <f>'Quarter demand'!J24</f>
        <v>16.899999999999636</v>
      </c>
    </row>
    <row r="25" spans="1:59" ht="15.5" x14ac:dyDescent="0.35">
      <c r="A25" s="50" t="s">
        <v>190</v>
      </c>
      <c r="B25" s="43">
        <f t="shared" si="16"/>
        <v>72778.100000000006</v>
      </c>
      <c r="C25" s="52">
        <v>4649.63</v>
      </c>
      <c r="D25" s="52">
        <v>33184.58</v>
      </c>
      <c r="E25" s="52">
        <v>29246.95</v>
      </c>
      <c r="F25" s="52">
        <v>740.92</v>
      </c>
      <c r="G25" s="52">
        <v>4956.0200000000004</v>
      </c>
      <c r="H25" s="43">
        <f t="shared" si="17"/>
        <v>24503.32</v>
      </c>
      <c r="I25" s="52">
        <v>4657.87</v>
      </c>
      <c r="J25" s="52">
        <v>62.11</v>
      </c>
      <c r="K25" s="52">
        <v>13601.9</v>
      </c>
      <c r="L25" s="52">
        <v>4107.09</v>
      </c>
      <c r="M25" s="52">
        <v>1793.81</v>
      </c>
      <c r="N25" s="56">
        <v>0</v>
      </c>
      <c r="O25" s="52">
        <v>280.54000000000002</v>
      </c>
      <c r="P25" s="43">
        <f t="shared" si="18"/>
        <v>-34099.709999999992</v>
      </c>
      <c r="Q25" s="52">
        <v>-112.36</v>
      </c>
      <c r="R25" s="52">
        <v>-50.19</v>
      </c>
      <c r="S25" s="52">
        <v>-23877.67</v>
      </c>
      <c r="T25" s="52">
        <v>-6675.68</v>
      </c>
      <c r="U25" s="52">
        <v>-3375.75</v>
      </c>
      <c r="V25" s="56">
        <v>0</v>
      </c>
      <c r="W25" s="52">
        <v>-8.06</v>
      </c>
      <c r="X25" s="43">
        <f t="shared" si="19"/>
        <v>-511</v>
      </c>
      <c r="Y25" s="52">
        <v>-511</v>
      </c>
      <c r="Z25" s="43">
        <f t="shared" si="20"/>
        <v>3079.2900000000004</v>
      </c>
      <c r="AA25" s="52">
        <v>2704.92</v>
      </c>
      <c r="AB25" s="52">
        <v>77.69</v>
      </c>
      <c r="AC25" s="52">
        <v>-227.96</v>
      </c>
      <c r="AD25" s="52">
        <v>385.09</v>
      </c>
      <c r="AE25" s="52">
        <v>139.55000000000001</v>
      </c>
      <c r="AF25" s="56">
        <v>0</v>
      </c>
      <c r="AG25" s="43">
        <f t="shared" si="23"/>
        <v>65750</v>
      </c>
      <c r="AH25" s="43">
        <f t="shared" si="0"/>
        <v>11900.06</v>
      </c>
      <c r="AI25" s="43">
        <f t="shared" si="1"/>
        <v>89.61</v>
      </c>
      <c r="AJ25" s="43">
        <f t="shared" si="2"/>
        <v>22680.850000000006</v>
      </c>
      <c r="AK25" s="43">
        <f t="shared" si="3"/>
        <v>-2694.5</v>
      </c>
      <c r="AL25" s="43">
        <f t="shared" si="4"/>
        <v>27804.560000000001</v>
      </c>
      <c r="AM25" s="43">
        <f t="shared" si="5"/>
        <v>740.92</v>
      </c>
      <c r="AN25" s="43">
        <f t="shared" si="21"/>
        <v>4956.0200000000004</v>
      </c>
      <c r="AO25" s="43">
        <f t="shared" si="6"/>
        <v>272.48</v>
      </c>
      <c r="AP25" s="43">
        <f t="shared" si="7"/>
        <v>-472.22999999999593</v>
      </c>
      <c r="AQ25" s="43">
        <f t="shared" si="8"/>
        <v>838.95999999999731</v>
      </c>
      <c r="AR25" s="43">
        <f t="shared" si="9"/>
        <v>4.6599999999998971</v>
      </c>
      <c r="AS25" s="43">
        <f t="shared" si="10"/>
        <v>-660.73999999999432</v>
      </c>
      <c r="AT25" s="43">
        <f t="shared" si="11"/>
        <v>-992.58999999999651</v>
      </c>
      <c r="AU25" s="43">
        <f t="shared" si="12"/>
        <v>303.81000000000131</v>
      </c>
      <c r="AV25" s="43">
        <f t="shared" si="13"/>
        <v>-0.98000000000001819</v>
      </c>
      <c r="AW25" s="43">
        <f t="shared" si="14"/>
        <v>0</v>
      </c>
      <c r="AX25" s="43">
        <f t="shared" si="15"/>
        <v>34.649999999999181</v>
      </c>
      <c r="AY25" s="43">
        <f>'Quarter demand'!B25</f>
        <v>66222.23</v>
      </c>
      <c r="AZ25" s="43">
        <f>'Quarter demand'!C25</f>
        <v>11061.100000000002</v>
      </c>
      <c r="BA25" s="43">
        <f>'Quarter demand'!D25</f>
        <v>84.950000000000102</v>
      </c>
      <c r="BB25" s="43">
        <f>'Quarter demand'!E25</f>
        <v>23341.59</v>
      </c>
      <c r="BC25" s="43">
        <f>'Quarter demand'!F25</f>
        <v>-1701.9100000000035</v>
      </c>
      <c r="BD25" s="43">
        <f>'Quarter demand'!G25</f>
        <v>27500.75</v>
      </c>
      <c r="BE25" s="43">
        <f>'Quarter demand'!H25</f>
        <v>741.9</v>
      </c>
      <c r="BF25" s="43">
        <f>'Quarter demand'!I25</f>
        <v>4956.0200000000004</v>
      </c>
      <c r="BG25" s="54">
        <f>'Quarter demand'!J25</f>
        <v>237.83000000000084</v>
      </c>
    </row>
    <row r="26" spans="1:59" ht="15.5" x14ac:dyDescent="0.35">
      <c r="A26" s="50" t="s">
        <v>191</v>
      </c>
      <c r="B26" s="43">
        <f t="shared" si="16"/>
        <v>72984.98000000001</v>
      </c>
      <c r="C26" s="52">
        <v>4893.7700000000004</v>
      </c>
      <c r="D26" s="52">
        <v>31437.03</v>
      </c>
      <c r="E26" s="52">
        <v>30188.22</v>
      </c>
      <c r="F26" s="52">
        <v>806.71</v>
      </c>
      <c r="G26" s="52">
        <v>5659.25</v>
      </c>
      <c r="H26" s="43">
        <f t="shared" si="17"/>
        <v>26213.119999999999</v>
      </c>
      <c r="I26" s="52">
        <v>4337.26</v>
      </c>
      <c r="J26" s="52">
        <v>174.56</v>
      </c>
      <c r="K26" s="52">
        <v>14844.05</v>
      </c>
      <c r="L26" s="52">
        <v>4665.9399999999996</v>
      </c>
      <c r="M26" s="52">
        <v>2050.4699999999998</v>
      </c>
      <c r="N26" s="52">
        <v>26.09</v>
      </c>
      <c r="O26" s="52">
        <v>114.75</v>
      </c>
      <c r="P26" s="43">
        <f t="shared" si="18"/>
        <v>-32228.43</v>
      </c>
      <c r="Q26" s="52">
        <v>-114.04</v>
      </c>
      <c r="R26" s="52">
        <v>-30.33</v>
      </c>
      <c r="S26" s="52">
        <v>-22189.69</v>
      </c>
      <c r="T26" s="52">
        <v>-6574.81</v>
      </c>
      <c r="U26" s="52">
        <v>-3273.54</v>
      </c>
      <c r="V26" s="56">
        <v>0</v>
      </c>
      <c r="W26" s="52">
        <v>-46.02</v>
      </c>
      <c r="X26" s="43">
        <f t="shared" si="19"/>
        <v>-486.58</v>
      </c>
      <c r="Y26" s="52">
        <v>-486.58</v>
      </c>
      <c r="Z26" s="43">
        <f t="shared" si="20"/>
        <v>4328.8099999999995</v>
      </c>
      <c r="AA26" s="52">
        <v>2241.36</v>
      </c>
      <c r="AB26" s="52">
        <v>1.42</v>
      </c>
      <c r="AC26" s="52">
        <v>-406.45</v>
      </c>
      <c r="AD26" s="52">
        <v>62.03</v>
      </c>
      <c r="AE26" s="52">
        <v>2430.4499999999998</v>
      </c>
      <c r="AF26" s="56">
        <v>0</v>
      </c>
      <c r="AG26" s="43">
        <f t="shared" si="23"/>
        <v>70811.900000000009</v>
      </c>
      <c r="AH26" s="43">
        <f t="shared" si="0"/>
        <v>11358.35</v>
      </c>
      <c r="AI26" s="43">
        <f t="shared" si="1"/>
        <v>145.65</v>
      </c>
      <c r="AJ26" s="43">
        <f t="shared" si="2"/>
        <v>23684.940000000002</v>
      </c>
      <c r="AK26" s="43">
        <f t="shared" si="3"/>
        <v>-2333.4200000000005</v>
      </c>
      <c r="AL26" s="43">
        <f t="shared" si="4"/>
        <v>31395.600000000002</v>
      </c>
      <c r="AM26" s="43">
        <f t="shared" si="5"/>
        <v>832.80000000000007</v>
      </c>
      <c r="AN26" s="43">
        <f t="shared" si="21"/>
        <v>5659.25</v>
      </c>
      <c r="AO26" s="43">
        <f t="shared" si="6"/>
        <v>68.72999999999999</v>
      </c>
      <c r="AP26" s="43">
        <f t="shared" si="7"/>
        <v>-236.45999999999185</v>
      </c>
      <c r="AQ26" s="43">
        <f t="shared" si="8"/>
        <v>-170.1100000000024</v>
      </c>
      <c r="AR26" s="43">
        <f t="shared" si="9"/>
        <v>-1.9199999999999591</v>
      </c>
      <c r="AS26" s="43">
        <f t="shared" si="10"/>
        <v>-157.95999999999913</v>
      </c>
      <c r="AT26" s="43">
        <f t="shared" si="11"/>
        <v>-220.67999999999893</v>
      </c>
      <c r="AU26" s="43">
        <f t="shared" si="12"/>
        <v>258.02000000000407</v>
      </c>
      <c r="AV26" s="43">
        <f t="shared" si="13"/>
        <v>0.24000000000012278</v>
      </c>
      <c r="AW26" s="43">
        <f t="shared" si="14"/>
        <v>0</v>
      </c>
      <c r="AX26" s="43">
        <f t="shared" si="15"/>
        <v>55.950000000001154</v>
      </c>
      <c r="AY26" s="43">
        <f>'Quarter demand'!B26</f>
        <v>71048.36</v>
      </c>
      <c r="AZ26" s="43">
        <f>'Quarter demand'!C26</f>
        <v>11528.460000000003</v>
      </c>
      <c r="BA26" s="43">
        <f>'Quarter demand'!D26</f>
        <v>147.56999999999996</v>
      </c>
      <c r="BB26" s="43">
        <f>'Quarter demand'!E26</f>
        <v>23842.9</v>
      </c>
      <c r="BC26" s="43">
        <f>'Quarter demand'!F26</f>
        <v>-2112.7400000000016</v>
      </c>
      <c r="BD26" s="43">
        <f>'Quarter demand'!G26</f>
        <v>31137.579999999998</v>
      </c>
      <c r="BE26" s="43">
        <f>'Quarter demand'!H26</f>
        <v>832.56</v>
      </c>
      <c r="BF26" s="43">
        <f>'Quarter demand'!I26</f>
        <v>5659.25</v>
      </c>
      <c r="BG26" s="54">
        <f>'Quarter demand'!J26</f>
        <v>12.779999999998836</v>
      </c>
    </row>
    <row r="27" spans="1:59" ht="15.5" x14ac:dyDescent="0.35">
      <c r="A27" s="50" t="s">
        <v>192</v>
      </c>
      <c r="B27" s="43">
        <f t="shared" si="16"/>
        <v>63188.369999999995</v>
      </c>
      <c r="C27" s="52">
        <v>4461.54</v>
      </c>
      <c r="D27" s="52">
        <v>28525.16</v>
      </c>
      <c r="E27" s="52">
        <v>24363.279999999999</v>
      </c>
      <c r="F27" s="52">
        <v>686.32</v>
      </c>
      <c r="G27" s="52">
        <v>5152.07</v>
      </c>
      <c r="H27" s="43">
        <f t="shared" si="17"/>
        <v>24893.309999999998</v>
      </c>
      <c r="I27" s="52">
        <v>5527.95</v>
      </c>
      <c r="J27" s="52">
        <v>213.72</v>
      </c>
      <c r="K27" s="52">
        <v>14183.13</v>
      </c>
      <c r="L27" s="52">
        <v>3647.34</v>
      </c>
      <c r="M27" s="52">
        <v>1187.7</v>
      </c>
      <c r="N27" s="52">
        <v>26.71</v>
      </c>
      <c r="O27" s="52">
        <v>106.76</v>
      </c>
      <c r="P27" s="43">
        <f t="shared" si="18"/>
        <v>-31550.9</v>
      </c>
      <c r="Q27" s="52">
        <v>-77.45</v>
      </c>
      <c r="R27" s="52">
        <v>-33.869999999999997</v>
      </c>
      <c r="S27" s="52">
        <v>-19061.02</v>
      </c>
      <c r="T27" s="52">
        <v>-6806.3</v>
      </c>
      <c r="U27" s="52">
        <v>-5491.86</v>
      </c>
      <c r="V27" s="56">
        <v>0</v>
      </c>
      <c r="W27" s="52">
        <v>-80.400000000000006</v>
      </c>
      <c r="X27" s="43">
        <f t="shared" si="19"/>
        <v>-500.61</v>
      </c>
      <c r="Y27" s="52">
        <v>-500.61</v>
      </c>
      <c r="Z27" s="43">
        <f t="shared" si="20"/>
        <v>-698.08999999999992</v>
      </c>
      <c r="AA27" s="52">
        <v>-749.32</v>
      </c>
      <c r="AB27" s="52">
        <v>-71.44</v>
      </c>
      <c r="AC27" s="52">
        <v>842.07</v>
      </c>
      <c r="AD27" s="52">
        <v>-76.66</v>
      </c>
      <c r="AE27" s="52">
        <v>-642.74</v>
      </c>
      <c r="AF27" s="56">
        <v>0</v>
      </c>
      <c r="AG27" s="43">
        <f t="shared" si="23"/>
        <v>55332.079999999994</v>
      </c>
      <c r="AH27" s="43">
        <f t="shared" si="0"/>
        <v>9162.7199999999993</v>
      </c>
      <c r="AI27" s="43">
        <f t="shared" si="1"/>
        <v>108.41</v>
      </c>
      <c r="AJ27" s="43">
        <f t="shared" si="2"/>
        <v>24489.34</v>
      </c>
      <c r="AK27" s="43">
        <f t="shared" si="3"/>
        <v>-3736.23</v>
      </c>
      <c r="AL27" s="43">
        <f t="shared" si="4"/>
        <v>19416.379999999997</v>
      </c>
      <c r="AM27" s="43">
        <f t="shared" si="5"/>
        <v>713.03000000000009</v>
      </c>
      <c r="AN27" s="43">
        <f t="shared" si="21"/>
        <v>5152.07</v>
      </c>
      <c r="AO27" s="43">
        <f t="shared" si="6"/>
        <v>26.36</v>
      </c>
      <c r="AP27" s="43">
        <f t="shared" si="7"/>
        <v>690.36999999999534</v>
      </c>
      <c r="AQ27" s="43">
        <f t="shared" si="8"/>
        <v>176.45000000000073</v>
      </c>
      <c r="AR27" s="43">
        <f t="shared" si="9"/>
        <v>16.970000000000056</v>
      </c>
      <c r="AS27" s="43">
        <f t="shared" si="10"/>
        <v>341.85000000000218</v>
      </c>
      <c r="AT27" s="43">
        <f t="shared" si="11"/>
        <v>479.99000000000115</v>
      </c>
      <c r="AU27" s="43">
        <f t="shared" si="12"/>
        <v>-365.02000000000407</v>
      </c>
      <c r="AV27" s="43">
        <f t="shared" si="13"/>
        <v>0.13000000000010914</v>
      </c>
      <c r="AW27" s="43">
        <f t="shared" si="14"/>
        <v>1.0000000000218279E-2</v>
      </c>
      <c r="AX27" s="43">
        <f t="shared" si="15"/>
        <v>39.989999999999199</v>
      </c>
      <c r="AY27" s="43">
        <f>'Quarter demand'!B27</f>
        <v>54641.71</v>
      </c>
      <c r="AZ27" s="43">
        <f>'Quarter demand'!C27</f>
        <v>8986.2699999999986</v>
      </c>
      <c r="BA27" s="43">
        <f>'Quarter demand'!D27</f>
        <v>91.439999999999941</v>
      </c>
      <c r="BB27" s="43">
        <f>'Quarter demand'!E27</f>
        <v>24147.489999999998</v>
      </c>
      <c r="BC27" s="43">
        <f>'Quarter demand'!F27</f>
        <v>-4216.2200000000012</v>
      </c>
      <c r="BD27" s="43">
        <f>'Quarter demand'!G27</f>
        <v>19781.400000000001</v>
      </c>
      <c r="BE27" s="43">
        <f>'Quarter demand'!H27</f>
        <v>712.9</v>
      </c>
      <c r="BF27" s="43">
        <f>'Quarter demand'!I27</f>
        <v>5152.0599999999995</v>
      </c>
      <c r="BG27" s="54">
        <f>'Quarter demand'!J27</f>
        <v>-13.6299999999992</v>
      </c>
    </row>
    <row r="28" spans="1:59" ht="15.5" x14ac:dyDescent="0.35">
      <c r="A28" s="50" t="s">
        <v>193</v>
      </c>
      <c r="B28" s="43">
        <f t="shared" si="16"/>
        <v>57479.040000000001</v>
      </c>
      <c r="C28" s="52">
        <v>3683.87</v>
      </c>
      <c r="D28" s="52">
        <v>27345.040000000001</v>
      </c>
      <c r="E28" s="52">
        <v>21018.14</v>
      </c>
      <c r="F28" s="52">
        <v>663.7</v>
      </c>
      <c r="G28" s="52">
        <v>4768.29</v>
      </c>
      <c r="H28" s="43">
        <f t="shared" si="17"/>
        <v>26627.86</v>
      </c>
      <c r="I28" s="52">
        <v>5290.72</v>
      </c>
      <c r="J28" s="52">
        <v>147.30000000000001</v>
      </c>
      <c r="K28" s="52">
        <v>15531.65</v>
      </c>
      <c r="L28" s="52">
        <v>4595.29</v>
      </c>
      <c r="M28" s="52">
        <v>974.12</v>
      </c>
      <c r="N28" s="52">
        <v>27.58</v>
      </c>
      <c r="O28" s="52">
        <v>61.2</v>
      </c>
      <c r="P28" s="43">
        <f t="shared" si="18"/>
        <v>-30672.43</v>
      </c>
      <c r="Q28" s="52">
        <v>-85.41</v>
      </c>
      <c r="R28" s="52">
        <v>-35.44</v>
      </c>
      <c r="S28" s="52">
        <v>-20598.650000000001</v>
      </c>
      <c r="T28" s="52">
        <v>-5439.21</v>
      </c>
      <c r="U28" s="52">
        <v>-4433.22</v>
      </c>
      <c r="V28" s="56">
        <v>0</v>
      </c>
      <c r="W28" s="52">
        <v>-80.5</v>
      </c>
      <c r="X28" s="43">
        <f t="shared" si="19"/>
        <v>-461.83</v>
      </c>
      <c r="Y28" s="52">
        <v>-461.83</v>
      </c>
      <c r="Z28" s="43">
        <f t="shared" si="20"/>
        <v>-2089.4499999999998</v>
      </c>
      <c r="AA28" s="52">
        <v>-807.95</v>
      </c>
      <c r="AB28" s="52">
        <v>-42.48</v>
      </c>
      <c r="AC28" s="52">
        <v>393.26</v>
      </c>
      <c r="AD28" s="52">
        <v>-55.92</v>
      </c>
      <c r="AE28" s="52">
        <v>-1576.36</v>
      </c>
      <c r="AF28" s="56">
        <v>0</v>
      </c>
      <c r="AG28" s="43">
        <f t="shared" si="23"/>
        <v>50883.189999999995</v>
      </c>
      <c r="AH28" s="43">
        <f t="shared" si="0"/>
        <v>8081.2300000000005</v>
      </c>
      <c r="AI28" s="43">
        <f t="shared" si="1"/>
        <v>69.380000000000024</v>
      </c>
      <c r="AJ28" s="43">
        <f t="shared" si="2"/>
        <v>22671.3</v>
      </c>
      <c r="AK28" s="43">
        <f t="shared" si="3"/>
        <v>-1361.67</v>
      </c>
      <c r="AL28" s="43">
        <f t="shared" si="4"/>
        <v>15982.679999999997</v>
      </c>
      <c r="AM28" s="43">
        <f t="shared" si="5"/>
        <v>691.28000000000009</v>
      </c>
      <c r="AN28" s="43">
        <f t="shared" si="21"/>
        <v>4768.29</v>
      </c>
      <c r="AO28" s="43">
        <f t="shared" si="6"/>
        <v>-19.299999999999997</v>
      </c>
      <c r="AP28" s="43">
        <f t="shared" si="7"/>
        <v>-565.58000000000902</v>
      </c>
      <c r="AQ28" s="43">
        <f t="shared" si="8"/>
        <v>-138.61999999999989</v>
      </c>
      <c r="AR28" s="43">
        <f t="shared" si="9"/>
        <v>-47.679999999999893</v>
      </c>
      <c r="AS28" s="43">
        <f t="shared" si="10"/>
        <v>104.06999999999607</v>
      </c>
      <c r="AT28" s="43">
        <f t="shared" si="11"/>
        <v>-545.94999999999527</v>
      </c>
      <c r="AU28" s="43">
        <f t="shared" si="12"/>
        <v>35.989999999997963</v>
      </c>
      <c r="AV28" s="43">
        <f t="shared" si="13"/>
        <v>0.13000000000010914</v>
      </c>
      <c r="AW28" s="43">
        <f t="shared" si="14"/>
        <v>0</v>
      </c>
      <c r="AX28" s="43">
        <f t="shared" si="15"/>
        <v>26.480000000000658</v>
      </c>
      <c r="AY28" s="43">
        <f>'Quarter demand'!B28</f>
        <v>51448.770000000004</v>
      </c>
      <c r="AZ28" s="43">
        <f>'Quarter demand'!C28</f>
        <v>8219.85</v>
      </c>
      <c r="BA28" s="43">
        <f>'Quarter demand'!D28</f>
        <v>117.05999999999992</v>
      </c>
      <c r="BB28" s="43">
        <f>'Quarter demand'!E28</f>
        <v>22567.230000000003</v>
      </c>
      <c r="BC28" s="43">
        <f>'Quarter demand'!F28</f>
        <v>-815.7200000000048</v>
      </c>
      <c r="BD28" s="43">
        <f>'Quarter demand'!G28</f>
        <v>15946.689999999999</v>
      </c>
      <c r="BE28" s="43">
        <f>'Quarter demand'!H28</f>
        <v>691.15</v>
      </c>
      <c r="BF28" s="43">
        <f>'Quarter demand'!I28</f>
        <v>4768.29</v>
      </c>
      <c r="BG28" s="54">
        <f>'Quarter demand'!J28</f>
        <v>-45.780000000000655</v>
      </c>
    </row>
    <row r="29" spans="1:59" ht="15.5" x14ac:dyDescent="0.35">
      <c r="A29" s="50" t="s">
        <v>194</v>
      </c>
      <c r="B29" s="43">
        <f t="shared" si="16"/>
        <v>66657.88</v>
      </c>
      <c r="C29" s="52">
        <v>4596.6499999999996</v>
      </c>
      <c r="D29" s="52">
        <v>28934.85</v>
      </c>
      <c r="E29" s="52">
        <v>27426.57</v>
      </c>
      <c r="F29" s="52">
        <v>851.05</v>
      </c>
      <c r="G29" s="52">
        <v>4848.76</v>
      </c>
      <c r="H29" s="43">
        <f t="shared" si="17"/>
        <v>28695.4</v>
      </c>
      <c r="I29" s="52">
        <v>5546.88</v>
      </c>
      <c r="J29" s="52">
        <v>158.09</v>
      </c>
      <c r="K29" s="52">
        <v>14555.09</v>
      </c>
      <c r="L29" s="52">
        <v>5039.8100000000004</v>
      </c>
      <c r="M29" s="52">
        <v>3208</v>
      </c>
      <c r="N29" s="52">
        <v>30.05</v>
      </c>
      <c r="O29" s="52">
        <v>157.47999999999999</v>
      </c>
      <c r="P29" s="43">
        <f t="shared" si="18"/>
        <v>-28756.139999999996</v>
      </c>
      <c r="Q29" s="52">
        <v>-119.33</v>
      </c>
      <c r="R29" s="52">
        <v>-33.79</v>
      </c>
      <c r="S29" s="52">
        <v>-20077.39</v>
      </c>
      <c r="T29" s="52">
        <v>-6454.12</v>
      </c>
      <c r="U29" s="52">
        <v>-2024</v>
      </c>
      <c r="V29" s="56">
        <v>0</v>
      </c>
      <c r="W29" s="52">
        <v>-47.51</v>
      </c>
      <c r="X29" s="43">
        <f t="shared" si="19"/>
        <v>-430.34</v>
      </c>
      <c r="Y29" s="52">
        <v>-430.34</v>
      </c>
      <c r="Z29" s="43">
        <f t="shared" si="20"/>
        <v>957.86999999999978</v>
      </c>
      <c r="AA29" s="52">
        <v>1386.12</v>
      </c>
      <c r="AB29" s="52">
        <v>21.02</v>
      </c>
      <c r="AC29" s="52">
        <v>-317.69</v>
      </c>
      <c r="AD29" s="52">
        <v>-223.93</v>
      </c>
      <c r="AE29" s="52">
        <v>92.35</v>
      </c>
      <c r="AF29" s="56">
        <v>0</v>
      </c>
      <c r="AG29" s="43">
        <f t="shared" si="23"/>
        <v>67124.67</v>
      </c>
      <c r="AH29" s="43">
        <f t="shared" si="0"/>
        <v>11410.32</v>
      </c>
      <c r="AI29" s="43">
        <f t="shared" si="1"/>
        <v>145.32000000000002</v>
      </c>
      <c r="AJ29" s="43">
        <f t="shared" si="2"/>
        <v>23094.860000000004</v>
      </c>
      <c r="AK29" s="43">
        <f t="shared" si="3"/>
        <v>-2068.5799999999995</v>
      </c>
      <c r="AL29" s="43">
        <f t="shared" si="4"/>
        <v>28702.92</v>
      </c>
      <c r="AM29" s="43">
        <f t="shared" si="5"/>
        <v>881.09999999999991</v>
      </c>
      <c r="AN29" s="43">
        <f t="shared" si="21"/>
        <v>4848.76</v>
      </c>
      <c r="AO29" s="43">
        <f t="shared" si="6"/>
        <v>109.97</v>
      </c>
      <c r="AP29" s="43">
        <f t="shared" si="7"/>
        <v>-161.02999999999884</v>
      </c>
      <c r="AQ29" s="43">
        <f t="shared" si="8"/>
        <v>35.540000000002692</v>
      </c>
      <c r="AR29" s="43">
        <f t="shared" si="9"/>
        <v>-16.580000000000069</v>
      </c>
      <c r="AS29" s="43">
        <f t="shared" si="10"/>
        <v>-77.539999999997235</v>
      </c>
      <c r="AT29" s="43">
        <f t="shared" si="11"/>
        <v>-374.55000000000064</v>
      </c>
      <c r="AU29" s="43">
        <f t="shared" si="12"/>
        <v>204.45999999999913</v>
      </c>
      <c r="AV29" s="43">
        <f t="shared" si="13"/>
        <v>0.20999999999992269</v>
      </c>
      <c r="AW29" s="43">
        <f t="shared" si="14"/>
        <v>0</v>
      </c>
      <c r="AX29" s="43">
        <f t="shared" si="15"/>
        <v>67.430000000000035</v>
      </c>
      <c r="AY29" s="43">
        <f>'Quarter demand'!B29</f>
        <v>67285.7</v>
      </c>
      <c r="AZ29" s="43">
        <f>'Quarter demand'!C29</f>
        <v>11374.779999999997</v>
      </c>
      <c r="BA29" s="43">
        <f>'Quarter demand'!D29</f>
        <v>161.90000000000009</v>
      </c>
      <c r="BB29" s="43">
        <f>'Quarter demand'!E29</f>
        <v>23172.400000000001</v>
      </c>
      <c r="BC29" s="43">
        <f>'Quarter demand'!F29</f>
        <v>-1694.0299999999988</v>
      </c>
      <c r="BD29" s="43">
        <f>'Quarter demand'!G29</f>
        <v>28498.46</v>
      </c>
      <c r="BE29" s="43">
        <f>'Quarter demand'!H29</f>
        <v>880.89</v>
      </c>
      <c r="BF29" s="43">
        <f>'Quarter demand'!I29</f>
        <v>4848.76</v>
      </c>
      <c r="BG29" s="54">
        <f>'Quarter demand'!J29</f>
        <v>42.539999999999964</v>
      </c>
    </row>
    <row r="30" spans="1:59" ht="15.5" x14ac:dyDescent="0.35">
      <c r="A30" s="50" t="s">
        <v>195</v>
      </c>
      <c r="B30" s="43">
        <f t="shared" si="16"/>
        <v>65495.780000000006</v>
      </c>
      <c r="C30" s="52">
        <v>3964.93</v>
      </c>
      <c r="D30" s="52">
        <v>27883.73</v>
      </c>
      <c r="E30" s="52">
        <v>27336.33</v>
      </c>
      <c r="F30" s="52">
        <v>793.74</v>
      </c>
      <c r="G30" s="52">
        <v>5517.05</v>
      </c>
      <c r="H30" s="43">
        <f t="shared" si="17"/>
        <v>32013.549999999996</v>
      </c>
      <c r="I30" s="52">
        <v>6113.64</v>
      </c>
      <c r="J30" s="52">
        <v>163.13</v>
      </c>
      <c r="K30" s="52">
        <v>16327.21</v>
      </c>
      <c r="L30" s="52">
        <v>5076.53</v>
      </c>
      <c r="M30" s="52">
        <v>4103.1899999999996</v>
      </c>
      <c r="N30" s="52">
        <v>55.82</v>
      </c>
      <c r="O30" s="52">
        <v>174.03</v>
      </c>
      <c r="P30" s="43">
        <f t="shared" si="18"/>
        <v>-28799.83</v>
      </c>
      <c r="Q30" s="52">
        <v>-110.76</v>
      </c>
      <c r="R30" s="52">
        <v>-34.04</v>
      </c>
      <c r="S30" s="52">
        <v>-19447.47</v>
      </c>
      <c r="T30" s="52">
        <v>-7865.01</v>
      </c>
      <c r="U30" s="52">
        <v>-1279.1500000000001</v>
      </c>
      <c r="V30" s="56">
        <v>0</v>
      </c>
      <c r="W30" s="52">
        <v>-63.4</v>
      </c>
      <c r="X30" s="43">
        <f t="shared" si="19"/>
        <v>-401.18</v>
      </c>
      <c r="Y30" s="52">
        <v>-401.18</v>
      </c>
      <c r="Z30" s="43">
        <f t="shared" si="20"/>
        <v>4338.3899999999994</v>
      </c>
      <c r="AA30" s="52">
        <v>2383.81</v>
      </c>
      <c r="AB30" s="52">
        <v>-41.86</v>
      </c>
      <c r="AC30" s="52">
        <v>-415.97</v>
      </c>
      <c r="AD30" s="52">
        <v>438.54</v>
      </c>
      <c r="AE30" s="52">
        <v>1973.87</v>
      </c>
      <c r="AF30" s="56">
        <v>0</v>
      </c>
      <c r="AG30" s="43">
        <f t="shared" si="23"/>
        <v>72646.710000000006</v>
      </c>
      <c r="AH30" s="43">
        <f t="shared" si="0"/>
        <v>12351.619999999999</v>
      </c>
      <c r="AI30" s="43">
        <f t="shared" si="1"/>
        <v>87.23</v>
      </c>
      <c r="AJ30" s="43">
        <f t="shared" si="2"/>
        <v>24347.5</v>
      </c>
      <c r="AK30" s="43">
        <f t="shared" si="3"/>
        <v>-2751.1200000000003</v>
      </c>
      <c r="AL30" s="43">
        <f t="shared" si="4"/>
        <v>32134.239999999998</v>
      </c>
      <c r="AM30" s="43">
        <f t="shared" si="5"/>
        <v>849.56000000000006</v>
      </c>
      <c r="AN30" s="43">
        <f t="shared" si="21"/>
        <v>5517.05</v>
      </c>
      <c r="AO30" s="43">
        <f t="shared" si="6"/>
        <v>110.63</v>
      </c>
      <c r="AP30" s="43">
        <f t="shared" si="7"/>
        <v>887.02999999999884</v>
      </c>
      <c r="AQ30" s="43">
        <f t="shared" si="8"/>
        <v>787.65999999999804</v>
      </c>
      <c r="AR30" s="43">
        <f t="shared" si="9"/>
        <v>-23.610000000000028</v>
      </c>
      <c r="AS30" s="43">
        <f t="shared" si="10"/>
        <v>-202.43999999999869</v>
      </c>
      <c r="AT30" s="43">
        <f t="shared" si="11"/>
        <v>200.39999999999645</v>
      </c>
      <c r="AU30" s="43">
        <f t="shared" si="12"/>
        <v>83.249999999996362</v>
      </c>
      <c r="AV30" s="43">
        <f t="shared" si="13"/>
        <v>3.0000000000086402E-2</v>
      </c>
      <c r="AW30" s="43">
        <f t="shared" si="14"/>
        <v>-1.0000000000218279E-2</v>
      </c>
      <c r="AX30" s="43">
        <f t="shared" si="15"/>
        <v>41.749999999998977</v>
      </c>
      <c r="AY30" s="43">
        <f>'Quarter demand'!B30</f>
        <v>71759.680000000008</v>
      </c>
      <c r="AZ30" s="43">
        <f>'Quarter demand'!C30</f>
        <v>11563.960000000001</v>
      </c>
      <c r="BA30" s="43">
        <f>'Quarter demand'!D30</f>
        <v>110.84000000000003</v>
      </c>
      <c r="BB30" s="43">
        <f>'Quarter demand'!E30</f>
        <v>24549.94</v>
      </c>
      <c r="BC30" s="43">
        <f>'Quarter demand'!F30</f>
        <v>-2951.5199999999968</v>
      </c>
      <c r="BD30" s="43">
        <f>'Quarter demand'!G30</f>
        <v>32050.99</v>
      </c>
      <c r="BE30" s="43">
        <f>'Quarter demand'!H30</f>
        <v>849.53</v>
      </c>
      <c r="BF30" s="43">
        <f>'Quarter demand'!I30</f>
        <v>5517.06</v>
      </c>
      <c r="BG30" s="54">
        <f>'Quarter demand'!J30</f>
        <v>68.880000000001019</v>
      </c>
    </row>
    <row r="31" spans="1:59" ht="15.5" x14ac:dyDescent="0.35">
      <c r="A31" s="50" t="s">
        <v>196</v>
      </c>
      <c r="B31" s="43">
        <f t="shared" si="16"/>
        <v>59773.070000000007</v>
      </c>
      <c r="C31" s="52">
        <v>3784.58</v>
      </c>
      <c r="D31" s="52">
        <v>26691.68</v>
      </c>
      <c r="E31" s="52">
        <v>24266.26</v>
      </c>
      <c r="F31" s="52">
        <v>712.86</v>
      </c>
      <c r="G31" s="52">
        <v>4317.6899999999996</v>
      </c>
      <c r="H31" s="43">
        <f t="shared" si="17"/>
        <v>29866.129999999997</v>
      </c>
      <c r="I31" s="52">
        <v>5739.33</v>
      </c>
      <c r="J31" s="52">
        <v>221.97</v>
      </c>
      <c r="K31" s="52">
        <v>17092.71</v>
      </c>
      <c r="L31" s="52">
        <v>5039.8100000000004</v>
      </c>
      <c r="M31" s="52">
        <v>1508.3</v>
      </c>
      <c r="N31" s="52">
        <v>72.12</v>
      </c>
      <c r="O31" s="52">
        <v>191.89</v>
      </c>
      <c r="P31" s="43">
        <f t="shared" si="18"/>
        <v>-30295.080000000005</v>
      </c>
      <c r="Q31" s="52">
        <v>-117.69</v>
      </c>
      <c r="R31" s="52">
        <v>-28.9</v>
      </c>
      <c r="S31" s="52">
        <v>-18198.900000000001</v>
      </c>
      <c r="T31" s="52">
        <v>-7899.31</v>
      </c>
      <c r="U31" s="52">
        <v>-4003.33</v>
      </c>
      <c r="V31" s="56">
        <v>0</v>
      </c>
      <c r="W31" s="52">
        <v>-46.95</v>
      </c>
      <c r="X31" s="43">
        <f t="shared" si="19"/>
        <v>-630.12</v>
      </c>
      <c r="Y31" s="52">
        <v>-630.12</v>
      </c>
      <c r="Z31" s="43">
        <f t="shared" si="20"/>
        <v>-3684.2799999999997</v>
      </c>
      <c r="AA31" s="52">
        <v>-2097.44</v>
      </c>
      <c r="AB31" s="52">
        <v>-85.47</v>
      </c>
      <c r="AC31" s="52">
        <v>-366.74</v>
      </c>
      <c r="AD31" s="52">
        <v>105.62</v>
      </c>
      <c r="AE31" s="52">
        <v>-1240.25</v>
      </c>
      <c r="AF31" s="56">
        <v>0</v>
      </c>
      <c r="AG31" s="43">
        <f t="shared" si="23"/>
        <v>55029.72</v>
      </c>
      <c r="AH31" s="43">
        <f t="shared" si="0"/>
        <v>7308.7799999999988</v>
      </c>
      <c r="AI31" s="43">
        <f t="shared" si="1"/>
        <v>107.6</v>
      </c>
      <c r="AJ31" s="43">
        <f t="shared" si="2"/>
        <v>25218.749999999996</v>
      </c>
      <c r="AK31" s="43">
        <f t="shared" si="3"/>
        <v>-3384</v>
      </c>
      <c r="AL31" s="43">
        <f t="shared" si="4"/>
        <v>20530.979999999996</v>
      </c>
      <c r="AM31" s="43">
        <f t="shared" si="5"/>
        <v>784.98</v>
      </c>
      <c r="AN31" s="43">
        <f t="shared" si="21"/>
        <v>4317.6899999999996</v>
      </c>
      <c r="AO31" s="43">
        <f t="shared" si="6"/>
        <v>144.94</v>
      </c>
      <c r="AP31" s="43">
        <f t="shared" si="7"/>
        <v>-339.06000000000495</v>
      </c>
      <c r="AQ31" s="43">
        <f t="shared" si="8"/>
        <v>-716.46000000000095</v>
      </c>
      <c r="AR31" s="43">
        <f t="shared" si="9"/>
        <v>-30.619999999999919</v>
      </c>
      <c r="AS31" s="43">
        <f t="shared" si="10"/>
        <v>-75.560000000004948</v>
      </c>
      <c r="AT31" s="43">
        <f t="shared" si="11"/>
        <v>462.65999999999622</v>
      </c>
      <c r="AU31" s="43">
        <f t="shared" si="12"/>
        <v>40.019999999996799</v>
      </c>
      <c r="AV31" s="43">
        <f t="shared" si="13"/>
        <v>2.9999999999972715E-2</v>
      </c>
      <c r="AW31" s="43">
        <f t="shared" si="14"/>
        <v>0</v>
      </c>
      <c r="AX31" s="43">
        <f t="shared" si="15"/>
        <v>-19.129999999998802</v>
      </c>
      <c r="AY31" s="43">
        <f>'Quarter demand'!B31</f>
        <v>55368.780000000006</v>
      </c>
      <c r="AZ31" s="43">
        <f>'Quarter demand'!C31</f>
        <v>8025.24</v>
      </c>
      <c r="BA31" s="43">
        <f>'Quarter demand'!D31</f>
        <v>138.21999999999991</v>
      </c>
      <c r="BB31" s="43">
        <f>'Quarter demand'!E31</f>
        <v>25294.31</v>
      </c>
      <c r="BC31" s="43">
        <f>'Quarter demand'!F31</f>
        <v>-3846.6599999999962</v>
      </c>
      <c r="BD31" s="43">
        <f>'Quarter demand'!G31</f>
        <v>20490.96</v>
      </c>
      <c r="BE31" s="43">
        <f>'Quarter demand'!H31</f>
        <v>784.95</v>
      </c>
      <c r="BF31" s="43">
        <f>'Quarter demand'!I31</f>
        <v>4317.6899999999996</v>
      </c>
      <c r="BG31" s="54">
        <f>'Quarter demand'!J31</f>
        <v>164.0699999999988</v>
      </c>
    </row>
    <row r="32" spans="1:59" ht="15.5" x14ac:dyDescent="0.35">
      <c r="A32" s="50" t="s">
        <v>197</v>
      </c>
      <c r="B32" s="43">
        <f t="shared" si="16"/>
        <v>52340.82</v>
      </c>
      <c r="C32" s="52">
        <v>3729.17</v>
      </c>
      <c r="D32" s="52">
        <v>24195.94</v>
      </c>
      <c r="E32" s="52">
        <v>19359.93</v>
      </c>
      <c r="F32" s="52">
        <v>693.61</v>
      </c>
      <c r="G32" s="52">
        <v>4362.17</v>
      </c>
      <c r="H32" s="43">
        <f t="shared" si="17"/>
        <v>30984.969999999998</v>
      </c>
      <c r="I32" s="52">
        <v>6018.07</v>
      </c>
      <c r="J32" s="52">
        <v>176.96</v>
      </c>
      <c r="K32" s="52">
        <v>17943.36</v>
      </c>
      <c r="L32" s="52">
        <v>4899.16</v>
      </c>
      <c r="M32" s="52">
        <v>1618.3</v>
      </c>
      <c r="N32" s="52">
        <v>114.09</v>
      </c>
      <c r="O32" s="52">
        <v>215.03</v>
      </c>
      <c r="P32" s="43">
        <f t="shared" si="18"/>
        <v>-28240.180000000004</v>
      </c>
      <c r="Q32" s="52">
        <v>-90.24</v>
      </c>
      <c r="R32" s="52">
        <v>-28.01</v>
      </c>
      <c r="S32" s="52">
        <v>-16499.990000000002</v>
      </c>
      <c r="T32" s="52">
        <v>-8340.81</v>
      </c>
      <c r="U32" s="52">
        <v>-3242.79</v>
      </c>
      <c r="V32" s="56">
        <v>0</v>
      </c>
      <c r="W32" s="52">
        <v>-38.340000000000003</v>
      </c>
      <c r="X32" s="43">
        <f t="shared" si="19"/>
        <v>-621.87</v>
      </c>
      <c r="Y32" s="52">
        <v>-621.87</v>
      </c>
      <c r="Z32" s="43">
        <f t="shared" si="20"/>
        <v>-3676.04</v>
      </c>
      <c r="AA32" s="52">
        <v>-2410.85</v>
      </c>
      <c r="AB32" s="52">
        <v>-34.5</v>
      </c>
      <c r="AC32" s="52">
        <v>278.94</v>
      </c>
      <c r="AD32" s="52">
        <v>-275.92</v>
      </c>
      <c r="AE32" s="52">
        <v>-1233.71</v>
      </c>
      <c r="AF32" s="56">
        <v>0</v>
      </c>
      <c r="AG32" s="43">
        <f t="shared" si="23"/>
        <v>50787.7</v>
      </c>
      <c r="AH32" s="43">
        <f t="shared" si="0"/>
        <v>7246.15</v>
      </c>
      <c r="AI32" s="43">
        <f t="shared" si="1"/>
        <v>114.45000000000002</v>
      </c>
      <c r="AJ32" s="43">
        <f t="shared" si="2"/>
        <v>25918.25</v>
      </c>
      <c r="AK32" s="43">
        <f t="shared" si="3"/>
        <v>-4339.4399999999996</v>
      </c>
      <c r="AL32" s="43">
        <f t="shared" si="4"/>
        <v>16501.73</v>
      </c>
      <c r="AM32" s="43">
        <f t="shared" si="5"/>
        <v>807.7</v>
      </c>
      <c r="AN32" s="43">
        <f t="shared" si="21"/>
        <v>4362.17</v>
      </c>
      <c r="AO32" s="43">
        <f t="shared" si="6"/>
        <v>176.69</v>
      </c>
      <c r="AP32" s="43">
        <f t="shared" si="7"/>
        <v>-1006.5000000000073</v>
      </c>
      <c r="AQ32" s="43">
        <f t="shared" si="8"/>
        <v>-750.65000000000055</v>
      </c>
      <c r="AR32" s="43">
        <f t="shared" si="9"/>
        <v>-9.3199999999999363</v>
      </c>
      <c r="AS32" s="43">
        <f t="shared" si="10"/>
        <v>-103.27000000000044</v>
      </c>
      <c r="AT32" s="43">
        <f t="shared" si="11"/>
        <v>-238.76000000000295</v>
      </c>
      <c r="AU32" s="43">
        <f t="shared" si="12"/>
        <v>14.779999999998836</v>
      </c>
      <c r="AV32" s="43">
        <f t="shared" si="13"/>
        <v>2.0000000000095497E-2</v>
      </c>
      <c r="AW32" s="43">
        <f t="shared" si="14"/>
        <v>-9.999999999308784E-3</v>
      </c>
      <c r="AX32" s="43">
        <f t="shared" si="15"/>
        <v>80.709999999999525</v>
      </c>
      <c r="AY32" s="43">
        <f>'Quarter demand'!B32</f>
        <v>51794.200000000004</v>
      </c>
      <c r="AZ32" s="43">
        <f>'Quarter demand'!C32</f>
        <v>7996.8</v>
      </c>
      <c r="BA32" s="43">
        <f>'Quarter demand'!D32</f>
        <v>123.76999999999995</v>
      </c>
      <c r="BB32" s="43">
        <f>'Quarter demand'!E32</f>
        <v>26021.52</v>
      </c>
      <c r="BC32" s="43">
        <f>'Quarter demand'!F32</f>
        <v>-4100.6799999999967</v>
      </c>
      <c r="BD32" s="43">
        <f>'Quarter demand'!G32</f>
        <v>16486.95</v>
      </c>
      <c r="BE32" s="43">
        <f>'Quarter demand'!H32</f>
        <v>807.68</v>
      </c>
      <c r="BF32" s="43">
        <f>'Quarter demand'!I32</f>
        <v>4362.1799999999994</v>
      </c>
      <c r="BG32" s="54">
        <f>'Quarter demand'!J32</f>
        <v>95.980000000000473</v>
      </c>
    </row>
    <row r="33" spans="1:59" ht="15.5" x14ac:dyDescent="0.35">
      <c r="A33" s="50" t="s">
        <v>198</v>
      </c>
      <c r="B33" s="43">
        <f t="shared" si="16"/>
        <v>60768.37999999999</v>
      </c>
      <c r="C33" s="52">
        <v>4115.01</v>
      </c>
      <c r="D33" s="52">
        <v>25775.94</v>
      </c>
      <c r="E33" s="52">
        <v>25448.23</v>
      </c>
      <c r="F33" s="52">
        <v>879.88</v>
      </c>
      <c r="G33" s="52">
        <v>4549.32</v>
      </c>
      <c r="H33" s="43">
        <f t="shared" si="17"/>
        <v>32393.760000000002</v>
      </c>
      <c r="I33" s="52">
        <v>5587.11</v>
      </c>
      <c r="J33" s="52">
        <v>162.27000000000001</v>
      </c>
      <c r="K33" s="52">
        <v>16850.79</v>
      </c>
      <c r="L33" s="52">
        <v>5164.7700000000004</v>
      </c>
      <c r="M33" s="52">
        <v>4208.97</v>
      </c>
      <c r="N33" s="52">
        <v>159.55000000000001</v>
      </c>
      <c r="O33" s="52">
        <v>260.3</v>
      </c>
      <c r="P33" s="43">
        <f t="shared" si="18"/>
        <v>-26867.03</v>
      </c>
      <c r="Q33" s="52">
        <v>-128.84</v>
      </c>
      <c r="R33" s="52">
        <v>-33.14</v>
      </c>
      <c r="S33" s="52">
        <v>-16367.1</v>
      </c>
      <c r="T33" s="52">
        <v>-9002.81</v>
      </c>
      <c r="U33" s="52">
        <v>-1286.57</v>
      </c>
      <c r="V33" s="56">
        <v>0</v>
      </c>
      <c r="W33" s="52">
        <v>-48.57</v>
      </c>
      <c r="X33" s="43">
        <f t="shared" si="19"/>
        <v>-567.84</v>
      </c>
      <c r="Y33" s="52">
        <v>-567.84</v>
      </c>
      <c r="Z33" s="43">
        <f t="shared" si="20"/>
        <v>1870.2900000000002</v>
      </c>
      <c r="AA33" s="52">
        <v>2068.5100000000002</v>
      </c>
      <c r="AB33" s="52">
        <v>78.3</v>
      </c>
      <c r="AC33" s="52">
        <v>355.14</v>
      </c>
      <c r="AD33" s="52">
        <v>-595.63</v>
      </c>
      <c r="AE33" s="52">
        <v>-36.03</v>
      </c>
      <c r="AF33" s="56">
        <v>0</v>
      </c>
      <c r="AG33" s="43">
        <f t="shared" si="23"/>
        <v>67597.56</v>
      </c>
      <c r="AH33" s="43">
        <f t="shared" si="0"/>
        <v>11641.789999999999</v>
      </c>
      <c r="AI33" s="43">
        <f t="shared" si="1"/>
        <v>207.43</v>
      </c>
      <c r="AJ33" s="43">
        <f t="shared" si="2"/>
        <v>26614.769999999997</v>
      </c>
      <c r="AK33" s="43">
        <f t="shared" si="3"/>
        <v>-5001.5099999999993</v>
      </c>
      <c r="AL33" s="43">
        <f t="shared" si="4"/>
        <v>28334.600000000002</v>
      </c>
      <c r="AM33" s="43">
        <f t="shared" si="5"/>
        <v>1039.43</v>
      </c>
      <c r="AN33" s="43">
        <f t="shared" si="21"/>
        <v>4549.32</v>
      </c>
      <c r="AO33" s="43">
        <f t="shared" si="6"/>
        <v>211.73000000000002</v>
      </c>
      <c r="AP33" s="43">
        <f t="shared" si="7"/>
        <v>451.80000000000291</v>
      </c>
      <c r="AQ33" s="43">
        <f t="shared" si="8"/>
        <v>679.95000000000073</v>
      </c>
      <c r="AR33" s="43">
        <f t="shared" si="9"/>
        <v>11.889999999999986</v>
      </c>
      <c r="AS33" s="43">
        <f t="shared" si="10"/>
        <v>205.12999999999374</v>
      </c>
      <c r="AT33" s="43">
        <f t="shared" si="11"/>
        <v>-474.84999999999945</v>
      </c>
      <c r="AU33" s="43">
        <f t="shared" si="12"/>
        <v>-77.679999999996653</v>
      </c>
      <c r="AV33" s="43">
        <f t="shared" si="13"/>
        <v>-9.9999999999909051E-3</v>
      </c>
      <c r="AW33" s="43">
        <f t="shared" si="14"/>
        <v>9.999999999308784E-3</v>
      </c>
      <c r="AX33" s="43">
        <f t="shared" si="15"/>
        <v>107.35999999999922</v>
      </c>
      <c r="AY33" s="43">
        <f>'Quarter demand'!B33</f>
        <v>67145.759999999995</v>
      </c>
      <c r="AZ33" s="43">
        <f>'Quarter demand'!C33</f>
        <v>10961.839999999998</v>
      </c>
      <c r="BA33" s="43">
        <f>'Quarter demand'!D33</f>
        <v>195.54000000000002</v>
      </c>
      <c r="BB33" s="43">
        <f>'Quarter demand'!E33</f>
        <v>26409.640000000003</v>
      </c>
      <c r="BC33" s="43">
        <f>'Quarter demand'!F33</f>
        <v>-4526.66</v>
      </c>
      <c r="BD33" s="43">
        <f>'Quarter demand'!G33</f>
        <v>28412.28</v>
      </c>
      <c r="BE33" s="43">
        <f>'Quarter demand'!H33</f>
        <v>1039.44</v>
      </c>
      <c r="BF33" s="43">
        <f>'Quarter demand'!I33</f>
        <v>4549.3100000000004</v>
      </c>
      <c r="BG33" s="54">
        <f>'Quarter demand'!J33</f>
        <v>104.3700000000008</v>
      </c>
    </row>
    <row r="34" spans="1:59" ht="15.5" x14ac:dyDescent="0.35">
      <c r="A34" s="50" t="s">
        <v>199</v>
      </c>
      <c r="B34" s="43">
        <f t="shared" si="16"/>
        <v>60126.15</v>
      </c>
      <c r="C34" s="52">
        <v>3186.62</v>
      </c>
      <c r="D34" s="52">
        <v>24913.13</v>
      </c>
      <c r="E34" s="52">
        <v>25766.65</v>
      </c>
      <c r="F34" s="52">
        <v>997.99</v>
      </c>
      <c r="G34" s="52">
        <v>5261.76</v>
      </c>
      <c r="H34" s="43">
        <f t="shared" si="17"/>
        <v>32491.649999999998</v>
      </c>
      <c r="I34" s="52">
        <v>6609.73</v>
      </c>
      <c r="J34" s="52">
        <v>132.97999999999999</v>
      </c>
      <c r="K34" s="52">
        <v>14940.36</v>
      </c>
      <c r="L34" s="52">
        <v>6010.6</v>
      </c>
      <c r="M34" s="52">
        <v>4522.55</v>
      </c>
      <c r="N34" s="52">
        <v>77.75</v>
      </c>
      <c r="O34" s="52">
        <v>197.68</v>
      </c>
      <c r="P34" s="43">
        <f t="shared" si="18"/>
        <v>-25617.829999999994</v>
      </c>
      <c r="Q34" s="52">
        <v>-101.72</v>
      </c>
      <c r="R34" s="52">
        <v>-26.85</v>
      </c>
      <c r="S34" s="52">
        <v>-15932.21</v>
      </c>
      <c r="T34" s="52">
        <v>-8041.53</v>
      </c>
      <c r="U34" s="52">
        <v>-1438.17</v>
      </c>
      <c r="V34" s="56">
        <v>0</v>
      </c>
      <c r="W34" s="52">
        <v>-77.349999999999994</v>
      </c>
      <c r="X34" s="43">
        <f t="shared" si="19"/>
        <v>-494.63</v>
      </c>
      <c r="Y34" s="52">
        <v>-494.63</v>
      </c>
      <c r="Z34" s="43">
        <f t="shared" si="20"/>
        <v>5683.73</v>
      </c>
      <c r="AA34" s="52">
        <v>2201.5100000000002</v>
      </c>
      <c r="AB34" s="52">
        <v>57.18</v>
      </c>
      <c r="AC34" s="52">
        <v>-353.48</v>
      </c>
      <c r="AD34" s="52">
        <v>1648.84</v>
      </c>
      <c r="AE34" s="52">
        <v>2129.6799999999998</v>
      </c>
      <c r="AF34" s="56">
        <v>0</v>
      </c>
      <c r="AG34" s="43">
        <f t="shared" si="23"/>
        <v>72189.070000000007</v>
      </c>
      <c r="AH34" s="43">
        <f t="shared" si="0"/>
        <v>11896.14</v>
      </c>
      <c r="AI34" s="43">
        <f t="shared" si="1"/>
        <v>163.31</v>
      </c>
      <c r="AJ34" s="43">
        <f t="shared" si="2"/>
        <v>23567.800000000007</v>
      </c>
      <c r="AK34" s="43">
        <f t="shared" si="3"/>
        <v>-876.71999999999957</v>
      </c>
      <c r="AL34" s="43">
        <f t="shared" si="4"/>
        <v>30980.71</v>
      </c>
      <c r="AM34" s="43">
        <f t="shared" si="5"/>
        <v>1075.74</v>
      </c>
      <c r="AN34" s="43">
        <f t="shared" si="21"/>
        <v>5261.76</v>
      </c>
      <c r="AO34" s="43">
        <f t="shared" si="6"/>
        <v>120.33000000000001</v>
      </c>
      <c r="AP34" s="43">
        <f t="shared" si="7"/>
        <v>442.38000000001921</v>
      </c>
      <c r="AQ34" s="43">
        <f t="shared" si="8"/>
        <v>95.729999999999563</v>
      </c>
      <c r="AR34" s="43">
        <f t="shared" si="9"/>
        <v>1.620000000000033</v>
      </c>
      <c r="AS34" s="43">
        <f t="shared" si="10"/>
        <v>-128.24999999999272</v>
      </c>
      <c r="AT34" s="43">
        <f t="shared" si="11"/>
        <v>515.0700000000013</v>
      </c>
      <c r="AU34" s="43">
        <f t="shared" si="12"/>
        <v>-25.639999999999418</v>
      </c>
      <c r="AV34" s="43">
        <f t="shared" si="13"/>
        <v>-9.9999999999909051E-3</v>
      </c>
      <c r="AW34" s="43">
        <f t="shared" si="14"/>
        <v>0</v>
      </c>
      <c r="AX34" s="43">
        <f t="shared" si="15"/>
        <v>-16.140000000001152</v>
      </c>
      <c r="AY34" s="43">
        <f>'Quarter demand'!B34</f>
        <v>71746.689999999988</v>
      </c>
      <c r="AZ34" s="43">
        <f>'Quarter demand'!C34</f>
        <v>11800.41</v>
      </c>
      <c r="BA34" s="43">
        <f>'Quarter demand'!D34</f>
        <v>161.68999999999997</v>
      </c>
      <c r="BB34" s="43">
        <f>'Quarter demand'!E34</f>
        <v>23696.05</v>
      </c>
      <c r="BC34" s="43">
        <f>'Quarter demand'!F34</f>
        <v>-1391.7900000000009</v>
      </c>
      <c r="BD34" s="43">
        <f>'Quarter demand'!G34</f>
        <v>31006.35</v>
      </c>
      <c r="BE34" s="43">
        <f>'Quarter demand'!H34</f>
        <v>1075.75</v>
      </c>
      <c r="BF34" s="43">
        <f>'Quarter demand'!I34</f>
        <v>5261.76</v>
      </c>
      <c r="BG34" s="54">
        <f>'Quarter demand'!J34</f>
        <v>136.47000000000116</v>
      </c>
    </row>
    <row r="35" spans="1:59" ht="15.5" x14ac:dyDescent="0.35">
      <c r="A35" s="50" t="s">
        <v>200</v>
      </c>
      <c r="B35" s="43">
        <f t="shared" si="16"/>
        <v>55572.81</v>
      </c>
      <c r="C35" s="52">
        <v>3012.91</v>
      </c>
      <c r="D35" s="52">
        <v>24105.31</v>
      </c>
      <c r="E35" s="52">
        <v>23020.44</v>
      </c>
      <c r="F35" s="52">
        <v>842.56</v>
      </c>
      <c r="G35" s="52">
        <v>4591.59</v>
      </c>
      <c r="H35" s="43">
        <f t="shared" si="17"/>
        <v>33159.760000000002</v>
      </c>
      <c r="I35" s="52">
        <v>7075.93</v>
      </c>
      <c r="J35" s="52">
        <v>195.4</v>
      </c>
      <c r="K35" s="52">
        <v>17237.419999999998</v>
      </c>
      <c r="L35" s="52">
        <v>5977.59</v>
      </c>
      <c r="M35" s="52">
        <v>2317.4499999999998</v>
      </c>
      <c r="N35" s="52">
        <v>122.41</v>
      </c>
      <c r="O35" s="52">
        <v>233.56</v>
      </c>
      <c r="P35" s="43">
        <f t="shared" si="18"/>
        <v>-27462.14</v>
      </c>
      <c r="Q35" s="52">
        <v>-137.49</v>
      </c>
      <c r="R35" s="52">
        <v>-23.39</v>
      </c>
      <c r="S35" s="52">
        <v>-16779.27</v>
      </c>
      <c r="T35" s="52">
        <v>-7589.25</v>
      </c>
      <c r="U35" s="52">
        <v>-2881.98</v>
      </c>
      <c r="V35" s="56">
        <v>0</v>
      </c>
      <c r="W35" s="52">
        <v>-50.76</v>
      </c>
      <c r="X35" s="43">
        <f t="shared" si="19"/>
        <v>-565.76</v>
      </c>
      <c r="Y35" s="52">
        <v>-565.76</v>
      </c>
      <c r="Z35" s="43">
        <f t="shared" si="20"/>
        <v>-3395.5</v>
      </c>
      <c r="AA35" s="52">
        <v>-1721.86</v>
      </c>
      <c r="AB35" s="52">
        <v>-39.17</v>
      </c>
      <c r="AC35" s="52">
        <v>-410.91</v>
      </c>
      <c r="AD35" s="52">
        <v>211.36</v>
      </c>
      <c r="AE35" s="52">
        <v>-1434.92</v>
      </c>
      <c r="AF35" s="56">
        <v>0</v>
      </c>
      <c r="AG35" s="43">
        <f t="shared" si="23"/>
        <v>57309.17</v>
      </c>
      <c r="AH35" s="43">
        <f t="shared" si="0"/>
        <v>8229.49</v>
      </c>
      <c r="AI35" s="43">
        <f t="shared" si="1"/>
        <v>132.83999999999997</v>
      </c>
      <c r="AJ35" s="43">
        <f t="shared" si="2"/>
        <v>24152.549999999996</v>
      </c>
      <c r="AK35" s="43">
        <f t="shared" si="3"/>
        <v>-1966.06</v>
      </c>
      <c r="AL35" s="43">
        <f t="shared" si="4"/>
        <v>21020.989999999998</v>
      </c>
      <c r="AM35" s="43">
        <f t="shared" si="5"/>
        <v>964.96999999999991</v>
      </c>
      <c r="AN35" s="43">
        <f t="shared" si="21"/>
        <v>4591.59</v>
      </c>
      <c r="AO35" s="43">
        <f t="shared" si="6"/>
        <v>182.8</v>
      </c>
      <c r="AP35" s="43">
        <f t="shared" si="7"/>
        <v>239.16999999999825</v>
      </c>
      <c r="AQ35" s="43">
        <f t="shared" si="8"/>
        <v>-60.3799999999992</v>
      </c>
      <c r="AR35" s="43">
        <f t="shared" si="9"/>
        <v>-3.3900000000000432</v>
      </c>
      <c r="AS35" s="43">
        <f t="shared" si="10"/>
        <v>213.75999999999476</v>
      </c>
      <c r="AT35" s="43">
        <f t="shared" si="11"/>
        <v>101.34999999999991</v>
      </c>
      <c r="AU35" s="43">
        <f t="shared" si="12"/>
        <v>-23.180000000000291</v>
      </c>
      <c r="AV35" s="43">
        <f t="shared" si="13"/>
        <v>9.9999999998772182E-3</v>
      </c>
      <c r="AW35" s="43">
        <f t="shared" si="14"/>
        <v>0</v>
      </c>
      <c r="AX35" s="43">
        <f t="shared" si="15"/>
        <v>11.000000000000739</v>
      </c>
      <c r="AY35" s="43">
        <f>'Quarter demand'!B35</f>
        <v>57070</v>
      </c>
      <c r="AZ35" s="43">
        <f>'Quarter demand'!C35</f>
        <v>8289.869999999999</v>
      </c>
      <c r="BA35" s="43">
        <f>'Quarter demand'!D35</f>
        <v>136.23000000000002</v>
      </c>
      <c r="BB35" s="43">
        <f>'Quarter demand'!E35</f>
        <v>23938.79</v>
      </c>
      <c r="BC35" s="43">
        <f>'Quarter demand'!F35</f>
        <v>-2067.41</v>
      </c>
      <c r="BD35" s="43">
        <f>'Quarter demand'!G35</f>
        <v>21044.17</v>
      </c>
      <c r="BE35" s="43">
        <f>'Quarter demand'!H35</f>
        <v>964.96</v>
      </c>
      <c r="BF35" s="43">
        <f>'Quarter demand'!I35</f>
        <v>4591.59</v>
      </c>
      <c r="BG35" s="54">
        <f>'Quarter demand'!J35</f>
        <v>171.79999999999927</v>
      </c>
    </row>
    <row r="36" spans="1:59" ht="15.5" x14ac:dyDescent="0.35">
      <c r="A36" s="50" t="s">
        <v>201</v>
      </c>
      <c r="B36" s="43">
        <f t="shared" si="16"/>
        <v>46142.14</v>
      </c>
      <c r="C36" s="52">
        <v>2965.93</v>
      </c>
      <c r="D36" s="52">
        <v>21163.58</v>
      </c>
      <c r="E36" s="52">
        <v>16483.41</v>
      </c>
      <c r="F36" s="52">
        <v>821.69</v>
      </c>
      <c r="G36" s="52">
        <v>4707.53</v>
      </c>
      <c r="H36" s="43">
        <f t="shared" si="17"/>
        <v>33829.339999999997</v>
      </c>
      <c r="I36" s="52">
        <v>7114.21</v>
      </c>
      <c r="J36" s="52">
        <v>182.37</v>
      </c>
      <c r="K36" s="52">
        <v>16971.03</v>
      </c>
      <c r="L36" s="52">
        <v>6195.85</v>
      </c>
      <c r="M36" s="52">
        <v>2998.52</v>
      </c>
      <c r="N36" s="52">
        <v>132.25</v>
      </c>
      <c r="O36" s="52">
        <v>235.11</v>
      </c>
      <c r="P36" s="43">
        <f t="shared" si="18"/>
        <v>-22971</v>
      </c>
      <c r="Q36" s="52">
        <v>-91.98</v>
      </c>
      <c r="R36" s="52">
        <v>-19.920000000000002</v>
      </c>
      <c r="S36" s="52">
        <v>-12473.25</v>
      </c>
      <c r="T36" s="52">
        <v>-8116.12</v>
      </c>
      <c r="U36" s="52">
        <v>-2201.5300000000002</v>
      </c>
      <c r="V36" s="56">
        <v>0</v>
      </c>
      <c r="W36" s="52">
        <v>-68.2</v>
      </c>
      <c r="X36" s="43">
        <f t="shared" si="19"/>
        <v>-600.16999999999996</v>
      </c>
      <c r="Y36" s="52">
        <v>-600.16999999999996</v>
      </c>
      <c r="Z36" s="43">
        <f t="shared" si="20"/>
        <v>-4780.7000000000007</v>
      </c>
      <c r="AA36" s="52">
        <v>-2738.8</v>
      </c>
      <c r="AB36" s="52">
        <v>-123.73</v>
      </c>
      <c r="AC36" s="52">
        <v>-268.54000000000002</v>
      </c>
      <c r="AD36" s="52">
        <v>-537.66999999999996</v>
      </c>
      <c r="AE36" s="52">
        <v>-1111.96</v>
      </c>
      <c r="AF36" s="56">
        <v>0</v>
      </c>
      <c r="AG36" s="43">
        <f t="shared" si="23"/>
        <v>51619.610000000008</v>
      </c>
      <c r="AH36" s="43">
        <f t="shared" si="0"/>
        <v>7249.36</v>
      </c>
      <c r="AI36" s="43">
        <f t="shared" si="1"/>
        <v>38.719999999999985</v>
      </c>
      <c r="AJ36" s="43">
        <f t="shared" si="2"/>
        <v>25392.82</v>
      </c>
      <c r="AK36" s="43">
        <f t="shared" si="3"/>
        <v>-3058.1099999999997</v>
      </c>
      <c r="AL36" s="43">
        <f t="shared" si="4"/>
        <v>16168.440000000002</v>
      </c>
      <c r="AM36" s="43">
        <f t="shared" si="5"/>
        <v>953.94</v>
      </c>
      <c r="AN36" s="43">
        <f t="shared" si="21"/>
        <v>4707.53</v>
      </c>
      <c r="AO36" s="43">
        <f t="shared" si="6"/>
        <v>166.91000000000003</v>
      </c>
      <c r="AP36" s="43">
        <f t="shared" si="7"/>
        <v>-192.21999999999389</v>
      </c>
      <c r="AQ36" s="43">
        <f t="shared" si="8"/>
        <v>-83.730000000000473</v>
      </c>
      <c r="AR36" s="43">
        <f t="shared" si="9"/>
        <v>-0.54000000000003467</v>
      </c>
      <c r="AS36" s="43">
        <f t="shared" si="10"/>
        <v>16.309999999997672</v>
      </c>
      <c r="AT36" s="43">
        <f t="shared" si="11"/>
        <v>-172.94000000000142</v>
      </c>
      <c r="AU36" s="43">
        <f t="shared" si="12"/>
        <v>5.1400000000030559</v>
      </c>
      <c r="AV36" s="43">
        <f t="shared" si="13"/>
        <v>-9.9999999999909051E-3</v>
      </c>
      <c r="AW36" s="43">
        <f t="shared" si="14"/>
        <v>-1.0000000000218279E-2</v>
      </c>
      <c r="AX36" s="43">
        <f t="shared" si="15"/>
        <v>43.559999999998752</v>
      </c>
      <c r="AY36" s="43">
        <f>'Quarter demand'!B36</f>
        <v>51811.83</v>
      </c>
      <c r="AZ36" s="43">
        <f>'Quarter demand'!C36</f>
        <v>7333.09</v>
      </c>
      <c r="BA36" s="43">
        <f>'Quarter demand'!D36</f>
        <v>39.260000000000019</v>
      </c>
      <c r="BB36" s="43">
        <f>'Quarter demand'!E36</f>
        <v>25376.510000000002</v>
      </c>
      <c r="BC36" s="43">
        <f>'Quarter demand'!F36</f>
        <v>-2885.1699999999983</v>
      </c>
      <c r="BD36" s="43">
        <f>'Quarter demand'!G36</f>
        <v>16163.3</v>
      </c>
      <c r="BE36" s="43">
        <f>'Quarter demand'!H36</f>
        <v>953.95</v>
      </c>
      <c r="BF36" s="43">
        <f>'Quarter demand'!I36</f>
        <v>4707.54</v>
      </c>
      <c r="BG36" s="54">
        <f>'Quarter demand'!J36</f>
        <v>123.35000000000127</v>
      </c>
    </row>
    <row r="37" spans="1:59" ht="15.5" x14ac:dyDescent="0.35">
      <c r="A37" s="50" t="s">
        <v>202</v>
      </c>
      <c r="B37" s="43">
        <f t="shared" si="16"/>
        <v>54699.969999999987</v>
      </c>
      <c r="C37" s="52">
        <v>3548.37</v>
      </c>
      <c r="D37" s="52">
        <v>22700.76</v>
      </c>
      <c r="E37" s="52">
        <v>22948.69</v>
      </c>
      <c r="F37" s="52">
        <v>1018.99</v>
      </c>
      <c r="G37" s="52">
        <v>4483.16</v>
      </c>
      <c r="H37" s="43">
        <f t="shared" si="17"/>
        <v>34831.550000000003</v>
      </c>
      <c r="I37" s="52">
        <v>7734.1</v>
      </c>
      <c r="J37" s="52">
        <v>112.69</v>
      </c>
      <c r="K37" s="52">
        <v>15106.37</v>
      </c>
      <c r="L37" s="52">
        <v>6365.76</v>
      </c>
      <c r="M37" s="52">
        <v>5065.0200000000004</v>
      </c>
      <c r="N37" s="52">
        <v>154.38</v>
      </c>
      <c r="O37" s="52">
        <v>293.23</v>
      </c>
      <c r="P37" s="43">
        <f t="shared" si="18"/>
        <v>-24475.699999999997</v>
      </c>
      <c r="Q37" s="52">
        <v>-88.66</v>
      </c>
      <c r="R37" s="52">
        <v>-19.23</v>
      </c>
      <c r="S37" s="52">
        <v>-13992.55</v>
      </c>
      <c r="T37" s="52">
        <v>-8579.01</v>
      </c>
      <c r="U37" s="52">
        <v>-1748.43</v>
      </c>
      <c r="V37" s="56">
        <v>0</v>
      </c>
      <c r="W37" s="52">
        <v>-47.82</v>
      </c>
      <c r="X37" s="43">
        <f t="shared" si="19"/>
        <v>-519.16</v>
      </c>
      <c r="Y37" s="52">
        <v>-519.16</v>
      </c>
      <c r="Z37" s="43">
        <f t="shared" si="20"/>
        <v>2780.16</v>
      </c>
      <c r="AA37" s="52">
        <v>853.78</v>
      </c>
      <c r="AB37" s="52">
        <v>8.27</v>
      </c>
      <c r="AC37" s="52">
        <v>617.19000000000005</v>
      </c>
      <c r="AD37" s="52">
        <v>770.13</v>
      </c>
      <c r="AE37" s="52">
        <v>530.79</v>
      </c>
      <c r="AF37" s="56">
        <v>0</v>
      </c>
      <c r="AG37" s="43">
        <f t="shared" si="23"/>
        <v>67316.820000000007</v>
      </c>
      <c r="AH37" s="43">
        <f t="shared" si="0"/>
        <v>12047.590000000002</v>
      </c>
      <c r="AI37" s="43">
        <f t="shared" si="1"/>
        <v>101.72999999999999</v>
      </c>
      <c r="AJ37" s="43">
        <f t="shared" si="2"/>
        <v>24431.769999999997</v>
      </c>
      <c r="AK37" s="43">
        <f t="shared" si="3"/>
        <v>-1962.2799999999997</v>
      </c>
      <c r="AL37" s="43">
        <f t="shared" si="4"/>
        <v>26796.07</v>
      </c>
      <c r="AM37" s="43">
        <f t="shared" si="5"/>
        <v>1173.3699999999999</v>
      </c>
      <c r="AN37" s="43">
        <f t="shared" si="21"/>
        <v>4483.16</v>
      </c>
      <c r="AO37" s="43">
        <f t="shared" si="6"/>
        <v>245.41000000000003</v>
      </c>
      <c r="AP37" s="43">
        <f t="shared" si="7"/>
        <v>-99.839999999981956</v>
      </c>
      <c r="AQ37" s="43">
        <f t="shared" si="8"/>
        <v>71.61000000000422</v>
      </c>
      <c r="AR37" s="43">
        <f t="shared" si="9"/>
        <v>-4.269999999999925</v>
      </c>
      <c r="AS37" s="43">
        <f t="shared" si="10"/>
        <v>-222.34000000000015</v>
      </c>
      <c r="AT37" s="43">
        <f t="shared" si="11"/>
        <v>20.830000000000837</v>
      </c>
      <c r="AU37" s="43">
        <f t="shared" si="12"/>
        <v>53.220000000001164</v>
      </c>
      <c r="AV37" s="43">
        <f t="shared" si="13"/>
        <v>9.9999999999909051E-3</v>
      </c>
      <c r="AW37" s="43">
        <f t="shared" si="14"/>
        <v>0</v>
      </c>
      <c r="AX37" s="43">
        <f t="shared" si="15"/>
        <v>-18.900000000001285</v>
      </c>
      <c r="AY37" s="43">
        <f>'Quarter demand'!B37</f>
        <v>67416.659999999989</v>
      </c>
      <c r="AZ37" s="43">
        <f>'Quarter demand'!C37</f>
        <v>11975.979999999998</v>
      </c>
      <c r="BA37" s="43">
        <f>'Quarter demand'!D37</f>
        <v>105.99999999999991</v>
      </c>
      <c r="BB37" s="43">
        <f>'Quarter demand'!E37</f>
        <v>24654.109999999997</v>
      </c>
      <c r="BC37" s="43">
        <f>'Quarter demand'!F37</f>
        <v>-1983.1100000000006</v>
      </c>
      <c r="BD37" s="43">
        <f>'Quarter demand'!G37</f>
        <v>26742.85</v>
      </c>
      <c r="BE37" s="43">
        <f>'Quarter demand'!H37</f>
        <v>1173.3599999999999</v>
      </c>
      <c r="BF37" s="43">
        <f>'Quarter demand'!I37</f>
        <v>4483.16</v>
      </c>
      <c r="BG37" s="54">
        <f>'Quarter demand'!J37</f>
        <v>264.31000000000131</v>
      </c>
    </row>
    <row r="38" spans="1:59" ht="15.5" x14ac:dyDescent="0.35">
      <c r="A38" s="50" t="s">
        <v>203</v>
      </c>
      <c r="B38" s="43">
        <f t="shared" si="16"/>
        <v>57189.15</v>
      </c>
      <c r="C38" s="52">
        <v>3423.21</v>
      </c>
      <c r="D38" s="52">
        <v>22888.720000000001</v>
      </c>
      <c r="E38" s="52">
        <v>24544.93</v>
      </c>
      <c r="F38" s="52">
        <v>1064.24</v>
      </c>
      <c r="G38" s="52">
        <v>5268.05</v>
      </c>
      <c r="H38" s="43">
        <f t="shared" si="17"/>
        <v>38232.75</v>
      </c>
      <c r="I38" s="52">
        <v>8296.9</v>
      </c>
      <c r="J38" s="52">
        <v>142.43</v>
      </c>
      <c r="K38" s="52">
        <v>15449.87</v>
      </c>
      <c r="L38" s="52">
        <v>7537.25</v>
      </c>
      <c r="M38" s="52">
        <v>6528.61</v>
      </c>
      <c r="N38" s="52">
        <v>79.819999999999993</v>
      </c>
      <c r="O38" s="52">
        <v>197.87</v>
      </c>
      <c r="P38" s="43">
        <f t="shared" si="18"/>
        <v>-23824.170000000002</v>
      </c>
      <c r="Q38" s="52">
        <v>-73.75</v>
      </c>
      <c r="R38" s="52">
        <v>-28.87</v>
      </c>
      <c r="S38" s="52">
        <v>-15126.35</v>
      </c>
      <c r="T38" s="52">
        <v>-7118.98</v>
      </c>
      <c r="U38" s="52">
        <v>-1384.75</v>
      </c>
      <c r="V38" s="52">
        <v>-14.08</v>
      </c>
      <c r="W38" s="52">
        <v>-77.39</v>
      </c>
      <c r="X38" s="43">
        <f t="shared" si="19"/>
        <v>-547.53</v>
      </c>
      <c r="Y38" s="52">
        <v>-547.53</v>
      </c>
      <c r="Z38" s="43">
        <f t="shared" si="20"/>
        <v>2975.55</v>
      </c>
      <c r="AA38" s="52">
        <v>2059.4899999999998</v>
      </c>
      <c r="AB38" s="52">
        <v>53.65</v>
      </c>
      <c r="AC38" s="52">
        <v>-650.91</v>
      </c>
      <c r="AD38" s="52">
        <v>331.37</v>
      </c>
      <c r="AE38" s="52">
        <v>1181.95</v>
      </c>
      <c r="AF38" s="56">
        <v>0</v>
      </c>
      <c r="AG38" s="43">
        <f t="shared" si="23"/>
        <v>74025.75</v>
      </c>
      <c r="AH38" s="43">
        <f t="shared" ref="AH38:AH69" si="24">C38+I38+Q38+AA38</f>
        <v>13705.85</v>
      </c>
      <c r="AI38" s="43">
        <f t="shared" ref="AI38:AI69" si="25">J38+R38+AB38</f>
        <v>167.21</v>
      </c>
      <c r="AJ38" s="43">
        <f t="shared" ref="AJ38:AJ69" si="26">D38+K38+S38+AC38</f>
        <v>22561.330000000005</v>
      </c>
      <c r="AK38" s="43">
        <f t="shared" ref="AK38:AK69" si="27">L38+T38+Y38+AD38</f>
        <v>202.11000000000047</v>
      </c>
      <c r="AL38" s="43">
        <f t="shared" ref="AL38:AL69" si="28">E38+M38+U38+AE38</f>
        <v>30870.74</v>
      </c>
      <c r="AM38" s="43">
        <f t="shared" si="5"/>
        <v>1129.98</v>
      </c>
      <c r="AN38" s="43">
        <f t="shared" si="21"/>
        <v>5268.05</v>
      </c>
      <c r="AO38" s="43">
        <f t="shared" ref="AO38:AO69" si="29">O38+W38</f>
        <v>120.48</v>
      </c>
      <c r="AP38" s="43">
        <f t="shared" ref="AP38:AP69" si="30">AG38-AY38</f>
        <v>268.88999999998487</v>
      </c>
      <c r="AQ38" s="43">
        <f t="shared" ref="AQ38:AQ69" si="31">AH38-AZ38</f>
        <v>-8.7099999999991269</v>
      </c>
      <c r="AR38" s="43">
        <f t="shared" ref="AR38:AR69" si="32">AI38-BA38</f>
        <v>-1.8600000000000705</v>
      </c>
      <c r="AS38" s="43">
        <f t="shared" ref="AS38:AS69" si="33">AJ38-BB38</f>
        <v>-101.70999999999549</v>
      </c>
      <c r="AT38" s="43">
        <f t="shared" ref="AT38:AT69" si="34">AK38-BC38</f>
        <v>413.48999999999785</v>
      </c>
      <c r="AU38" s="43">
        <f t="shared" ref="AU38:AU69" si="35">AL38-BD38</f>
        <v>-0.88000000000101863</v>
      </c>
      <c r="AV38" s="43">
        <f t="shared" ref="AV38:AV69" si="36">AM38-BE38</f>
        <v>1.999999999998181E-2</v>
      </c>
      <c r="AW38" s="43">
        <f t="shared" ref="AW38:AW69" si="37">AN38-BF38</f>
        <v>0</v>
      </c>
      <c r="AX38" s="43">
        <f t="shared" ref="AX38:AX69" si="38">AO38-BG38</f>
        <v>-31.459999999998686</v>
      </c>
      <c r="AY38" s="43">
        <f>'Quarter demand'!B38</f>
        <v>73756.860000000015</v>
      </c>
      <c r="AZ38" s="43">
        <f>'Quarter demand'!C38</f>
        <v>13714.56</v>
      </c>
      <c r="BA38" s="43">
        <f>'Quarter demand'!D38</f>
        <v>169.07000000000008</v>
      </c>
      <c r="BB38" s="43">
        <f>'Quarter demand'!E38</f>
        <v>22663.040000000001</v>
      </c>
      <c r="BC38" s="43">
        <f>'Quarter demand'!F38</f>
        <v>-211.37999999999738</v>
      </c>
      <c r="BD38" s="43">
        <f>'Quarter demand'!G38</f>
        <v>30871.620000000003</v>
      </c>
      <c r="BE38" s="43">
        <f>'Quarter demand'!H38</f>
        <v>1129.96</v>
      </c>
      <c r="BF38" s="43">
        <f>'Quarter demand'!I38</f>
        <v>5268.05</v>
      </c>
      <c r="BG38" s="54">
        <f>'Quarter demand'!J38</f>
        <v>151.93999999999869</v>
      </c>
    </row>
    <row r="39" spans="1:59" ht="15.5" x14ac:dyDescent="0.35">
      <c r="A39" s="50" t="s">
        <v>204</v>
      </c>
      <c r="B39" s="43">
        <f t="shared" si="16"/>
        <v>49247.94</v>
      </c>
      <c r="C39" s="52">
        <v>3047.85</v>
      </c>
      <c r="D39" s="52">
        <v>20998.32</v>
      </c>
      <c r="E39" s="52">
        <v>19606.060000000001</v>
      </c>
      <c r="F39" s="52">
        <v>940.55</v>
      </c>
      <c r="G39" s="52">
        <v>4655.16</v>
      </c>
      <c r="H39" s="43">
        <f t="shared" si="17"/>
        <v>35277.73000000001</v>
      </c>
      <c r="I39" s="52">
        <v>7818.8</v>
      </c>
      <c r="J39" s="52">
        <v>166.13</v>
      </c>
      <c r="K39" s="52">
        <v>16905.18</v>
      </c>
      <c r="L39" s="52">
        <v>6971.51</v>
      </c>
      <c r="M39" s="52">
        <v>3019.94</v>
      </c>
      <c r="N39" s="52">
        <v>111.76</v>
      </c>
      <c r="O39" s="52">
        <v>284.41000000000003</v>
      </c>
      <c r="P39" s="43">
        <f t="shared" si="18"/>
        <v>-25384.9</v>
      </c>
      <c r="Q39" s="52">
        <v>-87.28</v>
      </c>
      <c r="R39" s="52">
        <v>-45.76</v>
      </c>
      <c r="S39" s="52">
        <v>-14321.63</v>
      </c>
      <c r="T39" s="52">
        <v>-7811.84</v>
      </c>
      <c r="U39" s="52">
        <v>-3060.58</v>
      </c>
      <c r="V39" s="52">
        <v>-19.71</v>
      </c>
      <c r="W39" s="52">
        <v>-38.1</v>
      </c>
      <c r="X39" s="43">
        <f t="shared" si="19"/>
        <v>-744.8</v>
      </c>
      <c r="Y39" s="52">
        <v>-744.8</v>
      </c>
      <c r="Z39" s="43">
        <f t="shared" si="20"/>
        <v>-2540.2900000000004</v>
      </c>
      <c r="AA39" s="52">
        <v>-1768.95</v>
      </c>
      <c r="AB39" s="52">
        <v>-16.91</v>
      </c>
      <c r="AC39" s="52">
        <v>14.26</v>
      </c>
      <c r="AD39" s="52">
        <v>-239.37</v>
      </c>
      <c r="AE39" s="52">
        <v>-529.32000000000005</v>
      </c>
      <c r="AF39" s="56">
        <v>0</v>
      </c>
      <c r="AG39" s="43">
        <f t="shared" si="23"/>
        <v>55855.679999999993</v>
      </c>
      <c r="AH39" s="43">
        <f t="shared" si="24"/>
        <v>9010.4199999999983</v>
      </c>
      <c r="AI39" s="43">
        <f t="shared" si="25"/>
        <v>103.46000000000001</v>
      </c>
      <c r="AJ39" s="43">
        <f t="shared" si="26"/>
        <v>23596.13</v>
      </c>
      <c r="AK39" s="43">
        <f t="shared" si="27"/>
        <v>-1824.5</v>
      </c>
      <c r="AL39" s="43">
        <f t="shared" si="28"/>
        <v>19036.099999999999</v>
      </c>
      <c r="AM39" s="43">
        <f t="shared" si="5"/>
        <v>1032.5999999999999</v>
      </c>
      <c r="AN39" s="43">
        <f t="shared" ref="AN39:AN70" si="39">G39</f>
        <v>4655.16</v>
      </c>
      <c r="AO39" s="43">
        <f t="shared" si="29"/>
        <v>246.31000000000003</v>
      </c>
      <c r="AP39" s="43">
        <f t="shared" si="30"/>
        <v>-173.45000000001164</v>
      </c>
      <c r="AQ39" s="43">
        <f t="shared" si="31"/>
        <v>-85.100000000004002</v>
      </c>
      <c r="AR39" s="43">
        <f t="shared" si="32"/>
        <v>-4.1499999999998636</v>
      </c>
      <c r="AS39" s="43">
        <f t="shared" si="33"/>
        <v>-92.25</v>
      </c>
      <c r="AT39" s="43">
        <f t="shared" si="34"/>
        <v>1.1299999999973807</v>
      </c>
      <c r="AU39" s="43">
        <f t="shared" si="35"/>
        <v>2.3600000000005821</v>
      </c>
      <c r="AV39" s="43">
        <f t="shared" si="36"/>
        <v>0</v>
      </c>
      <c r="AW39" s="43">
        <f t="shared" si="37"/>
        <v>0</v>
      </c>
      <c r="AX39" s="43">
        <f t="shared" si="38"/>
        <v>4.5600000000009402</v>
      </c>
      <c r="AY39" s="43">
        <f>'Quarter demand'!B39</f>
        <v>56029.130000000005</v>
      </c>
      <c r="AZ39" s="43">
        <f>'Quarter demand'!C39</f>
        <v>9095.5200000000023</v>
      </c>
      <c r="BA39" s="43">
        <f>'Quarter demand'!D39</f>
        <v>107.60999999999987</v>
      </c>
      <c r="BB39" s="43">
        <f>'Quarter demand'!E39</f>
        <v>23688.38</v>
      </c>
      <c r="BC39" s="43">
        <f>'Quarter demand'!F39</f>
        <v>-1825.6299999999974</v>
      </c>
      <c r="BD39" s="43">
        <f>'Quarter demand'!G39</f>
        <v>19033.739999999998</v>
      </c>
      <c r="BE39" s="43">
        <f>'Quarter demand'!H39</f>
        <v>1032.6000000000001</v>
      </c>
      <c r="BF39" s="43">
        <f>'Quarter demand'!I39</f>
        <v>4655.16</v>
      </c>
      <c r="BG39" s="54">
        <f>'Quarter demand'!J39</f>
        <v>241.74999999999909</v>
      </c>
    </row>
    <row r="40" spans="1:59" ht="15.5" x14ac:dyDescent="0.35">
      <c r="A40" s="50" t="s">
        <v>205</v>
      </c>
      <c r="B40" s="43">
        <f t="shared" si="16"/>
        <v>42552.73</v>
      </c>
      <c r="C40" s="52">
        <v>2239.88</v>
      </c>
      <c r="D40" s="52">
        <v>18925.61</v>
      </c>
      <c r="E40" s="52">
        <v>16063.67</v>
      </c>
      <c r="F40" s="52">
        <v>912.36</v>
      </c>
      <c r="G40" s="52">
        <v>4411.21</v>
      </c>
      <c r="H40" s="43">
        <f t="shared" si="17"/>
        <v>35696.270000000004</v>
      </c>
      <c r="I40" s="52">
        <v>8104.37</v>
      </c>
      <c r="J40" s="52">
        <v>165.72</v>
      </c>
      <c r="K40" s="52">
        <v>16819.63</v>
      </c>
      <c r="L40" s="52">
        <v>6828.38</v>
      </c>
      <c r="M40" s="52">
        <v>3424.18</v>
      </c>
      <c r="N40" s="52">
        <v>158.80000000000001</v>
      </c>
      <c r="O40" s="52">
        <v>195.19</v>
      </c>
      <c r="P40" s="43">
        <f t="shared" si="18"/>
        <v>-24347.45</v>
      </c>
      <c r="Q40" s="52">
        <v>-61.38</v>
      </c>
      <c r="R40" s="52">
        <v>-23.64</v>
      </c>
      <c r="S40" s="52">
        <v>-12402.36</v>
      </c>
      <c r="T40" s="52">
        <v>-8192.74</v>
      </c>
      <c r="U40" s="52">
        <v>-3583.64</v>
      </c>
      <c r="V40" s="52">
        <v>-28.01</v>
      </c>
      <c r="W40" s="52">
        <v>-55.68</v>
      </c>
      <c r="X40" s="43">
        <f t="shared" si="19"/>
        <v>-593.29</v>
      </c>
      <c r="Y40" s="52">
        <v>-593.29</v>
      </c>
      <c r="Z40" s="43">
        <f t="shared" si="20"/>
        <v>-2840.91</v>
      </c>
      <c r="AA40" s="52">
        <v>-1768.28</v>
      </c>
      <c r="AB40" s="52">
        <v>-60.6</v>
      </c>
      <c r="AC40" s="52">
        <v>977.85</v>
      </c>
      <c r="AD40" s="52">
        <v>-733.98</v>
      </c>
      <c r="AE40" s="52">
        <v>-1255.9000000000001</v>
      </c>
      <c r="AF40" s="56">
        <v>0</v>
      </c>
      <c r="AG40" s="43">
        <f t="shared" si="23"/>
        <v>50467.350000000006</v>
      </c>
      <c r="AH40" s="43">
        <f t="shared" si="24"/>
        <v>8514.59</v>
      </c>
      <c r="AI40" s="43">
        <f t="shared" si="25"/>
        <v>81.47999999999999</v>
      </c>
      <c r="AJ40" s="43">
        <f t="shared" si="26"/>
        <v>24320.730000000003</v>
      </c>
      <c r="AK40" s="43">
        <f t="shared" si="27"/>
        <v>-2691.6299999999997</v>
      </c>
      <c r="AL40" s="43">
        <f t="shared" si="28"/>
        <v>14648.31</v>
      </c>
      <c r="AM40" s="43">
        <f t="shared" si="5"/>
        <v>1043.1500000000001</v>
      </c>
      <c r="AN40" s="43">
        <f t="shared" si="39"/>
        <v>4411.21</v>
      </c>
      <c r="AO40" s="43">
        <f t="shared" si="29"/>
        <v>139.51</v>
      </c>
      <c r="AP40" s="43">
        <f t="shared" si="30"/>
        <v>-640.09999999999854</v>
      </c>
      <c r="AQ40" s="43">
        <f t="shared" si="31"/>
        <v>-44.329999999999927</v>
      </c>
      <c r="AR40" s="43">
        <f t="shared" si="32"/>
        <v>4.2599999999999909</v>
      </c>
      <c r="AS40" s="43">
        <f t="shared" si="33"/>
        <v>37.31000000000131</v>
      </c>
      <c r="AT40" s="43">
        <f t="shared" si="34"/>
        <v>-668.97000000000344</v>
      </c>
      <c r="AU40" s="43">
        <f t="shared" si="35"/>
        <v>8.1199999999989814</v>
      </c>
      <c r="AV40" s="43">
        <f t="shared" si="36"/>
        <v>0</v>
      </c>
      <c r="AW40" s="43">
        <f t="shared" si="37"/>
        <v>1.0000000000218279E-2</v>
      </c>
      <c r="AX40" s="43">
        <f t="shared" si="38"/>
        <v>23.499999999999773</v>
      </c>
      <c r="AY40" s="43">
        <f>'Quarter demand'!B40</f>
        <v>51107.450000000004</v>
      </c>
      <c r="AZ40" s="43">
        <f>'Quarter demand'!C40</f>
        <v>8558.92</v>
      </c>
      <c r="BA40" s="43">
        <f>'Quarter demand'!D40</f>
        <v>77.22</v>
      </c>
      <c r="BB40" s="43">
        <f>'Quarter demand'!E40</f>
        <v>24283.420000000002</v>
      </c>
      <c r="BC40" s="43">
        <f>'Quarter demand'!F40</f>
        <v>-2022.6599999999962</v>
      </c>
      <c r="BD40" s="43">
        <f>'Quarter demand'!G40</f>
        <v>14640.19</v>
      </c>
      <c r="BE40" s="43">
        <f>'Quarter demand'!H40</f>
        <v>1043.1500000000001</v>
      </c>
      <c r="BF40" s="43">
        <f>'Quarter demand'!I40</f>
        <v>4411.2</v>
      </c>
      <c r="BG40" s="54">
        <f>'Quarter demand'!J40</f>
        <v>116.01000000000022</v>
      </c>
    </row>
    <row r="41" spans="1:59" ht="15.5" x14ac:dyDescent="0.35">
      <c r="A41" s="50" t="s">
        <v>206</v>
      </c>
      <c r="B41" s="43">
        <f t="shared" si="16"/>
        <v>48256.53</v>
      </c>
      <c r="C41" s="52">
        <v>2706.98</v>
      </c>
      <c r="D41" s="52">
        <v>21145.3</v>
      </c>
      <c r="E41" s="52">
        <v>19797.21</v>
      </c>
      <c r="F41" s="52">
        <v>1052.19</v>
      </c>
      <c r="G41" s="52">
        <v>3554.85</v>
      </c>
      <c r="H41" s="43">
        <f t="shared" si="17"/>
        <v>40806.5</v>
      </c>
      <c r="I41" s="52">
        <v>8447.61</v>
      </c>
      <c r="J41" s="52">
        <v>220.64</v>
      </c>
      <c r="K41" s="52">
        <v>15697.39</v>
      </c>
      <c r="L41" s="52">
        <v>8024.21</v>
      </c>
      <c r="M41" s="52">
        <v>8010.01</v>
      </c>
      <c r="N41" s="52">
        <v>200.05</v>
      </c>
      <c r="O41" s="52">
        <v>206.59</v>
      </c>
      <c r="P41" s="43">
        <f t="shared" si="18"/>
        <v>-23889.430000000004</v>
      </c>
      <c r="Q41" s="52">
        <v>-119.26</v>
      </c>
      <c r="R41" s="52">
        <v>-22.02</v>
      </c>
      <c r="S41" s="52">
        <v>-13024.41</v>
      </c>
      <c r="T41" s="52">
        <v>-8281.93</v>
      </c>
      <c r="U41" s="52">
        <v>-2339.96</v>
      </c>
      <c r="V41" s="52">
        <v>-35.29</v>
      </c>
      <c r="W41" s="52">
        <v>-66.56</v>
      </c>
      <c r="X41" s="43">
        <f t="shared" si="19"/>
        <v>-600.76</v>
      </c>
      <c r="Y41" s="52">
        <v>-600.76</v>
      </c>
      <c r="Z41" s="43">
        <f t="shared" si="20"/>
        <v>-433.7</v>
      </c>
      <c r="AA41" s="52">
        <v>669.49</v>
      </c>
      <c r="AB41" s="52">
        <v>-128.80000000000001</v>
      </c>
      <c r="AC41" s="52">
        <v>-732.08</v>
      </c>
      <c r="AD41" s="52">
        <v>-292.27</v>
      </c>
      <c r="AE41" s="52">
        <v>49.96</v>
      </c>
      <c r="AF41" s="56">
        <v>0</v>
      </c>
      <c r="AG41" s="43">
        <f t="shared" si="23"/>
        <v>64139.139999999992</v>
      </c>
      <c r="AH41" s="43">
        <f t="shared" si="24"/>
        <v>11704.82</v>
      </c>
      <c r="AI41" s="43">
        <f t="shared" si="25"/>
        <v>69.819999999999965</v>
      </c>
      <c r="AJ41" s="43">
        <f t="shared" si="26"/>
        <v>23086.2</v>
      </c>
      <c r="AK41" s="43">
        <f t="shared" si="27"/>
        <v>-1150.7500000000002</v>
      </c>
      <c r="AL41" s="43">
        <f t="shared" si="28"/>
        <v>25517.22</v>
      </c>
      <c r="AM41" s="43">
        <f t="shared" si="5"/>
        <v>1216.95</v>
      </c>
      <c r="AN41" s="43">
        <f t="shared" si="39"/>
        <v>3554.85</v>
      </c>
      <c r="AO41" s="43">
        <f t="shared" si="29"/>
        <v>140.03</v>
      </c>
      <c r="AP41" s="43">
        <f t="shared" si="30"/>
        <v>398.76000000000204</v>
      </c>
      <c r="AQ41" s="43">
        <f t="shared" si="31"/>
        <v>-12.889999999999418</v>
      </c>
      <c r="AR41" s="43">
        <f t="shared" si="32"/>
        <v>-2.8200000000001069</v>
      </c>
      <c r="AS41" s="43">
        <f t="shared" si="33"/>
        <v>29.850000000002183</v>
      </c>
      <c r="AT41" s="43">
        <f t="shared" si="34"/>
        <v>369.14000000000283</v>
      </c>
      <c r="AU41" s="43">
        <f t="shared" si="35"/>
        <v>3.1000000000021828</v>
      </c>
      <c r="AV41" s="43">
        <f t="shared" si="36"/>
        <v>9.9999999999909051E-3</v>
      </c>
      <c r="AW41" s="43">
        <f t="shared" si="37"/>
        <v>9.9999999997635314E-3</v>
      </c>
      <c r="AX41" s="43">
        <f t="shared" si="38"/>
        <v>12.359999999999928</v>
      </c>
      <c r="AY41" s="43">
        <f>'Quarter demand'!B41</f>
        <v>63740.37999999999</v>
      </c>
      <c r="AZ41" s="43">
        <f>'Quarter demand'!C41</f>
        <v>11717.71</v>
      </c>
      <c r="BA41" s="43">
        <f>'Quarter demand'!D41</f>
        <v>72.640000000000072</v>
      </c>
      <c r="BB41" s="43">
        <f>'Quarter demand'!E41</f>
        <v>23056.35</v>
      </c>
      <c r="BC41" s="43">
        <f>'Quarter demand'!F41</f>
        <v>-1519.8900000000031</v>
      </c>
      <c r="BD41" s="43">
        <f>'Quarter demand'!G41</f>
        <v>25514.12</v>
      </c>
      <c r="BE41" s="43">
        <f>'Quarter demand'!H41</f>
        <v>1216.94</v>
      </c>
      <c r="BF41" s="43">
        <f>'Quarter demand'!I41</f>
        <v>3554.84</v>
      </c>
      <c r="BG41" s="54">
        <f>'Quarter demand'!J41</f>
        <v>127.67000000000007</v>
      </c>
    </row>
    <row r="42" spans="1:59" s="21" customFormat="1" ht="15.5" x14ac:dyDescent="0.35">
      <c r="A42" s="50" t="s">
        <v>207</v>
      </c>
      <c r="B42" s="43">
        <f t="shared" si="16"/>
        <v>49736.480000000003</v>
      </c>
      <c r="C42" s="52">
        <v>2524.98</v>
      </c>
      <c r="D42" s="52">
        <v>21891.98</v>
      </c>
      <c r="E42" s="52">
        <v>20419.54</v>
      </c>
      <c r="F42" s="52">
        <v>1127.73</v>
      </c>
      <c r="G42" s="52">
        <v>3772.25</v>
      </c>
      <c r="H42" s="43">
        <f t="shared" si="17"/>
        <v>39346.35</v>
      </c>
      <c r="I42" s="52">
        <v>7840.44</v>
      </c>
      <c r="J42" s="52">
        <v>102.73</v>
      </c>
      <c r="K42" s="52">
        <v>14035.46</v>
      </c>
      <c r="L42" s="52">
        <v>7274.15</v>
      </c>
      <c r="M42" s="52">
        <v>9833.18</v>
      </c>
      <c r="N42" s="52">
        <v>93.76</v>
      </c>
      <c r="O42" s="52">
        <v>166.63</v>
      </c>
      <c r="P42" s="43">
        <f t="shared" si="18"/>
        <v>-23456.689999999995</v>
      </c>
      <c r="Q42" s="52">
        <v>-119.79</v>
      </c>
      <c r="R42" s="52">
        <v>-23.79</v>
      </c>
      <c r="S42" s="52">
        <v>-13400.61</v>
      </c>
      <c r="T42" s="52">
        <v>-7825.77</v>
      </c>
      <c r="U42" s="52">
        <v>-1993.62</v>
      </c>
      <c r="V42" s="52">
        <v>-22.67</v>
      </c>
      <c r="W42" s="52">
        <v>-70.44</v>
      </c>
      <c r="X42" s="43">
        <f t="shared" si="19"/>
        <v>-681.15</v>
      </c>
      <c r="Y42" s="52">
        <v>-681.15</v>
      </c>
      <c r="Z42" s="43">
        <f t="shared" si="20"/>
        <v>2792.1099999999997</v>
      </c>
      <c r="AA42" s="52">
        <v>1074.3499999999999</v>
      </c>
      <c r="AB42" s="52">
        <v>309.54000000000002</v>
      </c>
      <c r="AC42" s="52">
        <v>-924.75</v>
      </c>
      <c r="AD42" s="52">
        <v>1037.52</v>
      </c>
      <c r="AE42" s="52">
        <v>1295.45</v>
      </c>
      <c r="AF42" s="56">
        <v>0</v>
      </c>
      <c r="AG42" s="43">
        <f t="shared" si="23"/>
        <v>67737.100000000006</v>
      </c>
      <c r="AH42" s="43">
        <f t="shared" si="24"/>
        <v>11319.98</v>
      </c>
      <c r="AI42" s="43">
        <f t="shared" si="25"/>
        <v>388.48</v>
      </c>
      <c r="AJ42" s="43">
        <f t="shared" si="26"/>
        <v>21602.080000000002</v>
      </c>
      <c r="AK42" s="43">
        <f t="shared" si="27"/>
        <v>-195.25000000000091</v>
      </c>
      <c r="AL42" s="43">
        <f t="shared" si="28"/>
        <v>29554.550000000003</v>
      </c>
      <c r="AM42" s="43">
        <f t="shared" si="5"/>
        <v>1198.82</v>
      </c>
      <c r="AN42" s="43">
        <f t="shared" si="39"/>
        <v>3772.25</v>
      </c>
      <c r="AO42" s="43">
        <f t="shared" si="29"/>
        <v>96.19</v>
      </c>
      <c r="AP42" s="43">
        <f t="shared" si="30"/>
        <v>-162.91000000000349</v>
      </c>
      <c r="AQ42" s="43">
        <f t="shared" si="31"/>
        <v>33.119999999998981</v>
      </c>
      <c r="AR42" s="43">
        <f t="shared" si="32"/>
        <v>-5.6500000000000909</v>
      </c>
      <c r="AS42" s="43">
        <f t="shared" si="33"/>
        <v>-220.27999999999884</v>
      </c>
      <c r="AT42" s="43">
        <f t="shared" si="34"/>
        <v>73.089999999999236</v>
      </c>
      <c r="AU42" s="43">
        <f t="shared" si="35"/>
        <v>-19.919999999994616</v>
      </c>
      <c r="AV42" s="43">
        <f t="shared" si="36"/>
        <v>2.9999999999972715E-2</v>
      </c>
      <c r="AW42" s="43">
        <f t="shared" si="37"/>
        <v>-1.0000000000218279E-2</v>
      </c>
      <c r="AX42" s="43">
        <f t="shared" si="38"/>
        <v>-23.290000000000475</v>
      </c>
      <c r="AY42" s="43">
        <f>'Quarter demand'!B42</f>
        <v>67900.010000000009</v>
      </c>
      <c r="AZ42" s="43">
        <f>'Quarter demand'!C42</f>
        <v>11286.86</v>
      </c>
      <c r="BA42" s="43">
        <f>'Quarter demand'!D42</f>
        <v>394.13000000000011</v>
      </c>
      <c r="BB42" s="43">
        <f>'Quarter demand'!E42</f>
        <v>21822.36</v>
      </c>
      <c r="BC42" s="43">
        <f>'Quarter demand'!F42</f>
        <v>-268.34000000000015</v>
      </c>
      <c r="BD42" s="43">
        <f>'Quarter demand'!G42</f>
        <v>29574.469999999998</v>
      </c>
      <c r="BE42" s="43">
        <f>'Quarter demand'!H42</f>
        <v>1198.79</v>
      </c>
      <c r="BF42" s="43">
        <f>'Quarter demand'!I42</f>
        <v>3772.26</v>
      </c>
      <c r="BG42" s="54">
        <f>'Quarter demand'!J42</f>
        <v>119.48000000000047</v>
      </c>
    </row>
    <row r="43" spans="1:59" s="21" customFormat="1" ht="15.5" x14ac:dyDescent="0.35">
      <c r="A43" s="50" t="s">
        <v>208</v>
      </c>
      <c r="B43" s="43">
        <f t="shared" si="16"/>
        <v>46664.78</v>
      </c>
      <c r="C43" s="52">
        <v>2764.59</v>
      </c>
      <c r="D43" s="52">
        <v>21637.81</v>
      </c>
      <c r="E43" s="52">
        <v>17749.02</v>
      </c>
      <c r="F43" s="52">
        <v>993.81</v>
      </c>
      <c r="G43" s="52">
        <v>3519.55</v>
      </c>
      <c r="H43" s="43">
        <f t="shared" si="17"/>
        <v>34267.1</v>
      </c>
      <c r="I43" s="52">
        <v>6603.27</v>
      </c>
      <c r="J43" s="52">
        <v>213.32</v>
      </c>
      <c r="K43" s="52">
        <v>14884.79</v>
      </c>
      <c r="L43" s="52">
        <v>6716.64</v>
      </c>
      <c r="M43" s="52">
        <v>5565.42</v>
      </c>
      <c r="N43" s="52">
        <v>117.45</v>
      </c>
      <c r="O43" s="52">
        <v>166.21</v>
      </c>
      <c r="P43" s="43">
        <f t="shared" si="18"/>
        <v>-26111.600000000002</v>
      </c>
      <c r="Q43" s="52">
        <v>-70.98</v>
      </c>
      <c r="R43" s="52">
        <v>-29.96</v>
      </c>
      <c r="S43" s="52">
        <v>-13753.16</v>
      </c>
      <c r="T43" s="52">
        <v>-8713.83</v>
      </c>
      <c r="U43" s="52">
        <v>-3425.58</v>
      </c>
      <c r="V43" s="52">
        <v>-28.4</v>
      </c>
      <c r="W43" s="52">
        <v>-89.69</v>
      </c>
      <c r="X43" s="43">
        <f t="shared" si="19"/>
        <v>-593.91999999999996</v>
      </c>
      <c r="Y43" s="52">
        <v>-593.91999999999996</v>
      </c>
      <c r="Z43" s="43">
        <f t="shared" si="20"/>
        <v>-886.18999999999994</v>
      </c>
      <c r="AA43" s="52">
        <v>-1238.03</v>
      </c>
      <c r="AB43" s="52">
        <v>-24.02</v>
      </c>
      <c r="AC43" s="52">
        <v>978.84</v>
      </c>
      <c r="AD43" s="52">
        <v>0.38</v>
      </c>
      <c r="AE43" s="52">
        <v>-603.36</v>
      </c>
      <c r="AF43" s="56">
        <v>0</v>
      </c>
      <c r="AG43" s="43">
        <f t="shared" si="23"/>
        <v>53340.170000000006</v>
      </c>
      <c r="AH43" s="43">
        <f t="shared" si="24"/>
        <v>8058.8500000000013</v>
      </c>
      <c r="AI43" s="43">
        <f t="shared" si="25"/>
        <v>159.33999999999997</v>
      </c>
      <c r="AJ43" s="43">
        <f t="shared" si="26"/>
        <v>23748.280000000006</v>
      </c>
      <c r="AK43" s="43">
        <f t="shared" si="27"/>
        <v>-2590.7299999999996</v>
      </c>
      <c r="AL43" s="43">
        <f t="shared" si="28"/>
        <v>19285.5</v>
      </c>
      <c r="AM43" s="43">
        <f t="shared" si="5"/>
        <v>1082.8599999999999</v>
      </c>
      <c r="AN43" s="43">
        <f t="shared" si="39"/>
        <v>3519.55</v>
      </c>
      <c r="AO43" s="43">
        <f t="shared" si="29"/>
        <v>76.52000000000001</v>
      </c>
      <c r="AP43" s="43">
        <f t="shared" si="30"/>
        <v>-367.27000000001135</v>
      </c>
      <c r="AQ43" s="43">
        <f t="shared" si="31"/>
        <v>-49.079999999999018</v>
      </c>
      <c r="AR43" s="43">
        <f t="shared" si="32"/>
        <v>-1.189999999999884</v>
      </c>
      <c r="AS43" s="43">
        <f t="shared" si="33"/>
        <v>41.930000000003929</v>
      </c>
      <c r="AT43" s="43">
        <f t="shared" si="34"/>
        <v>-390.10000000000218</v>
      </c>
      <c r="AU43" s="43">
        <f t="shared" si="35"/>
        <v>67.69999999999709</v>
      </c>
      <c r="AV43" s="43">
        <f t="shared" si="36"/>
        <v>-9.9999999999909051E-3</v>
      </c>
      <c r="AW43" s="43">
        <f t="shared" si="37"/>
        <v>0</v>
      </c>
      <c r="AX43" s="43">
        <f t="shared" si="38"/>
        <v>-36.519999999999044</v>
      </c>
      <c r="AY43" s="43">
        <f>'Quarter demand'!B43</f>
        <v>53707.440000000017</v>
      </c>
      <c r="AZ43" s="43">
        <f>'Quarter demand'!C43</f>
        <v>8107.93</v>
      </c>
      <c r="BA43" s="43">
        <f>'Quarter demand'!D43</f>
        <v>160.52999999999986</v>
      </c>
      <c r="BB43" s="43">
        <f>'Quarter demand'!E43</f>
        <v>23706.350000000002</v>
      </c>
      <c r="BC43" s="43">
        <f>'Quarter demand'!F43</f>
        <v>-2200.6299999999974</v>
      </c>
      <c r="BD43" s="43">
        <f>'Quarter demand'!G43</f>
        <v>19217.800000000003</v>
      </c>
      <c r="BE43" s="43">
        <f>'Quarter demand'!H43</f>
        <v>1082.8699999999999</v>
      </c>
      <c r="BF43" s="43">
        <f>'Quarter demand'!I43</f>
        <v>3519.5499999999997</v>
      </c>
      <c r="BG43" s="54">
        <f>'Quarter demand'!J43</f>
        <v>113.03999999999905</v>
      </c>
    </row>
    <row r="44" spans="1:59" s="21" customFormat="1" ht="15.5" x14ac:dyDescent="0.35">
      <c r="A44" s="50" t="s">
        <v>209</v>
      </c>
      <c r="B44" s="43">
        <f t="shared" si="16"/>
        <v>41225.399999999994</v>
      </c>
      <c r="C44" s="52">
        <v>2881.34</v>
      </c>
      <c r="D44" s="52">
        <v>19046.91</v>
      </c>
      <c r="E44" s="52">
        <v>14251.67</v>
      </c>
      <c r="F44" s="52">
        <v>1003.17</v>
      </c>
      <c r="G44" s="52">
        <v>4042.31</v>
      </c>
      <c r="H44" s="43">
        <f t="shared" si="17"/>
        <v>35899.37000000001</v>
      </c>
      <c r="I44" s="52">
        <v>6368.16</v>
      </c>
      <c r="J44" s="52">
        <v>224.52</v>
      </c>
      <c r="K44" s="52">
        <v>17776.95</v>
      </c>
      <c r="L44" s="52">
        <v>6647.86</v>
      </c>
      <c r="M44" s="52">
        <v>4495.17</v>
      </c>
      <c r="N44" s="52">
        <v>117.48</v>
      </c>
      <c r="O44" s="52">
        <v>269.23</v>
      </c>
      <c r="P44" s="43">
        <f t="shared" si="18"/>
        <v>-25003.59</v>
      </c>
      <c r="Q44" s="52">
        <v>-127.4</v>
      </c>
      <c r="R44" s="52">
        <v>-63.08</v>
      </c>
      <c r="S44" s="52">
        <v>-13871.44</v>
      </c>
      <c r="T44" s="52">
        <v>-8237.5499999999993</v>
      </c>
      <c r="U44" s="52">
        <v>-2635.59</v>
      </c>
      <c r="V44" s="52">
        <v>-28.41</v>
      </c>
      <c r="W44" s="52">
        <v>-40.119999999999997</v>
      </c>
      <c r="X44" s="43">
        <f t="shared" si="19"/>
        <v>-647.04999999999995</v>
      </c>
      <c r="Y44" s="52">
        <v>-647.04999999999995</v>
      </c>
      <c r="Z44" s="43">
        <f t="shared" si="20"/>
        <v>-279.05</v>
      </c>
      <c r="AA44" s="52">
        <v>-696.83</v>
      </c>
      <c r="AB44" s="52">
        <v>-26.99</v>
      </c>
      <c r="AC44" s="52">
        <v>850.73</v>
      </c>
      <c r="AD44" s="52">
        <v>166.7</v>
      </c>
      <c r="AE44" s="52">
        <v>-572.66</v>
      </c>
      <c r="AF44" s="56">
        <v>0</v>
      </c>
      <c r="AG44" s="43">
        <f t="shared" si="23"/>
        <v>51195.079999999994</v>
      </c>
      <c r="AH44" s="43">
        <f t="shared" si="24"/>
        <v>8425.27</v>
      </c>
      <c r="AI44" s="43">
        <f t="shared" si="25"/>
        <v>134.44999999999999</v>
      </c>
      <c r="AJ44" s="43">
        <f t="shared" si="26"/>
        <v>23803.149999999998</v>
      </c>
      <c r="AK44" s="43">
        <f t="shared" si="27"/>
        <v>-2070.04</v>
      </c>
      <c r="AL44" s="43">
        <f t="shared" si="28"/>
        <v>15538.59</v>
      </c>
      <c r="AM44" s="43">
        <f t="shared" si="5"/>
        <v>1092.2399999999998</v>
      </c>
      <c r="AN44" s="43">
        <f t="shared" si="39"/>
        <v>4042.31</v>
      </c>
      <c r="AO44" s="43">
        <f t="shared" si="29"/>
        <v>229.11</v>
      </c>
      <c r="AP44" s="43">
        <f t="shared" si="30"/>
        <v>181.27999999999156</v>
      </c>
      <c r="AQ44" s="43">
        <f t="shared" si="31"/>
        <v>-32.340000000000146</v>
      </c>
      <c r="AR44" s="43">
        <f t="shared" si="32"/>
        <v>-2.8200000000001637</v>
      </c>
      <c r="AS44" s="43">
        <f t="shared" si="33"/>
        <v>188.92999999999665</v>
      </c>
      <c r="AT44" s="43">
        <f t="shared" si="34"/>
        <v>25.239999999998872</v>
      </c>
      <c r="AU44" s="43">
        <f t="shared" si="35"/>
        <v>4.4099999999998545</v>
      </c>
      <c r="AV44" s="43">
        <f t="shared" si="36"/>
        <v>-2.0000000000209184E-2</v>
      </c>
      <c r="AW44" s="43">
        <f t="shared" si="37"/>
        <v>-1.0000000000218279E-2</v>
      </c>
      <c r="AX44" s="43">
        <f t="shared" si="38"/>
        <v>-2.110000000000241</v>
      </c>
      <c r="AY44" s="43">
        <f>'Quarter demand'!B44</f>
        <v>51013.8</v>
      </c>
      <c r="AZ44" s="43">
        <f>'Quarter demand'!C44</f>
        <v>8457.61</v>
      </c>
      <c r="BA44" s="43">
        <f>'Quarter demand'!D44</f>
        <v>137.27000000000015</v>
      </c>
      <c r="BB44" s="43">
        <f>'Quarter demand'!E44</f>
        <v>23614.22</v>
      </c>
      <c r="BC44" s="43">
        <f>'Quarter demand'!F44</f>
        <v>-2095.2799999999988</v>
      </c>
      <c r="BD44" s="43">
        <f>'Quarter demand'!G44</f>
        <v>15534.18</v>
      </c>
      <c r="BE44" s="43">
        <f>'Quarter demand'!H44</f>
        <v>1092.26</v>
      </c>
      <c r="BF44" s="43">
        <f>'Quarter demand'!I44</f>
        <v>4042.32</v>
      </c>
      <c r="BG44" s="54">
        <f>'Quarter demand'!J44</f>
        <v>231.22000000000025</v>
      </c>
    </row>
    <row r="45" spans="1:59" s="21" customFormat="1" ht="15.5" x14ac:dyDescent="0.35">
      <c r="A45" s="50" t="s">
        <v>210</v>
      </c>
      <c r="B45" s="43">
        <f t="shared" si="16"/>
        <v>48342.96</v>
      </c>
      <c r="C45" s="52">
        <v>2525.67</v>
      </c>
      <c r="D45" s="52">
        <v>21334.83</v>
      </c>
      <c r="E45" s="52">
        <v>19704.39</v>
      </c>
      <c r="F45" s="52">
        <v>1185.05</v>
      </c>
      <c r="G45" s="52">
        <v>3593.02</v>
      </c>
      <c r="H45" s="43">
        <f t="shared" si="17"/>
        <v>39827.64</v>
      </c>
      <c r="I45" s="52">
        <v>7383.35</v>
      </c>
      <c r="J45" s="52">
        <v>192.13</v>
      </c>
      <c r="K45" s="52">
        <v>15913.47</v>
      </c>
      <c r="L45" s="52">
        <v>6903.4</v>
      </c>
      <c r="M45" s="52">
        <v>9171.27</v>
      </c>
      <c r="N45" s="52">
        <v>125.51</v>
      </c>
      <c r="O45" s="52">
        <v>138.51</v>
      </c>
      <c r="P45" s="43">
        <f t="shared" si="18"/>
        <v>-25438.999999999996</v>
      </c>
      <c r="Q45" s="52">
        <v>-100.69</v>
      </c>
      <c r="R45" s="52">
        <v>-53.58</v>
      </c>
      <c r="S45" s="52">
        <v>-14728.71</v>
      </c>
      <c r="T45" s="52">
        <v>-7898.84</v>
      </c>
      <c r="U45" s="52">
        <v>-2534.87</v>
      </c>
      <c r="V45" s="52">
        <v>-30.35</v>
      </c>
      <c r="W45" s="52">
        <v>-91.96</v>
      </c>
      <c r="X45" s="43">
        <f t="shared" si="19"/>
        <v>-590.54999999999995</v>
      </c>
      <c r="Y45" s="52">
        <v>-590.54999999999995</v>
      </c>
      <c r="Z45" s="43">
        <f t="shared" si="20"/>
        <v>2808</v>
      </c>
      <c r="AA45" s="52">
        <v>2807.76</v>
      </c>
      <c r="AB45" s="52">
        <v>-280.27999999999997</v>
      </c>
      <c r="AC45" s="52">
        <v>-48.59</v>
      </c>
      <c r="AD45" s="52">
        <v>-22.65</v>
      </c>
      <c r="AE45" s="52">
        <v>351.76</v>
      </c>
      <c r="AF45" s="56">
        <v>0</v>
      </c>
      <c r="AG45" s="43">
        <f t="shared" si="23"/>
        <v>64949.05</v>
      </c>
      <c r="AH45" s="43">
        <f t="shared" si="24"/>
        <v>12616.09</v>
      </c>
      <c r="AI45" s="43">
        <f t="shared" si="25"/>
        <v>-141.72999999999996</v>
      </c>
      <c r="AJ45" s="43">
        <f t="shared" si="26"/>
        <v>22471.000000000004</v>
      </c>
      <c r="AK45" s="43">
        <f t="shared" si="27"/>
        <v>-1608.6400000000006</v>
      </c>
      <c r="AL45" s="43">
        <f t="shared" si="28"/>
        <v>26692.55</v>
      </c>
      <c r="AM45" s="43">
        <f t="shared" si="5"/>
        <v>1280.21</v>
      </c>
      <c r="AN45" s="43">
        <f t="shared" si="39"/>
        <v>3593.02</v>
      </c>
      <c r="AO45" s="43">
        <f t="shared" si="29"/>
        <v>46.55</v>
      </c>
      <c r="AP45" s="43">
        <f t="shared" si="30"/>
        <v>127.44000000000233</v>
      </c>
      <c r="AQ45" s="43">
        <f t="shared" si="31"/>
        <v>60.520000000000437</v>
      </c>
      <c r="AR45" s="43">
        <f t="shared" si="32"/>
        <v>-3.8400000000000887</v>
      </c>
      <c r="AS45" s="43">
        <f t="shared" si="33"/>
        <v>-7.9199999999982538</v>
      </c>
      <c r="AT45" s="43">
        <f t="shared" si="34"/>
        <v>86.749999999995225</v>
      </c>
      <c r="AU45" s="43">
        <f t="shared" si="35"/>
        <v>-36.240000000001601</v>
      </c>
      <c r="AV45" s="43">
        <f t="shared" si="36"/>
        <v>9.9999999999909051E-3</v>
      </c>
      <c r="AW45" s="43">
        <f t="shared" si="37"/>
        <v>0</v>
      </c>
      <c r="AX45" s="43">
        <f t="shared" si="38"/>
        <v>28.160000000000579</v>
      </c>
      <c r="AY45" s="43">
        <f>'Quarter demand'!B45</f>
        <v>64821.61</v>
      </c>
      <c r="AZ45" s="43">
        <f>'Quarter demand'!C45</f>
        <v>12555.57</v>
      </c>
      <c r="BA45" s="43">
        <f>'Quarter demand'!D45</f>
        <v>-137.88999999999987</v>
      </c>
      <c r="BB45" s="43">
        <f>'Quarter demand'!E45</f>
        <v>22478.920000000002</v>
      </c>
      <c r="BC45" s="43">
        <f>'Quarter demand'!F45</f>
        <v>-1695.3899999999958</v>
      </c>
      <c r="BD45" s="43">
        <f>'Quarter demand'!G45</f>
        <v>26728.79</v>
      </c>
      <c r="BE45" s="43">
        <f>'Quarter demand'!H45</f>
        <v>1280.2</v>
      </c>
      <c r="BF45" s="43">
        <f>'Quarter demand'!I45</f>
        <v>3593.02</v>
      </c>
      <c r="BG45" s="54">
        <f>'Quarter demand'!J45</f>
        <v>18.389999999999418</v>
      </c>
    </row>
    <row r="46" spans="1:59" s="21" customFormat="1" ht="15.5" x14ac:dyDescent="0.35">
      <c r="A46" s="50" t="s">
        <v>211</v>
      </c>
      <c r="B46" s="43">
        <f t="shared" si="16"/>
        <v>47719.18</v>
      </c>
      <c r="C46" s="52">
        <v>2343.29</v>
      </c>
      <c r="D46" s="52">
        <v>20612.93</v>
      </c>
      <c r="E46" s="52">
        <v>19757.990000000002</v>
      </c>
      <c r="F46" s="52">
        <v>1361.52</v>
      </c>
      <c r="G46" s="52">
        <v>3643.45</v>
      </c>
      <c r="H46" s="43">
        <f t="shared" si="17"/>
        <v>41747.549999999996</v>
      </c>
      <c r="I46" s="52">
        <v>7307.58</v>
      </c>
      <c r="J46" s="52">
        <v>120.72</v>
      </c>
      <c r="K46" s="52">
        <v>15377.34</v>
      </c>
      <c r="L46" s="52">
        <v>7351.31</v>
      </c>
      <c r="M46" s="52">
        <v>11240.87</v>
      </c>
      <c r="N46" s="52">
        <v>117.1</v>
      </c>
      <c r="O46" s="52">
        <v>232.63</v>
      </c>
      <c r="P46" s="43">
        <f t="shared" si="18"/>
        <v>-22656.719999999998</v>
      </c>
      <c r="Q46" s="52">
        <v>-110.85</v>
      </c>
      <c r="R46" s="52">
        <v>-38.64</v>
      </c>
      <c r="S46" s="52">
        <v>-13410.06</v>
      </c>
      <c r="T46" s="52">
        <v>-7222.52</v>
      </c>
      <c r="U46" s="52">
        <v>-1849.69</v>
      </c>
      <c r="V46" s="52">
        <v>0</v>
      </c>
      <c r="W46" s="52">
        <v>-24.96</v>
      </c>
      <c r="X46" s="43">
        <f t="shared" si="19"/>
        <v>-882.87</v>
      </c>
      <c r="Y46" s="52">
        <v>-882.87</v>
      </c>
      <c r="Z46" s="43">
        <f t="shared" si="20"/>
        <v>2509.2399999999998</v>
      </c>
      <c r="AA46" s="52">
        <v>1134.32</v>
      </c>
      <c r="AB46" s="52">
        <v>97.33</v>
      </c>
      <c r="AC46" s="52">
        <v>-661.4</v>
      </c>
      <c r="AD46" s="52">
        <v>35.58</v>
      </c>
      <c r="AE46" s="52">
        <v>1903.41</v>
      </c>
      <c r="AF46" s="56">
        <v>0</v>
      </c>
      <c r="AG46" s="43">
        <f t="shared" si="23"/>
        <v>68436.38</v>
      </c>
      <c r="AH46" s="43">
        <f t="shared" si="24"/>
        <v>10674.339999999998</v>
      </c>
      <c r="AI46" s="43">
        <f t="shared" si="25"/>
        <v>179.41</v>
      </c>
      <c r="AJ46" s="43">
        <f t="shared" si="26"/>
        <v>21918.810000000005</v>
      </c>
      <c r="AK46" s="43">
        <f t="shared" si="27"/>
        <v>-718.5</v>
      </c>
      <c r="AL46" s="43">
        <f t="shared" si="28"/>
        <v>31052.58</v>
      </c>
      <c r="AM46" s="43">
        <f t="shared" si="5"/>
        <v>1478.62</v>
      </c>
      <c r="AN46" s="43">
        <f t="shared" si="39"/>
        <v>3643.45</v>
      </c>
      <c r="AO46" s="43">
        <f t="shared" si="29"/>
        <v>207.67</v>
      </c>
      <c r="AP46" s="43">
        <f t="shared" si="30"/>
        <v>-123.73999999997613</v>
      </c>
      <c r="AQ46" s="43">
        <f t="shared" si="31"/>
        <v>101.66999999999825</v>
      </c>
      <c r="AR46" s="43">
        <f t="shared" si="32"/>
        <v>0.56999999999996476</v>
      </c>
      <c r="AS46" s="43">
        <f t="shared" si="33"/>
        <v>-372.94999999999345</v>
      </c>
      <c r="AT46" s="43">
        <f t="shared" si="34"/>
        <v>14.630000000004657</v>
      </c>
      <c r="AU46" s="43">
        <f t="shared" si="35"/>
        <v>99.399999999997817</v>
      </c>
      <c r="AV46" s="43">
        <f t="shared" si="36"/>
        <v>-1.999999999998181E-2</v>
      </c>
      <c r="AW46" s="43">
        <f t="shared" si="37"/>
        <v>0</v>
      </c>
      <c r="AX46" s="43">
        <f t="shared" si="38"/>
        <v>32.96000000000268</v>
      </c>
      <c r="AY46" s="43">
        <f>'Quarter demand'!B46</f>
        <v>68560.119999999981</v>
      </c>
      <c r="AZ46" s="43">
        <f>'Quarter demand'!C46</f>
        <v>10572.67</v>
      </c>
      <c r="BA46" s="43">
        <f>'Quarter demand'!D46</f>
        <v>178.84000000000003</v>
      </c>
      <c r="BB46" s="43">
        <f>'Quarter demand'!E46</f>
        <v>22291.759999999998</v>
      </c>
      <c r="BC46" s="43">
        <f>'Quarter demand'!F46</f>
        <v>-733.13000000000466</v>
      </c>
      <c r="BD46" s="43">
        <f>'Quarter demand'!G46</f>
        <v>30953.180000000004</v>
      </c>
      <c r="BE46" s="43">
        <f>'Quarter demand'!H46</f>
        <v>1478.6399999999999</v>
      </c>
      <c r="BF46" s="43">
        <f>'Quarter demand'!I46</f>
        <v>3643.4500000000003</v>
      </c>
      <c r="BG46" s="54">
        <f>'Quarter demand'!J46</f>
        <v>174.70999999999731</v>
      </c>
    </row>
    <row r="47" spans="1:59" s="21" customFormat="1" ht="15.5" x14ac:dyDescent="0.35">
      <c r="A47" s="50" t="s">
        <v>212</v>
      </c>
      <c r="B47" s="43">
        <f t="shared" si="16"/>
        <v>45018.020000000004</v>
      </c>
      <c r="C47" s="52">
        <v>2880.8</v>
      </c>
      <c r="D47" s="52">
        <v>20415.05</v>
      </c>
      <c r="E47" s="52">
        <v>17559.259999999998</v>
      </c>
      <c r="F47" s="52">
        <v>1212.98</v>
      </c>
      <c r="G47" s="52">
        <v>2949.93</v>
      </c>
      <c r="H47" s="43">
        <f t="shared" si="17"/>
        <v>37578.78</v>
      </c>
      <c r="I47" s="52">
        <v>6527.09</v>
      </c>
      <c r="J47" s="52">
        <v>208.85</v>
      </c>
      <c r="K47" s="52">
        <v>17052.689999999999</v>
      </c>
      <c r="L47" s="52">
        <v>6172.82</v>
      </c>
      <c r="M47" s="52">
        <v>7063.08</v>
      </c>
      <c r="N47" s="52">
        <v>233.09</v>
      </c>
      <c r="O47" s="52">
        <v>321.16000000000003</v>
      </c>
      <c r="P47" s="43">
        <f t="shared" si="18"/>
        <v>-24706.32</v>
      </c>
      <c r="Q47" s="52">
        <v>-74.239999999999995</v>
      </c>
      <c r="R47" s="52">
        <v>-46.88</v>
      </c>
      <c r="S47" s="52">
        <v>-13512.25</v>
      </c>
      <c r="T47" s="52">
        <v>-8297.17</v>
      </c>
      <c r="U47" s="52">
        <v>-2760.64</v>
      </c>
      <c r="V47" s="52">
        <v>0</v>
      </c>
      <c r="W47" s="52">
        <v>-15.14</v>
      </c>
      <c r="X47" s="43">
        <f t="shared" si="19"/>
        <v>-978.32</v>
      </c>
      <c r="Y47" s="52">
        <v>-978.32</v>
      </c>
      <c r="Z47" s="43">
        <f t="shared" si="20"/>
        <v>-2585.08</v>
      </c>
      <c r="AA47" s="52">
        <v>-697.32</v>
      </c>
      <c r="AB47" s="52">
        <v>-9.6999999999999993</v>
      </c>
      <c r="AC47" s="52">
        <v>-116.47</v>
      </c>
      <c r="AD47" s="52">
        <v>71.75</v>
      </c>
      <c r="AE47" s="52">
        <v>-1833.34</v>
      </c>
      <c r="AF47" s="56">
        <v>0</v>
      </c>
      <c r="AG47" s="43">
        <f t="shared" si="23"/>
        <v>54327.079999999987</v>
      </c>
      <c r="AH47" s="43">
        <f t="shared" si="24"/>
        <v>8636.33</v>
      </c>
      <c r="AI47" s="43">
        <f t="shared" si="25"/>
        <v>152.27000000000001</v>
      </c>
      <c r="AJ47" s="43">
        <f t="shared" si="26"/>
        <v>23839.019999999997</v>
      </c>
      <c r="AK47" s="43">
        <f t="shared" si="27"/>
        <v>-3030.9200000000005</v>
      </c>
      <c r="AL47" s="43">
        <f t="shared" si="28"/>
        <v>20028.359999999997</v>
      </c>
      <c r="AM47" s="43">
        <f t="shared" si="5"/>
        <v>1446.07</v>
      </c>
      <c r="AN47" s="43">
        <f t="shared" si="39"/>
        <v>2949.93</v>
      </c>
      <c r="AO47" s="43">
        <f t="shared" si="29"/>
        <v>306.02000000000004</v>
      </c>
      <c r="AP47" s="43">
        <f t="shared" si="30"/>
        <v>100.07999999997992</v>
      </c>
      <c r="AQ47" s="43">
        <f t="shared" si="31"/>
        <v>45.5</v>
      </c>
      <c r="AR47" s="43">
        <f t="shared" si="32"/>
        <v>0.82000000000005002</v>
      </c>
      <c r="AS47" s="43">
        <f t="shared" si="33"/>
        <v>224.07999999999811</v>
      </c>
      <c r="AT47" s="43">
        <f t="shared" si="34"/>
        <v>-229.25000000000227</v>
      </c>
      <c r="AU47" s="43">
        <f t="shared" si="35"/>
        <v>86.769999999993161</v>
      </c>
      <c r="AV47" s="43">
        <f t="shared" si="36"/>
        <v>0</v>
      </c>
      <c r="AW47" s="43">
        <f t="shared" si="37"/>
        <v>0</v>
      </c>
      <c r="AX47" s="43">
        <f t="shared" si="38"/>
        <v>-27.839999999998724</v>
      </c>
      <c r="AY47" s="43">
        <f>'Quarter demand'!B47</f>
        <v>54227.000000000007</v>
      </c>
      <c r="AZ47" s="43">
        <f>'Quarter demand'!C47</f>
        <v>8590.83</v>
      </c>
      <c r="BA47" s="43">
        <f>'Quarter demand'!D47</f>
        <v>151.44999999999996</v>
      </c>
      <c r="BB47" s="43">
        <f>'Quarter demand'!E47</f>
        <v>23614.94</v>
      </c>
      <c r="BC47" s="43">
        <f>'Quarter demand'!F47</f>
        <v>-2801.6699999999983</v>
      </c>
      <c r="BD47" s="43">
        <f>'Quarter demand'!G47</f>
        <v>19941.590000000004</v>
      </c>
      <c r="BE47" s="43">
        <f>'Quarter demand'!H47</f>
        <v>1446.0700000000002</v>
      </c>
      <c r="BF47" s="43">
        <f>'Quarter demand'!I47</f>
        <v>2949.93</v>
      </c>
      <c r="BG47" s="54">
        <f>'Quarter demand'!J47</f>
        <v>333.85999999999876</v>
      </c>
    </row>
    <row r="48" spans="1:59" s="21" customFormat="1" ht="15.5" x14ac:dyDescent="0.35">
      <c r="A48" s="50" t="s">
        <v>213</v>
      </c>
      <c r="B48" s="43">
        <f t="shared" si="16"/>
        <v>38838.5</v>
      </c>
      <c r="C48" s="52">
        <v>2858.59</v>
      </c>
      <c r="D48" s="52">
        <v>17861.21</v>
      </c>
      <c r="E48" s="52">
        <v>14005.7</v>
      </c>
      <c r="F48" s="52">
        <v>1198.53</v>
      </c>
      <c r="G48" s="52">
        <v>2914.47</v>
      </c>
      <c r="H48" s="43">
        <f t="shared" si="17"/>
        <v>37062.14</v>
      </c>
      <c r="I48" s="52">
        <v>7045.32</v>
      </c>
      <c r="J48" s="52">
        <v>111.27</v>
      </c>
      <c r="K48" s="52">
        <v>17472.099999999999</v>
      </c>
      <c r="L48" s="52">
        <v>5718.16</v>
      </c>
      <c r="M48" s="52">
        <v>6076.83</v>
      </c>
      <c r="N48" s="52">
        <v>311.35000000000002</v>
      </c>
      <c r="O48" s="52">
        <v>327.11</v>
      </c>
      <c r="P48" s="43">
        <f t="shared" si="18"/>
        <v>-23577.760000000002</v>
      </c>
      <c r="Q48" s="52">
        <v>-159.75</v>
      </c>
      <c r="R48" s="52">
        <v>-26.53</v>
      </c>
      <c r="S48" s="52">
        <v>-12226.37</v>
      </c>
      <c r="T48" s="52">
        <v>-8310.36</v>
      </c>
      <c r="U48" s="52">
        <v>-2847.18</v>
      </c>
      <c r="V48" s="52">
        <v>0</v>
      </c>
      <c r="W48" s="52">
        <v>-7.57</v>
      </c>
      <c r="X48" s="43">
        <f t="shared" si="19"/>
        <v>-854.39</v>
      </c>
      <c r="Y48" s="52">
        <v>-854.39</v>
      </c>
      <c r="Z48" s="43">
        <f t="shared" si="20"/>
        <v>-2219.6399999999994</v>
      </c>
      <c r="AA48" s="52">
        <v>-2351.41</v>
      </c>
      <c r="AB48" s="52">
        <v>63.48</v>
      </c>
      <c r="AC48" s="52">
        <v>668.36</v>
      </c>
      <c r="AD48" s="52">
        <v>376.72</v>
      </c>
      <c r="AE48" s="52">
        <v>-976.79</v>
      </c>
      <c r="AF48" s="56">
        <v>0</v>
      </c>
      <c r="AG48" s="43">
        <f t="shared" si="23"/>
        <v>49248.849999999991</v>
      </c>
      <c r="AH48" s="43">
        <f t="shared" si="24"/>
        <v>7392.75</v>
      </c>
      <c r="AI48" s="43">
        <f t="shared" si="25"/>
        <v>148.22</v>
      </c>
      <c r="AJ48" s="43">
        <f t="shared" si="26"/>
        <v>23775.299999999996</v>
      </c>
      <c r="AK48" s="43">
        <f t="shared" si="27"/>
        <v>-3069.8700000000008</v>
      </c>
      <c r="AL48" s="43">
        <f t="shared" si="28"/>
        <v>16258.559999999998</v>
      </c>
      <c r="AM48" s="43">
        <f t="shared" si="5"/>
        <v>1509.88</v>
      </c>
      <c r="AN48" s="43">
        <f t="shared" si="39"/>
        <v>2914.47</v>
      </c>
      <c r="AO48" s="43">
        <f t="shared" si="29"/>
        <v>319.54000000000002</v>
      </c>
      <c r="AP48" s="43">
        <f t="shared" si="30"/>
        <v>550.61999999998807</v>
      </c>
      <c r="AQ48" s="43">
        <f t="shared" si="31"/>
        <v>-13.069999999999709</v>
      </c>
      <c r="AR48" s="43">
        <f t="shared" si="32"/>
        <v>-3.1799999999999216</v>
      </c>
      <c r="AS48" s="43">
        <f t="shared" si="33"/>
        <v>280.18999999999505</v>
      </c>
      <c r="AT48" s="43">
        <f t="shared" si="34"/>
        <v>247.26999999999498</v>
      </c>
      <c r="AU48" s="43">
        <f t="shared" si="35"/>
        <v>38.309999999999491</v>
      </c>
      <c r="AV48" s="43">
        <f t="shared" si="36"/>
        <v>-9.9999999997635314E-3</v>
      </c>
      <c r="AW48" s="43">
        <f t="shared" si="37"/>
        <v>0</v>
      </c>
      <c r="AX48" s="43">
        <f t="shared" si="38"/>
        <v>1.1100000000006389</v>
      </c>
      <c r="AY48" s="43">
        <f>'Quarter demand'!B48</f>
        <v>48698.23</v>
      </c>
      <c r="AZ48" s="43">
        <f>'Quarter demand'!C48</f>
        <v>7405.82</v>
      </c>
      <c r="BA48" s="43">
        <f>'Quarter demand'!D48</f>
        <v>151.39999999999992</v>
      </c>
      <c r="BB48" s="43">
        <f>'Quarter demand'!E48</f>
        <v>23495.11</v>
      </c>
      <c r="BC48" s="43">
        <f>'Quarter demand'!F48</f>
        <v>-3317.1399999999958</v>
      </c>
      <c r="BD48" s="43">
        <f>'Quarter demand'!G48</f>
        <v>16220.249999999998</v>
      </c>
      <c r="BE48" s="43">
        <f>'Quarter demand'!H48</f>
        <v>1509.8899999999999</v>
      </c>
      <c r="BF48" s="43">
        <f>'Quarter demand'!I48</f>
        <v>2914.47</v>
      </c>
      <c r="BG48" s="54">
        <f>'Quarter demand'!J48</f>
        <v>318.42999999999938</v>
      </c>
    </row>
    <row r="49" spans="1:59" s="21" customFormat="1" ht="15.5" x14ac:dyDescent="0.35">
      <c r="A49" s="50" t="s">
        <v>214</v>
      </c>
      <c r="B49" s="43">
        <f t="shared" si="16"/>
        <v>46055.07</v>
      </c>
      <c r="C49" s="52">
        <v>3222.53</v>
      </c>
      <c r="D49" s="52">
        <v>19825.650000000001</v>
      </c>
      <c r="E49" s="52">
        <v>18200.86</v>
      </c>
      <c r="F49" s="52">
        <v>1348.49</v>
      </c>
      <c r="G49" s="52">
        <v>3457.54</v>
      </c>
      <c r="H49" s="43">
        <f t="shared" si="17"/>
        <v>41847.69</v>
      </c>
      <c r="I49" s="52">
        <v>7868.21</v>
      </c>
      <c r="J49" s="52">
        <v>59.55</v>
      </c>
      <c r="K49" s="52">
        <v>15993.36</v>
      </c>
      <c r="L49" s="52">
        <v>6645.98</v>
      </c>
      <c r="M49" s="52">
        <v>10791.07</v>
      </c>
      <c r="N49" s="52">
        <v>313.36</v>
      </c>
      <c r="O49" s="52">
        <v>176.16</v>
      </c>
      <c r="P49" s="43">
        <f t="shared" si="18"/>
        <v>-24440.499999999996</v>
      </c>
      <c r="Q49" s="52">
        <v>-119.74</v>
      </c>
      <c r="R49" s="52">
        <v>-30.34</v>
      </c>
      <c r="S49" s="52">
        <v>-13640.17</v>
      </c>
      <c r="T49" s="52">
        <v>-7498.37</v>
      </c>
      <c r="U49" s="52">
        <v>-3090.21</v>
      </c>
      <c r="V49" s="52">
        <v>0</v>
      </c>
      <c r="W49" s="52">
        <v>-61.67</v>
      </c>
      <c r="X49" s="43">
        <f t="shared" si="19"/>
        <v>-947.48</v>
      </c>
      <c r="Y49" s="52">
        <v>-947.48</v>
      </c>
      <c r="Z49" s="43">
        <f t="shared" si="20"/>
        <v>290.00999999999993</v>
      </c>
      <c r="AA49" s="52">
        <v>-34.35</v>
      </c>
      <c r="AB49" s="52">
        <v>10.81</v>
      </c>
      <c r="AC49" s="52">
        <v>169.98</v>
      </c>
      <c r="AD49" s="52">
        <v>-429.73</v>
      </c>
      <c r="AE49" s="52">
        <v>573.29999999999995</v>
      </c>
      <c r="AF49" s="56">
        <v>0</v>
      </c>
      <c r="AG49" s="43">
        <f t="shared" si="23"/>
        <v>62804.79</v>
      </c>
      <c r="AH49" s="43">
        <f t="shared" si="24"/>
        <v>10936.65</v>
      </c>
      <c r="AI49" s="43">
        <f t="shared" si="25"/>
        <v>40.019999999999996</v>
      </c>
      <c r="AJ49" s="43">
        <f t="shared" si="26"/>
        <v>22348.820000000003</v>
      </c>
      <c r="AK49" s="43">
        <f t="shared" si="27"/>
        <v>-2229.6000000000004</v>
      </c>
      <c r="AL49" s="43">
        <f t="shared" si="28"/>
        <v>26475.02</v>
      </c>
      <c r="AM49" s="43">
        <f t="shared" si="5"/>
        <v>1661.85</v>
      </c>
      <c r="AN49" s="43">
        <f t="shared" si="39"/>
        <v>3457.54</v>
      </c>
      <c r="AO49" s="43">
        <f t="shared" si="29"/>
        <v>114.49</v>
      </c>
      <c r="AP49" s="43">
        <f t="shared" si="30"/>
        <v>-12.040000000008149</v>
      </c>
      <c r="AQ49" s="43">
        <f t="shared" si="31"/>
        <v>16.31999999999789</v>
      </c>
      <c r="AR49" s="43">
        <f t="shared" si="32"/>
        <v>-4.9100000000000392</v>
      </c>
      <c r="AS49" s="43">
        <f t="shared" si="33"/>
        <v>-18.139999999999418</v>
      </c>
      <c r="AT49" s="43">
        <f t="shared" si="34"/>
        <v>-139.45000000000255</v>
      </c>
      <c r="AU49" s="43">
        <f t="shared" si="35"/>
        <v>116.56999999999971</v>
      </c>
      <c r="AV49" s="43">
        <f t="shared" si="36"/>
        <v>-1.0000000000218279E-2</v>
      </c>
      <c r="AW49" s="43">
        <f t="shared" si="37"/>
        <v>0</v>
      </c>
      <c r="AX49" s="43">
        <f t="shared" si="38"/>
        <v>17.579999999999231</v>
      </c>
      <c r="AY49" s="43">
        <f>'Quarter demand'!B49</f>
        <v>62816.830000000009</v>
      </c>
      <c r="AZ49" s="43">
        <f>'Quarter demand'!C49</f>
        <v>10920.330000000002</v>
      </c>
      <c r="BA49" s="43">
        <f>'Quarter demand'!D49</f>
        <v>44.930000000000035</v>
      </c>
      <c r="BB49" s="43">
        <f>'Quarter demand'!E49</f>
        <v>22366.960000000003</v>
      </c>
      <c r="BC49" s="43">
        <f>'Quarter demand'!F49</f>
        <v>-2090.1499999999978</v>
      </c>
      <c r="BD49" s="43">
        <f>'Quarter demand'!G49</f>
        <v>26358.45</v>
      </c>
      <c r="BE49" s="43">
        <f>'Quarter demand'!H49</f>
        <v>1661.8600000000001</v>
      </c>
      <c r="BF49" s="43">
        <f>'Quarter demand'!I49</f>
        <v>3457.54</v>
      </c>
      <c r="BG49" s="54">
        <f>'Quarter demand'!J49</f>
        <v>96.910000000000764</v>
      </c>
    </row>
    <row r="50" spans="1:59" s="21" customFormat="1" ht="15.5" x14ac:dyDescent="0.35">
      <c r="A50" s="50" t="s">
        <v>215</v>
      </c>
      <c r="B50" s="43">
        <f t="shared" si="16"/>
        <v>45349.85</v>
      </c>
      <c r="C50" s="52">
        <v>2534.64</v>
      </c>
      <c r="D50" s="52">
        <v>20026.259999999998</v>
      </c>
      <c r="E50" s="52">
        <v>17105.23</v>
      </c>
      <c r="F50" s="52">
        <v>1588.71</v>
      </c>
      <c r="G50" s="52">
        <v>4095.01</v>
      </c>
      <c r="H50" s="43">
        <f t="shared" si="17"/>
        <v>41522.6</v>
      </c>
      <c r="I50" s="52">
        <v>8170.45</v>
      </c>
      <c r="J50" s="52">
        <v>17.48</v>
      </c>
      <c r="K50" s="52">
        <v>14532.24</v>
      </c>
      <c r="L50" s="52">
        <v>6068.78</v>
      </c>
      <c r="M50" s="52">
        <v>12339.55</v>
      </c>
      <c r="N50" s="52">
        <v>273.52999999999997</v>
      </c>
      <c r="O50" s="52">
        <v>120.57</v>
      </c>
      <c r="P50" s="43">
        <f t="shared" si="18"/>
        <v>-22708.809999999998</v>
      </c>
      <c r="Q50" s="52">
        <v>-120.33</v>
      </c>
      <c r="R50" s="52">
        <v>-30.55</v>
      </c>
      <c r="S50" s="52">
        <v>-12232.89</v>
      </c>
      <c r="T50" s="52">
        <v>-7289.41</v>
      </c>
      <c r="U50" s="52">
        <v>-2954.18</v>
      </c>
      <c r="V50" s="52">
        <v>-9.5299999999999994</v>
      </c>
      <c r="W50" s="52">
        <v>-71.92</v>
      </c>
      <c r="X50" s="43">
        <f t="shared" si="19"/>
        <v>-795.46</v>
      </c>
      <c r="Y50" s="52">
        <v>-795.46</v>
      </c>
      <c r="Z50" s="43">
        <f t="shared" si="20"/>
        <v>2030.06</v>
      </c>
      <c r="AA50" s="52">
        <v>603.54</v>
      </c>
      <c r="AB50" s="52">
        <v>-11.66</v>
      </c>
      <c r="AC50" s="52">
        <v>-183.22</v>
      </c>
      <c r="AD50" s="52">
        <v>-84.28</v>
      </c>
      <c r="AE50" s="52">
        <v>1705.68</v>
      </c>
      <c r="AF50" s="56">
        <v>0</v>
      </c>
      <c r="AG50" s="43">
        <f t="shared" si="23"/>
        <v>65398.239999999998</v>
      </c>
      <c r="AH50" s="43">
        <f t="shared" si="24"/>
        <v>11188.3</v>
      </c>
      <c r="AI50" s="43">
        <f t="shared" si="25"/>
        <v>-24.73</v>
      </c>
      <c r="AJ50" s="43">
        <f t="shared" si="26"/>
        <v>22142.39</v>
      </c>
      <c r="AK50" s="43">
        <f t="shared" si="27"/>
        <v>-2100.3700000000003</v>
      </c>
      <c r="AL50" s="43">
        <f t="shared" si="28"/>
        <v>28196.28</v>
      </c>
      <c r="AM50" s="43">
        <f t="shared" si="5"/>
        <v>1852.71</v>
      </c>
      <c r="AN50" s="43">
        <f t="shared" si="39"/>
        <v>4095.01</v>
      </c>
      <c r="AO50" s="43">
        <f t="shared" si="29"/>
        <v>48.649999999999991</v>
      </c>
      <c r="AP50" s="43">
        <f t="shared" si="30"/>
        <v>-156.4800000000032</v>
      </c>
      <c r="AQ50" s="43">
        <f t="shared" si="31"/>
        <v>91.399999999999636</v>
      </c>
      <c r="AR50" s="43">
        <f t="shared" si="32"/>
        <v>-4.0600000000000129</v>
      </c>
      <c r="AS50" s="43">
        <f t="shared" si="33"/>
        <v>-141.7400000000016</v>
      </c>
      <c r="AT50" s="43">
        <f t="shared" si="34"/>
        <v>-4.4399999999964166</v>
      </c>
      <c r="AU50" s="43">
        <f t="shared" si="35"/>
        <v>-136.12000000000262</v>
      </c>
      <c r="AV50" s="43">
        <f t="shared" si="36"/>
        <v>0</v>
      </c>
      <c r="AW50" s="43">
        <f t="shared" si="37"/>
        <v>0</v>
      </c>
      <c r="AX50" s="43">
        <f t="shared" si="38"/>
        <v>38.480000000001738</v>
      </c>
      <c r="AY50" s="43">
        <f>'Quarter demand'!B50</f>
        <v>65554.720000000001</v>
      </c>
      <c r="AZ50" s="43">
        <f>'Quarter demand'!C50</f>
        <v>11096.9</v>
      </c>
      <c r="BA50" s="43">
        <f>'Quarter demand'!D50</f>
        <v>-20.669999999999987</v>
      </c>
      <c r="BB50" s="43">
        <f>'Quarter demand'!E50</f>
        <v>22284.13</v>
      </c>
      <c r="BC50" s="43">
        <f>'Quarter demand'!F50</f>
        <v>-2095.9300000000039</v>
      </c>
      <c r="BD50" s="43">
        <f>'Quarter demand'!G50</f>
        <v>28332.400000000001</v>
      </c>
      <c r="BE50" s="43">
        <f>'Quarter demand'!H50</f>
        <v>1852.71</v>
      </c>
      <c r="BF50" s="43">
        <f>'Quarter demand'!I50</f>
        <v>4095.0099999999998</v>
      </c>
      <c r="BG50" s="54">
        <f>'Quarter demand'!J50</f>
        <v>10.169999999998254</v>
      </c>
    </row>
    <row r="51" spans="1:59" s="21" customFormat="1" ht="15.5" x14ac:dyDescent="0.35">
      <c r="A51" s="50" t="s">
        <v>216</v>
      </c>
      <c r="B51" s="43">
        <f t="shared" si="16"/>
        <v>43710.3</v>
      </c>
      <c r="C51" s="52">
        <v>2964.34</v>
      </c>
      <c r="D51" s="52">
        <v>19703.11</v>
      </c>
      <c r="E51" s="52">
        <v>15586.71</v>
      </c>
      <c r="F51" s="52">
        <v>1214.6099999999999</v>
      </c>
      <c r="G51" s="52">
        <v>4241.53</v>
      </c>
      <c r="H51" s="43">
        <f t="shared" si="17"/>
        <v>34906.030000000006</v>
      </c>
      <c r="I51" s="52">
        <v>6241.5</v>
      </c>
      <c r="J51" s="52">
        <v>1.04</v>
      </c>
      <c r="K51" s="52">
        <v>14727.03</v>
      </c>
      <c r="L51" s="52">
        <v>5951.67</v>
      </c>
      <c r="M51" s="52">
        <v>7422.48</v>
      </c>
      <c r="N51" s="52">
        <v>305.64999999999998</v>
      </c>
      <c r="O51" s="52">
        <v>256.66000000000003</v>
      </c>
      <c r="P51" s="43">
        <f t="shared" si="18"/>
        <v>-24435.179999999997</v>
      </c>
      <c r="Q51" s="52">
        <v>-74.5</v>
      </c>
      <c r="R51" s="52">
        <v>-22.96</v>
      </c>
      <c r="S51" s="52">
        <v>-13792.66</v>
      </c>
      <c r="T51" s="52">
        <v>-6611.44</v>
      </c>
      <c r="U51" s="52">
        <v>-3905.42</v>
      </c>
      <c r="V51" s="52">
        <v>-10.64</v>
      </c>
      <c r="W51" s="52">
        <v>-17.559999999999999</v>
      </c>
      <c r="X51" s="43">
        <f t="shared" si="19"/>
        <v>-847.98</v>
      </c>
      <c r="Y51" s="52">
        <v>-847.98</v>
      </c>
      <c r="Z51" s="43">
        <f t="shared" si="20"/>
        <v>-3607.22</v>
      </c>
      <c r="AA51" s="52">
        <v>-2687.31</v>
      </c>
      <c r="AB51" s="52">
        <v>-15.41</v>
      </c>
      <c r="AC51" s="52">
        <v>526.27</v>
      </c>
      <c r="AD51" s="52">
        <v>504.52</v>
      </c>
      <c r="AE51" s="52">
        <v>-1935.29</v>
      </c>
      <c r="AF51" s="56">
        <v>0</v>
      </c>
      <c r="AG51" s="43">
        <f t="shared" si="23"/>
        <v>49725.95</v>
      </c>
      <c r="AH51" s="43">
        <f t="shared" si="24"/>
        <v>6444.0300000000007</v>
      </c>
      <c r="AI51" s="43">
        <f t="shared" si="25"/>
        <v>-37.33</v>
      </c>
      <c r="AJ51" s="43">
        <f t="shared" si="26"/>
        <v>21163.75</v>
      </c>
      <c r="AK51" s="43">
        <f t="shared" si="27"/>
        <v>-1003.2299999999996</v>
      </c>
      <c r="AL51" s="43">
        <f t="shared" si="28"/>
        <v>17168.479999999996</v>
      </c>
      <c r="AM51" s="43">
        <f t="shared" si="5"/>
        <v>1509.6199999999997</v>
      </c>
      <c r="AN51" s="43">
        <f t="shared" si="39"/>
        <v>4241.53</v>
      </c>
      <c r="AO51" s="43">
        <f t="shared" si="29"/>
        <v>239.10000000000002</v>
      </c>
      <c r="AP51" s="43">
        <f t="shared" si="30"/>
        <v>9.0499999999956344</v>
      </c>
      <c r="AQ51" s="43">
        <f t="shared" si="31"/>
        <v>-55.039999999998145</v>
      </c>
      <c r="AR51" s="43">
        <f t="shared" si="32"/>
        <v>-2.8799999999999812</v>
      </c>
      <c r="AS51" s="43">
        <f t="shared" si="33"/>
        <v>172.93000000000029</v>
      </c>
      <c r="AT51" s="43">
        <f t="shared" si="34"/>
        <v>-10.229999999999563</v>
      </c>
      <c r="AU51" s="43">
        <f t="shared" si="35"/>
        <v>-73.070000000003347</v>
      </c>
      <c r="AV51" s="43">
        <f t="shared" si="36"/>
        <v>9.9999999995361577E-3</v>
      </c>
      <c r="AW51" s="43">
        <f t="shared" si="37"/>
        <v>-1.0000000000218279E-2</v>
      </c>
      <c r="AX51" s="43">
        <f t="shared" si="38"/>
        <v>-22.659999999999286</v>
      </c>
      <c r="AY51" s="43">
        <f>'Quarter demand'!B51</f>
        <v>49716.9</v>
      </c>
      <c r="AZ51" s="43">
        <f>'Quarter demand'!C51</f>
        <v>6499.0699999999988</v>
      </c>
      <c r="BA51" s="43">
        <f>'Quarter demand'!D51</f>
        <v>-34.450000000000017</v>
      </c>
      <c r="BB51" s="43">
        <f>'Quarter demand'!E51</f>
        <v>20990.82</v>
      </c>
      <c r="BC51" s="43">
        <f>'Quarter demand'!F51</f>
        <v>-993</v>
      </c>
      <c r="BD51" s="43">
        <f>'Quarter demand'!G51</f>
        <v>17241.55</v>
      </c>
      <c r="BE51" s="43">
        <f>'Quarter demand'!H51</f>
        <v>1509.6100000000001</v>
      </c>
      <c r="BF51" s="43">
        <f>'Quarter demand'!I51</f>
        <v>4241.54</v>
      </c>
      <c r="BG51" s="54">
        <f>'Quarter demand'!J51</f>
        <v>261.75999999999931</v>
      </c>
    </row>
    <row r="52" spans="1:59" ht="15.5" x14ac:dyDescent="0.35">
      <c r="A52" s="50" t="s">
        <v>217</v>
      </c>
      <c r="B52" s="43">
        <f t="shared" si="16"/>
        <v>35716.800000000003</v>
      </c>
      <c r="C52" s="52">
        <v>2890.37</v>
      </c>
      <c r="D52" s="52">
        <v>16361.96</v>
      </c>
      <c r="E52" s="52">
        <v>11189.28</v>
      </c>
      <c r="F52" s="52">
        <v>1087.8</v>
      </c>
      <c r="G52" s="52">
        <v>4187.3900000000003</v>
      </c>
      <c r="H52" s="43">
        <f t="shared" si="17"/>
        <v>34948.21</v>
      </c>
      <c r="I52" s="52">
        <v>5315.09</v>
      </c>
      <c r="J52" s="52">
        <v>0.79</v>
      </c>
      <c r="K52" s="52">
        <v>15975.76</v>
      </c>
      <c r="L52" s="52">
        <v>6098.33</v>
      </c>
      <c r="M52" s="52">
        <v>7068.47</v>
      </c>
      <c r="N52" s="52">
        <v>359.06</v>
      </c>
      <c r="O52" s="52">
        <v>130.71</v>
      </c>
      <c r="P52" s="43">
        <f t="shared" si="18"/>
        <v>-20143.310000000001</v>
      </c>
      <c r="Q52" s="52">
        <v>-78.180000000000007</v>
      </c>
      <c r="R52" s="52">
        <v>-25.7</v>
      </c>
      <c r="S52" s="52">
        <v>-10742.52</v>
      </c>
      <c r="T52" s="52">
        <v>-6866.69</v>
      </c>
      <c r="U52" s="52">
        <v>-2356.79</v>
      </c>
      <c r="V52" s="52">
        <v>-12.5</v>
      </c>
      <c r="W52" s="52">
        <v>-60.93</v>
      </c>
      <c r="X52" s="43">
        <f t="shared" si="19"/>
        <v>-1014.98</v>
      </c>
      <c r="Y52" s="52">
        <v>-1014.98</v>
      </c>
      <c r="Z52" s="43">
        <f t="shared" si="20"/>
        <v>-3567.98</v>
      </c>
      <c r="AA52" s="52">
        <v>-2603.66</v>
      </c>
      <c r="AB52" s="52">
        <v>22.89</v>
      </c>
      <c r="AC52" s="52">
        <v>33.75</v>
      </c>
      <c r="AD52" s="52">
        <v>-253</v>
      </c>
      <c r="AE52" s="52">
        <v>-767.96</v>
      </c>
      <c r="AF52" s="56">
        <v>0</v>
      </c>
      <c r="AG52" s="43">
        <f t="shared" si="23"/>
        <v>45938.74</v>
      </c>
      <c r="AH52" s="43">
        <f t="shared" si="24"/>
        <v>5523.619999999999</v>
      </c>
      <c r="AI52" s="43">
        <f t="shared" si="25"/>
        <v>-2.0199999999999996</v>
      </c>
      <c r="AJ52" s="43">
        <f t="shared" si="26"/>
        <v>21628.95</v>
      </c>
      <c r="AK52" s="43">
        <f t="shared" si="27"/>
        <v>-2036.3399999999997</v>
      </c>
      <c r="AL52" s="43">
        <f t="shared" si="28"/>
        <v>15133</v>
      </c>
      <c r="AM52" s="43">
        <f t="shared" si="5"/>
        <v>1434.36</v>
      </c>
      <c r="AN52" s="43">
        <f t="shared" si="39"/>
        <v>4187.3900000000003</v>
      </c>
      <c r="AO52" s="43">
        <f t="shared" si="29"/>
        <v>69.78</v>
      </c>
      <c r="AP52" s="43">
        <f t="shared" si="30"/>
        <v>-221.17000000000553</v>
      </c>
      <c r="AQ52" s="43">
        <f t="shared" si="31"/>
        <v>-53.480000000000473</v>
      </c>
      <c r="AR52" s="43">
        <f t="shared" si="32"/>
        <v>-2.3199999999999541</v>
      </c>
      <c r="AS52" s="43">
        <f t="shared" si="33"/>
        <v>-116.84999999999854</v>
      </c>
      <c r="AT52" s="43">
        <f t="shared" si="34"/>
        <v>11.649999999998272</v>
      </c>
      <c r="AU52" s="43">
        <f t="shared" si="35"/>
        <v>-68.260000000002037</v>
      </c>
      <c r="AV52" s="43">
        <f t="shared" si="36"/>
        <v>-9.9999999999909051E-3</v>
      </c>
      <c r="AW52" s="43">
        <f t="shared" si="37"/>
        <v>0</v>
      </c>
      <c r="AX52" s="43">
        <f t="shared" si="38"/>
        <v>8.0999999999988006</v>
      </c>
      <c r="AY52" s="43">
        <f>'Quarter demand'!B52</f>
        <v>46159.91</v>
      </c>
      <c r="AZ52" s="43">
        <f>'Quarter demand'!C52</f>
        <v>5577.0999999999995</v>
      </c>
      <c r="BA52" s="43">
        <f>'Quarter demand'!D52</f>
        <v>0.29999999999995453</v>
      </c>
      <c r="BB52" s="43">
        <f>'Quarter demand'!E52</f>
        <v>21745.8</v>
      </c>
      <c r="BC52" s="43">
        <f>'Quarter demand'!F52</f>
        <v>-2047.989999999998</v>
      </c>
      <c r="BD52" s="43">
        <f>'Quarter demand'!G52</f>
        <v>15201.260000000002</v>
      </c>
      <c r="BE52" s="43">
        <f>'Quarter demand'!H52</f>
        <v>1434.37</v>
      </c>
      <c r="BF52" s="43">
        <f>'Quarter demand'!I52</f>
        <v>4187.3899999999994</v>
      </c>
      <c r="BG52" s="54">
        <f>'Quarter demand'!J52</f>
        <v>61.680000000001201</v>
      </c>
    </row>
    <row r="53" spans="1:59" ht="15.5" x14ac:dyDescent="0.35">
      <c r="A53" s="50" t="s">
        <v>218</v>
      </c>
      <c r="B53" s="43">
        <f t="shared" si="16"/>
        <v>41395.220000000008</v>
      </c>
      <c r="C53" s="52">
        <v>2649.32</v>
      </c>
      <c r="D53" s="52">
        <v>18647.23</v>
      </c>
      <c r="E53" s="52">
        <v>14593.75</v>
      </c>
      <c r="F53" s="52">
        <v>1549.69</v>
      </c>
      <c r="G53" s="52">
        <v>3955.23</v>
      </c>
      <c r="H53" s="43">
        <f t="shared" si="17"/>
        <v>40658.17</v>
      </c>
      <c r="I53" s="52">
        <v>5241.7299999999996</v>
      </c>
      <c r="J53" s="52">
        <v>111.56</v>
      </c>
      <c r="K53" s="52">
        <v>14831.67</v>
      </c>
      <c r="L53" s="52">
        <v>6302.71</v>
      </c>
      <c r="M53" s="52">
        <v>13740.68</v>
      </c>
      <c r="N53" s="52">
        <v>369.48</v>
      </c>
      <c r="O53" s="52">
        <v>60.34</v>
      </c>
      <c r="P53" s="43">
        <f t="shared" si="18"/>
        <v>-22930.04</v>
      </c>
      <c r="Q53" s="52">
        <v>-216.77</v>
      </c>
      <c r="R53" s="52">
        <v>-46.93</v>
      </c>
      <c r="S53" s="52">
        <v>-12839.35</v>
      </c>
      <c r="T53" s="52">
        <v>-7070.16</v>
      </c>
      <c r="U53" s="52">
        <v>-2572.08</v>
      </c>
      <c r="V53" s="52">
        <v>-12.87</v>
      </c>
      <c r="W53" s="52">
        <v>-171.88</v>
      </c>
      <c r="X53" s="43">
        <f t="shared" si="19"/>
        <v>-846.18</v>
      </c>
      <c r="Y53" s="52">
        <v>-846.18</v>
      </c>
      <c r="Z53" s="43">
        <f t="shared" si="20"/>
        <v>1431.3899999999999</v>
      </c>
      <c r="AA53" s="52">
        <v>492.17</v>
      </c>
      <c r="AB53" s="52">
        <v>4.7</v>
      </c>
      <c r="AC53" s="52">
        <v>217</v>
      </c>
      <c r="AD53" s="52">
        <v>197.87</v>
      </c>
      <c r="AE53" s="52">
        <v>519.65</v>
      </c>
      <c r="AF53" s="56">
        <v>0</v>
      </c>
      <c r="AG53" s="43">
        <f t="shared" si="23"/>
        <v>59708.560000000012</v>
      </c>
      <c r="AH53" s="43">
        <f t="shared" si="24"/>
        <v>8166.4499999999989</v>
      </c>
      <c r="AI53" s="43">
        <f t="shared" si="25"/>
        <v>69.33</v>
      </c>
      <c r="AJ53" s="43">
        <f t="shared" si="26"/>
        <v>20856.550000000003</v>
      </c>
      <c r="AK53" s="43">
        <f t="shared" si="27"/>
        <v>-1415.7599999999998</v>
      </c>
      <c r="AL53" s="43">
        <f t="shared" si="28"/>
        <v>26282</v>
      </c>
      <c r="AM53" s="43">
        <f t="shared" si="5"/>
        <v>1906.3000000000002</v>
      </c>
      <c r="AN53" s="43">
        <f t="shared" si="39"/>
        <v>3955.23</v>
      </c>
      <c r="AO53" s="43">
        <f t="shared" si="29"/>
        <v>-111.53999999999999</v>
      </c>
      <c r="AP53" s="43">
        <f t="shared" si="30"/>
        <v>-19.499999999992724</v>
      </c>
      <c r="AQ53" s="43">
        <f t="shared" si="31"/>
        <v>-21.040000000000873</v>
      </c>
      <c r="AR53" s="43">
        <f t="shared" si="32"/>
        <v>-2.640000000000029</v>
      </c>
      <c r="AS53" s="43">
        <f t="shared" si="33"/>
        <v>153.49000000000524</v>
      </c>
      <c r="AT53" s="43">
        <f t="shared" si="34"/>
        <v>-10.679999999998017</v>
      </c>
      <c r="AU53" s="43">
        <f t="shared" si="35"/>
        <v>-126.68000000000029</v>
      </c>
      <c r="AV53" s="43">
        <f t="shared" si="36"/>
        <v>0</v>
      </c>
      <c r="AW53" s="43">
        <f t="shared" si="37"/>
        <v>0</v>
      </c>
      <c r="AX53" s="43">
        <f t="shared" si="38"/>
        <v>-11.950000000000756</v>
      </c>
      <c r="AY53" s="43">
        <f>'Quarter demand'!B53</f>
        <v>59728.060000000005</v>
      </c>
      <c r="AZ53" s="43">
        <f>'Quarter demand'!C53</f>
        <v>8187.49</v>
      </c>
      <c r="BA53" s="43">
        <f>'Quarter demand'!D53</f>
        <v>71.970000000000027</v>
      </c>
      <c r="BB53" s="43">
        <f>'Quarter demand'!E53</f>
        <v>20703.059999999998</v>
      </c>
      <c r="BC53" s="43">
        <f>'Quarter demand'!F53</f>
        <v>-1405.0800000000017</v>
      </c>
      <c r="BD53" s="43">
        <f>'Quarter demand'!G53</f>
        <v>26408.68</v>
      </c>
      <c r="BE53" s="43">
        <f>'Quarter demand'!H53</f>
        <v>1906.3</v>
      </c>
      <c r="BF53" s="43">
        <f>'Quarter demand'!I53</f>
        <v>3955.23</v>
      </c>
      <c r="BG53" s="54">
        <f>'Quarter demand'!J53</f>
        <v>-99.589999999999236</v>
      </c>
    </row>
    <row r="54" spans="1:59" ht="15.5" x14ac:dyDescent="0.35">
      <c r="A54" s="50" t="s">
        <v>219</v>
      </c>
      <c r="B54" s="43">
        <f t="shared" si="16"/>
        <v>42469.98</v>
      </c>
      <c r="C54" s="52">
        <v>2248.2600000000002</v>
      </c>
      <c r="D54" s="52">
        <v>18845.78</v>
      </c>
      <c r="E54" s="52">
        <v>15395.5</v>
      </c>
      <c r="F54" s="52">
        <v>1621.93</v>
      </c>
      <c r="G54" s="52">
        <v>4358.51</v>
      </c>
      <c r="H54" s="43">
        <f t="shared" si="17"/>
        <v>42035.68</v>
      </c>
      <c r="I54" s="52">
        <v>5066.5600000000004</v>
      </c>
      <c r="J54" s="52">
        <v>15.15</v>
      </c>
      <c r="K54" s="52">
        <v>13711.48</v>
      </c>
      <c r="L54" s="52">
        <v>6396.85</v>
      </c>
      <c r="M54" s="52">
        <v>16305.69</v>
      </c>
      <c r="N54" s="52">
        <v>479.95</v>
      </c>
      <c r="O54" s="52">
        <v>60</v>
      </c>
      <c r="P54" s="43">
        <f t="shared" si="18"/>
        <v>-22226.730000000003</v>
      </c>
      <c r="Q54" s="52">
        <v>-135.91</v>
      </c>
      <c r="R54" s="52">
        <v>-94.2</v>
      </c>
      <c r="S54" s="52">
        <v>-12525.29</v>
      </c>
      <c r="T54" s="52">
        <v>-6778.05</v>
      </c>
      <c r="U54" s="52">
        <v>-2441.1799999999998</v>
      </c>
      <c r="V54" s="52">
        <v>-47.08</v>
      </c>
      <c r="W54" s="52">
        <v>-205.02</v>
      </c>
      <c r="X54" s="43">
        <f t="shared" si="19"/>
        <v>-684.12</v>
      </c>
      <c r="Y54" s="52">
        <v>-684.12</v>
      </c>
      <c r="Z54" s="43">
        <f t="shared" si="20"/>
        <v>5515.32</v>
      </c>
      <c r="AA54" s="52">
        <v>2465.86</v>
      </c>
      <c r="AB54" s="52">
        <v>36.42</v>
      </c>
      <c r="AC54" s="52">
        <v>-105.91</v>
      </c>
      <c r="AD54" s="52">
        <v>325.23</v>
      </c>
      <c r="AE54" s="52">
        <v>2793.72</v>
      </c>
      <c r="AF54" s="56">
        <v>0</v>
      </c>
      <c r="AG54" s="43">
        <f t="shared" si="23"/>
        <v>67110.12999999999</v>
      </c>
      <c r="AH54" s="43">
        <f t="shared" si="24"/>
        <v>9644.77</v>
      </c>
      <c r="AI54" s="43">
        <f t="shared" si="25"/>
        <v>-42.629999999999995</v>
      </c>
      <c r="AJ54" s="43">
        <f t="shared" si="26"/>
        <v>19926.059999999998</v>
      </c>
      <c r="AK54" s="43">
        <f t="shared" si="27"/>
        <v>-740.08999999999969</v>
      </c>
      <c r="AL54" s="43">
        <f t="shared" si="28"/>
        <v>32053.730000000003</v>
      </c>
      <c r="AM54" s="43">
        <f t="shared" si="5"/>
        <v>2054.8000000000002</v>
      </c>
      <c r="AN54" s="43">
        <f t="shared" si="39"/>
        <v>4358.51</v>
      </c>
      <c r="AO54" s="43">
        <f t="shared" si="29"/>
        <v>-145.02000000000001</v>
      </c>
      <c r="AP54" s="43">
        <f t="shared" si="30"/>
        <v>490.31999999997788</v>
      </c>
      <c r="AQ54" s="43">
        <f t="shared" si="31"/>
        <v>181.79999999999927</v>
      </c>
      <c r="AR54" s="43">
        <f t="shared" si="32"/>
        <v>-4.1599999999999682</v>
      </c>
      <c r="AS54" s="43">
        <f t="shared" si="33"/>
        <v>58.809999999997672</v>
      </c>
      <c r="AT54" s="43">
        <f t="shared" si="34"/>
        <v>137.45000000000118</v>
      </c>
      <c r="AU54" s="43">
        <f t="shared" si="35"/>
        <v>91.039999999997235</v>
      </c>
      <c r="AV54" s="43">
        <f t="shared" si="36"/>
        <v>0</v>
      </c>
      <c r="AW54" s="43">
        <f t="shared" si="37"/>
        <v>-1.0000000000218279E-2</v>
      </c>
      <c r="AX54" s="43">
        <f t="shared" si="38"/>
        <v>25.389999999999844</v>
      </c>
      <c r="AY54" s="43">
        <f>'Quarter demand'!B54</f>
        <v>66619.810000000012</v>
      </c>
      <c r="AZ54" s="43">
        <f>'Quarter demand'!C54</f>
        <v>9462.9700000000012</v>
      </c>
      <c r="BA54" s="43">
        <f>'Quarter demand'!D54</f>
        <v>-38.470000000000027</v>
      </c>
      <c r="BB54" s="43">
        <f>'Quarter demand'!E54</f>
        <v>19867.25</v>
      </c>
      <c r="BC54" s="43">
        <f>'Quarter demand'!F54</f>
        <v>-877.54000000000087</v>
      </c>
      <c r="BD54" s="43">
        <f>'Quarter demand'!G54</f>
        <v>31962.690000000006</v>
      </c>
      <c r="BE54" s="43">
        <f>'Quarter demand'!H54</f>
        <v>2054.8000000000002</v>
      </c>
      <c r="BF54" s="43">
        <f>'Quarter demand'!I54</f>
        <v>4358.5200000000004</v>
      </c>
      <c r="BG54" s="54">
        <f>'Quarter demand'!J54</f>
        <v>-170.40999999999985</v>
      </c>
    </row>
    <row r="55" spans="1:59" ht="15.5" x14ac:dyDescent="0.35">
      <c r="A55" s="50" t="s">
        <v>220</v>
      </c>
      <c r="B55" s="43">
        <f t="shared" si="16"/>
        <v>39624.31</v>
      </c>
      <c r="C55" s="52">
        <v>2918.02</v>
      </c>
      <c r="D55" s="52">
        <v>17518.05</v>
      </c>
      <c r="E55" s="52">
        <v>14595.81</v>
      </c>
      <c r="F55" s="52">
        <v>1282.1199999999999</v>
      </c>
      <c r="G55" s="52">
        <v>3310.31</v>
      </c>
      <c r="H55" s="43">
        <f t="shared" si="17"/>
        <v>38370.629999999997</v>
      </c>
      <c r="I55" s="52">
        <v>3659.45</v>
      </c>
      <c r="J55" s="52">
        <v>24.15</v>
      </c>
      <c r="K55" s="52">
        <v>16090.38</v>
      </c>
      <c r="L55" s="52">
        <v>6444.41</v>
      </c>
      <c r="M55" s="52">
        <v>11506.85</v>
      </c>
      <c r="N55" s="52">
        <v>471.25</v>
      </c>
      <c r="O55" s="52">
        <v>174.14</v>
      </c>
      <c r="P55" s="43">
        <f t="shared" si="18"/>
        <v>-24203.280000000002</v>
      </c>
      <c r="Q55" s="52">
        <v>-120.36</v>
      </c>
      <c r="R55" s="52">
        <v>-110.67</v>
      </c>
      <c r="S55" s="52">
        <v>-12169.86</v>
      </c>
      <c r="T55" s="52">
        <v>-6749.77</v>
      </c>
      <c r="U55" s="52">
        <v>-4953.97</v>
      </c>
      <c r="V55" s="52">
        <v>-46.23</v>
      </c>
      <c r="W55" s="52">
        <v>-52.42</v>
      </c>
      <c r="X55" s="43">
        <f t="shared" si="19"/>
        <v>-663.97</v>
      </c>
      <c r="Y55" s="52">
        <v>-663.97</v>
      </c>
      <c r="Z55" s="43">
        <f t="shared" si="20"/>
        <v>-2542.91</v>
      </c>
      <c r="AA55" s="52">
        <v>35.39</v>
      </c>
      <c r="AB55" s="52">
        <v>-21.4</v>
      </c>
      <c r="AC55" s="52">
        <v>-602.11</v>
      </c>
      <c r="AD55" s="52">
        <v>-51.33</v>
      </c>
      <c r="AE55" s="52">
        <v>-1903.46</v>
      </c>
      <c r="AF55" s="56">
        <v>0</v>
      </c>
      <c r="AG55" s="43">
        <f t="shared" si="23"/>
        <v>50584.78</v>
      </c>
      <c r="AH55" s="43">
        <f t="shared" si="24"/>
        <v>6492.5</v>
      </c>
      <c r="AI55" s="43">
        <f t="shared" si="25"/>
        <v>-107.92000000000002</v>
      </c>
      <c r="AJ55" s="43">
        <f t="shared" si="26"/>
        <v>20836.46</v>
      </c>
      <c r="AK55" s="43">
        <f t="shared" si="27"/>
        <v>-1020.6600000000007</v>
      </c>
      <c r="AL55" s="43">
        <f t="shared" si="28"/>
        <v>19245.23</v>
      </c>
      <c r="AM55" s="43">
        <f t="shared" si="5"/>
        <v>1707.1399999999999</v>
      </c>
      <c r="AN55" s="43">
        <f t="shared" si="39"/>
        <v>3310.31</v>
      </c>
      <c r="AO55" s="43">
        <f t="shared" si="29"/>
        <v>121.71999999999998</v>
      </c>
      <c r="AP55" s="43">
        <f t="shared" si="30"/>
        <v>120.08000000000175</v>
      </c>
      <c r="AQ55" s="43">
        <f t="shared" si="31"/>
        <v>106.84999999999945</v>
      </c>
      <c r="AR55" s="43">
        <f t="shared" si="32"/>
        <v>-0.75000000000005684</v>
      </c>
      <c r="AS55" s="43">
        <f t="shared" si="33"/>
        <v>-52.500000000003638</v>
      </c>
      <c r="AT55" s="43">
        <f t="shared" si="34"/>
        <v>76.400000000004297</v>
      </c>
      <c r="AU55" s="43">
        <f t="shared" si="35"/>
        <v>22.610000000000582</v>
      </c>
      <c r="AV55" s="43">
        <f t="shared" si="36"/>
        <v>0</v>
      </c>
      <c r="AW55" s="43">
        <f t="shared" si="37"/>
        <v>9.9999999997635314E-3</v>
      </c>
      <c r="AX55" s="43">
        <f t="shared" si="38"/>
        <v>-32.539999999998415</v>
      </c>
      <c r="AY55" s="43">
        <f>'Quarter demand'!B55</f>
        <v>50464.7</v>
      </c>
      <c r="AZ55" s="43">
        <f>'Quarter demand'!C55</f>
        <v>6385.6500000000005</v>
      </c>
      <c r="BA55" s="43">
        <f>'Quarter demand'!D55</f>
        <v>-107.16999999999996</v>
      </c>
      <c r="BB55" s="43">
        <f>'Quarter demand'!E55</f>
        <v>20888.960000000003</v>
      </c>
      <c r="BC55" s="43">
        <f>'Quarter demand'!F55</f>
        <v>-1097.0600000000049</v>
      </c>
      <c r="BD55" s="43">
        <f>'Quarter demand'!G55</f>
        <v>19222.62</v>
      </c>
      <c r="BE55" s="43">
        <f>'Quarter demand'!H55</f>
        <v>1707.1399999999999</v>
      </c>
      <c r="BF55" s="43">
        <f>'Quarter demand'!I55</f>
        <v>3310.3</v>
      </c>
      <c r="BG55" s="54">
        <f>'Quarter demand'!J55</f>
        <v>154.2599999999984</v>
      </c>
    </row>
    <row r="56" spans="1:59" ht="15.5" x14ac:dyDescent="0.35">
      <c r="A56" s="50" t="s">
        <v>221</v>
      </c>
      <c r="B56" s="43">
        <f t="shared" si="16"/>
        <v>35270.86</v>
      </c>
      <c r="C56" s="52">
        <v>3204.43</v>
      </c>
      <c r="D56" s="52">
        <v>15537.72</v>
      </c>
      <c r="E56" s="52">
        <v>12092.93</v>
      </c>
      <c r="F56" s="52">
        <v>1206.42</v>
      </c>
      <c r="G56" s="52">
        <v>3229.36</v>
      </c>
      <c r="H56" s="43">
        <f t="shared" si="17"/>
        <v>34562.879999999997</v>
      </c>
      <c r="I56" s="52">
        <v>3903.01</v>
      </c>
      <c r="J56" s="52">
        <v>20.350000000000001</v>
      </c>
      <c r="K56" s="52">
        <v>14915.64</v>
      </c>
      <c r="L56" s="52">
        <v>6560.09</v>
      </c>
      <c r="M56" s="52">
        <v>8394.39</v>
      </c>
      <c r="N56" s="52">
        <v>516.36</v>
      </c>
      <c r="O56" s="52">
        <v>253.04</v>
      </c>
      <c r="P56" s="43">
        <f t="shared" si="18"/>
        <v>-21306.050000000003</v>
      </c>
      <c r="Q56" s="52">
        <v>-116.56</v>
      </c>
      <c r="R56" s="52">
        <v>-96.68</v>
      </c>
      <c r="S56" s="52">
        <v>-9525.32</v>
      </c>
      <c r="T56" s="52">
        <v>-7263.86</v>
      </c>
      <c r="U56" s="52">
        <v>-4237.1499999999996</v>
      </c>
      <c r="V56" s="52">
        <v>-50.65</v>
      </c>
      <c r="W56" s="52">
        <v>-15.83</v>
      </c>
      <c r="X56" s="43">
        <f t="shared" si="19"/>
        <v>-817.53</v>
      </c>
      <c r="Y56" s="52">
        <v>-817.53</v>
      </c>
      <c r="Z56" s="43">
        <f t="shared" si="20"/>
        <v>-1396.35</v>
      </c>
      <c r="AA56" s="52">
        <v>-362.58</v>
      </c>
      <c r="AB56" s="52">
        <v>-98.07</v>
      </c>
      <c r="AC56" s="52">
        <v>202.51</v>
      </c>
      <c r="AD56" s="52">
        <v>79.39</v>
      </c>
      <c r="AE56" s="52">
        <v>-1217.5999999999999</v>
      </c>
      <c r="AF56" s="56">
        <v>0</v>
      </c>
      <c r="AG56" s="43">
        <f t="shared" si="23"/>
        <v>46313.81</v>
      </c>
      <c r="AH56" s="43">
        <f t="shared" si="24"/>
        <v>6628.3</v>
      </c>
      <c r="AI56" s="43">
        <f t="shared" si="25"/>
        <v>-174.4</v>
      </c>
      <c r="AJ56" s="43">
        <f t="shared" si="26"/>
        <v>21130.55</v>
      </c>
      <c r="AK56" s="43">
        <f t="shared" si="27"/>
        <v>-1441.9099999999994</v>
      </c>
      <c r="AL56" s="43">
        <f t="shared" si="28"/>
        <v>15032.57</v>
      </c>
      <c r="AM56" s="43">
        <f t="shared" si="5"/>
        <v>1672.13</v>
      </c>
      <c r="AN56" s="43">
        <f t="shared" si="39"/>
        <v>3229.36</v>
      </c>
      <c r="AO56" s="43">
        <f t="shared" si="29"/>
        <v>237.20999999999998</v>
      </c>
      <c r="AP56" s="43">
        <f t="shared" si="30"/>
        <v>8.000000000174623E-2</v>
      </c>
      <c r="AQ56" s="43">
        <f t="shared" si="31"/>
        <v>103.74000000000069</v>
      </c>
      <c r="AR56" s="43">
        <f t="shared" si="32"/>
        <v>-4.4100000000000534</v>
      </c>
      <c r="AS56" s="43">
        <f t="shared" si="33"/>
        <v>-121.53999999999724</v>
      </c>
      <c r="AT56" s="43">
        <f t="shared" si="34"/>
        <v>-27.360000000000127</v>
      </c>
      <c r="AU56" s="43">
        <f t="shared" si="35"/>
        <v>66.989999999997963</v>
      </c>
      <c r="AV56" s="43">
        <f t="shared" si="36"/>
        <v>0</v>
      </c>
      <c r="AW56" s="43">
        <f t="shared" si="37"/>
        <v>1.0000000000218279E-2</v>
      </c>
      <c r="AX56" s="43">
        <f t="shared" si="38"/>
        <v>-17.350000000000421</v>
      </c>
      <c r="AY56" s="43">
        <f>'Quarter demand'!B56</f>
        <v>46313.729999999996</v>
      </c>
      <c r="AZ56" s="43">
        <f>'Quarter demand'!C56</f>
        <v>6524.5599999999995</v>
      </c>
      <c r="BA56" s="43">
        <f>'Quarter demand'!D56</f>
        <v>-169.98999999999995</v>
      </c>
      <c r="BB56" s="43">
        <f>'Quarter demand'!E56</f>
        <v>21252.089999999997</v>
      </c>
      <c r="BC56" s="43">
        <f>'Quarter demand'!F56</f>
        <v>-1414.5499999999993</v>
      </c>
      <c r="BD56" s="43">
        <f>'Quarter demand'!G56</f>
        <v>14965.580000000002</v>
      </c>
      <c r="BE56" s="43">
        <f>'Quarter demand'!H56</f>
        <v>1672.1299999999999</v>
      </c>
      <c r="BF56" s="43">
        <f>'Quarter demand'!I56</f>
        <v>3229.35</v>
      </c>
      <c r="BG56" s="54">
        <f>'Quarter demand'!J56</f>
        <v>254.5600000000004</v>
      </c>
    </row>
    <row r="57" spans="1:59" ht="15.5" x14ac:dyDescent="0.35">
      <c r="A57" s="50" t="s">
        <v>222</v>
      </c>
      <c r="B57" s="43">
        <f t="shared" si="16"/>
        <v>39298.310000000005</v>
      </c>
      <c r="C57" s="52">
        <v>3054.47</v>
      </c>
      <c r="D57" s="52">
        <v>17081.27</v>
      </c>
      <c r="E57" s="52">
        <v>13233.35</v>
      </c>
      <c r="F57" s="52">
        <v>1704.64</v>
      </c>
      <c r="G57" s="52">
        <v>4224.58</v>
      </c>
      <c r="H57" s="43">
        <f t="shared" si="17"/>
        <v>44841.119999999995</v>
      </c>
      <c r="I57" s="52">
        <v>5093.79</v>
      </c>
      <c r="J57" s="52">
        <v>27.63</v>
      </c>
      <c r="K57" s="52">
        <v>15417.25</v>
      </c>
      <c r="L57" s="52">
        <v>7086.03</v>
      </c>
      <c r="M57" s="52">
        <v>16628.72</v>
      </c>
      <c r="N57" s="52">
        <v>460.57</v>
      </c>
      <c r="O57" s="52">
        <v>127.13</v>
      </c>
      <c r="P57" s="43">
        <f t="shared" si="18"/>
        <v>-23346.480000000003</v>
      </c>
      <c r="Q57" s="52">
        <v>-164.64</v>
      </c>
      <c r="R57" s="52">
        <v>-66.790000000000006</v>
      </c>
      <c r="S57" s="52">
        <v>-11778.43</v>
      </c>
      <c r="T57" s="52">
        <v>-7644.13</v>
      </c>
      <c r="U57" s="52">
        <v>-3535.29</v>
      </c>
      <c r="V57" s="52">
        <v>-45.18</v>
      </c>
      <c r="W57" s="52">
        <v>-112.02</v>
      </c>
      <c r="X57" s="43">
        <f t="shared" si="19"/>
        <v>-786.53</v>
      </c>
      <c r="Y57" s="52">
        <v>-786.53</v>
      </c>
      <c r="Z57" s="43">
        <f t="shared" si="20"/>
        <v>4717.3600000000006</v>
      </c>
      <c r="AA57" s="52">
        <v>2447.2600000000002</v>
      </c>
      <c r="AB57" s="52">
        <v>-70.42</v>
      </c>
      <c r="AC57" s="52">
        <v>464.94</v>
      </c>
      <c r="AD57" s="52">
        <v>292.32</v>
      </c>
      <c r="AE57" s="52">
        <v>1583.26</v>
      </c>
      <c r="AF57" s="56">
        <v>0</v>
      </c>
      <c r="AG57" s="43">
        <f t="shared" si="23"/>
        <v>64723.78</v>
      </c>
      <c r="AH57" s="43">
        <f t="shared" si="24"/>
        <v>10430.880000000001</v>
      </c>
      <c r="AI57" s="43">
        <f t="shared" si="25"/>
        <v>-109.58000000000001</v>
      </c>
      <c r="AJ57" s="43">
        <f t="shared" si="26"/>
        <v>21185.03</v>
      </c>
      <c r="AK57" s="43">
        <f t="shared" si="27"/>
        <v>-1052.3100000000004</v>
      </c>
      <c r="AL57" s="43">
        <f t="shared" si="28"/>
        <v>27910.039999999997</v>
      </c>
      <c r="AM57" s="43">
        <f t="shared" si="5"/>
        <v>2120.0300000000002</v>
      </c>
      <c r="AN57" s="43">
        <f t="shared" si="39"/>
        <v>4224.58</v>
      </c>
      <c r="AO57" s="43">
        <f t="shared" si="29"/>
        <v>15.11</v>
      </c>
      <c r="AP57" s="43">
        <f t="shared" si="30"/>
        <v>298.67999999999302</v>
      </c>
      <c r="AQ57" s="43">
        <f t="shared" si="31"/>
        <v>243.07000000000153</v>
      </c>
      <c r="AR57" s="43">
        <f t="shared" si="32"/>
        <v>-5.760000000000133</v>
      </c>
      <c r="AS57" s="43">
        <f t="shared" si="33"/>
        <v>68.649999999997817</v>
      </c>
      <c r="AT57" s="43">
        <f t="shared" si="34"/>
        <v>41.269999999997708</v>
      </c>
      <c r="AU57" s="43">
        <f t="shared" si="35"/>
        <v>-60.130000000001019</v>
      </c>
      <c r="AV57" s="43">
        <f t="shared" si="36"/>
        <v>-1.999999999998181E-2</v>
      </c>
      <c r="AW57" s="43">
        <f t="shared" si="37"/>
        <v>1.0000000000218279E-2</v>
      </c>
      <c r="AX57" s="43">
        <f t="shared" si="38"/>
        <v>11.590000000000472</v>
      </c>
      <c r="AY57" s="43">
        <f>'Quarter demand'!B57</f>
        <v>64425.100000000006</v>
      </c>
      <c r="AZ57" s="43">
        <f>'Quarter demand'!C57</f>
        <v>10187.81</v>
      </c>
      <c r="BA57" s="43">
        <f>'Quarter demand'!D57</f>
        <v>-103.81999999999988</v>
      </c>
      <c r="BB57" s="43">
        <f>'Quarter demand'!E57</f>
        <v>21116.38</v>
      </c>
      <c r="BC57" s="43">
        <f>'Quarter demand'!F57</f>
        <v>-1093.5799999999981</v>
      </c>
      <c r="BD57" s="43">
        <f>'Quarter demand'!G57</f>
        <v>27970.17</v>
      </c>
      <c r="BE57" s="43">
        <f>'Quarter demand'!H57</f>
        <v>2120.0500000000002</v>
      </c>
      <c r="BF57" s="43">
        <f>'Quarter demand'!I57</f>
        <v>4224.57</v>
      </c>
      <c r="BG57" s="54">
        <f>'Quarter demand'!J57</f>
        <v>3.5199999999995271</v>
      </c>
    </row>
    <row r="58" spans="1:59" ht="15.5" x14ac:dyDescent="0.35">
      <c r="A58" s="50" t="s">
        <v>223</v>
      </c>
      <c r="B58" s="43">
        <f t="shared" si="16"/>
        <v>38072.429999999993</v>
      </c>
      <c r="C58" s="52">
        <v>2953.7</v>
      </c>
      <c r="D58" s="52">
        <v>15861.42</v>
      </c>
      <c r="E58" s="52">
        <v>12630.93</v>
      </c>
      <c r="F58" s="52">
        <v>1814.72</v>
      </c>
      <c r="G58" s="52">
        <v>4811.66</v>
      </c>
      <c r="H58" s="43">
        <f t="shared" si="17"/>
        <v>43025.599999999999</v>
      </c>
      <c r="I58" s="52">
        <v>4970.6400000000003</v>
      </c>
      <c r="J58" s="52">
        <v>16.55</v>
      </c>
      <c r="K58" s="52">
        <v>15396.42</v>
      </c>
      <c r="L58" s="52">
        <v>6038.35</v>
      </c>
      <c r="M58" s="52">
        <v>16084.71</v>
      </c>
      <c r="N58" s="52">
        <v>365.25</v>
      </c>
      <c r="O58" s="52">
        <v>153.68</v>
      </c>
      <c r="P58" s="43">
        <f t="shared" si="18"/>
        <v>-19743.689999999999</v>
      </c>
      <c r="Q58" s="52">
        <v>-99.58</v>
      </c>
      <c r="R58" s="52">
        <v>-95.77</v>
      </c>
      <c r="S58" s="52">
        <v>-10107.73</v>
      </c>
      <c r="T58" s="52">
        <v>-7204.1</v>
      </c>
      <c r="U58" s="52">
        <v>-2138.0500000000002</v>
      </c>
      <c r="V58" s="52">
        <v>-36.270000000000003</v>
      </c>
      <c r="W58" s="52">
        <v>-62.19</v>
      </c>
      <c r="X58" s="43">
        <f t="shared" si="19"/>
        <v>-814.21</v>
      </c>
      <c r="Y58" s="52">
        <v>-814.21</v>
      </c>
      <c r="Z58" s="43">
        <f t="shared" si="20"/>
        <v>2413.2200000000003</v>
      </c>
      <c r="AA58" s="52">
        <v>2350.81</v>
      </c>
      <c r="AB58" s="52">
        <v>-44.64</v>
      </c>
      <c r="AC58" s="52">
        <v>-714.23</v>
      </c>
      <c r="AD58" s="52">
        <v>245.61</v>
      </c>
      <c r="AE58" s="52">
        <v>575.66999999999996</v>
      </c>
      <c r="AF58" s="56">
        <v>0</v>
      </c>
      <c r="AG58" s="43">
        <f t="shared" si="23"/>
        <v>62953.35</v>
      </c>
      <c r="AH58" s="43">
        <f t="shared" si="24"/>
        <v>10175.57</v>
      </c>
      <c r="AI58" s="43">
        <f t="shared" si="25"/>
        <v>-123.86</v>
      </c>
      <c r="AJ58" s="43">
        <f t="shared" si="26"/>
        <v>20435.88</v>
      </c>
      <c r="AK58" s="43">
        <f t="shared" si="27"/>
        <v>-1734.35</v>
      </c>
      <c r="AL58" s="43">
        <f t="shared" si="28"/>
        <v>27153.26</v>
      </c>
      <c r="AM58" s="43">
        <f t="shared" si="5"/>
        <v>2143.7000000000003</v>
      </c>
      <c r="AN58" s="43">
        <f t="shared" si="39"/>
        <v>4811.66</v>
      </c>
      <c r="AO58" s="43">
        <f t="shared" si="29"/>
        <v>91.490000000000009</v>
      </c>
      <c r="AP58" s="43">
        <f t="shared" si="30"/>
        <v>15.75</v>
      </c>
      <c r="AQ58" s="43">
        <f t="shared" si="31"/>
        <v>35.950000000000728</v>
      </c>
      <c r="AR58" s="43">
        <f t="shared" si="32"/>
        <v>-3.6400000000000006</v>
      </c>
      <c r="AS58" s="43">
        <f t="shared" si="33"/>
        <v>-114.84999999999854</v>
      </c>
      <c r="AT58" s="43">
        <f t="shared" si="34"/>
        <v>58.889999999998054</v>
      </c>
      <c r="AU58" s="43">
        <f t="shared" si="35"/>
        <v>19.869999999998981</v>
      </c>
      <c r="AV58" s="43">
        <f t="shared" si="36"/>
        <v>0</v>
      </c>
      <c r="AW58" s="43">
        <f t="shared" si="37"/>
        <v>0</v>
      </c>
      <c r="AX58" s="43">
        <f t="shared" si="38"/>
        <v>19.529999999998154</v>
      </c>
      <c r="AY58" s="43">
        <f>'Quarter demand'!B58</f>
        <v>62937.599999999999</v>
      </c>
      <c r="AZ58" s="43">
        <f>'Quarter demand'!C58</f>
        <v>10139.619999999999</v>
      </c>
      <c r="BA58" s="43">
        <f>'Quarter demand'!D58</f>
        <v>-120.22</v>
      </c>
      <c r="BB58" s="43">
        <f>'Quarter demand'!E58</f>
        <v>20550.73</v>
      </c>
      <c r="BC58" s="43">
        <f>'Quarter demand'!F58</f>
        <v>-1793.239999999998</v>
      </c>
      <c r="BD58" s="43">
        <f>'Quarter demand'!G58</f>
        <v>27133.39</v>
      </c>
      <c r="BE58" s="43">
        <f>'Quarter demand'!H58</f>
        <v>2143.6999999999998</v>
      </c>
      <c r="BF58" s="43">
        <f>'Quarter demand'!I58</f>
        <v>4811.66</v>
      </c>
      <c r="BG58" s="54">
        <f>'Quarter demand'!J58</f>
        <v>71.960000000001855</v>
      </c>
    </row>
    <row r="59" spans="1:59" ht="15.5" x14ac:dyDescent="0.35">
      <c r="A59" s="50" t="s">
        <v>224</v>
      </c>
      <c r="B59" s="43">
        <f t="shared" si="16"/>
        <v>34773.629999999997</v>
      </c>
      <c r="C59" s="52">
        <v>2994.44</v>
      </c>
      <c r="D59" s="52">
        <v>14696.96</v>
      </c>
      <c r="E59" s="52">
        <v>10968.75</v>
      </c>
      <c r="F59" s="52">
        <v>1359.22</v>
      </c>
      <c r="G59" s="52">
        <v>4754.26</v>
      </c>
      <c r="H59" s="43">
        <f t="shared" si="17"/>
        <v>37897.490000000005</v>
      </c>
      <c r="I59" s="52">
        <v>4755.84</v>
      </c>
      <c r="J59" s="52">
        <v>1.32</v>
      </c>
      <c r="K59" s="52">
        <v>15177.01</v>
      </c>
      <c r="L59" s="52">
        <v>5964.2</v>
      </c>
      <c r="M59" s="52">
        <v>11409.85</v>
      </c>
      <c r="N59" s="52">
        <v>412.62</v>
      </c>
      <c r="O59" s="52">
        <v>176.65</v>
      </c>
      <c r="P59" s="43">
        <f t="shared" si="18"/>
        <v>-21880.590000000004</v>
      </c>
      <c r="Q59" s="52">
        <v>-88.06</v>
      </c>
      <c r="R59" s="52">
        <v>-41.1</v>
      </c>
      <c r="S59" s="52">
        <v>-9053.43</v>
      </c>
      <c r="T59" s="52">
        <v>-7997.46</v>
      </c>
      <c r="U59" s="52">
        <v>-4614.42</v>
      </c>
      <c r="V59" s="52">
        <v>-40.97</v>
      </c>
      <c r="W59" s="52">
        <v>-45.15</v>
      </c>
      <c r="X59" s="43">
        <f t="shared" si="19"/>
        <v>-721.15</v>
      </c>
      <c r="Y59" s="52">
        <v>-721.15</v>
      </c>
      <c r="Z59" s="43">
        <f t="shared" si="20"/>
        <v>-2241.08</v>
      </c>
      <c r="AA59" s="52">
        <v>-1390.03</v>
      </c>
      <c r="AB59" s="52">
        <v>-93.57</v>
      </c>
      <c r="AC59" s="52">
        <v>891.1</v>
      </c>
      <c r="AD59" s="52">
        <v>217.47</v>
      </c>
      <c r="AE59" s="52">
        <v>-1866.05</v>
      </c>
      <c r="AF59" s="56">
        <v>0</v>
      </c>
      <c r="AG59" s="43">
        <f t="shared" si="23"/>
        <v>47828.3</v>
      </c>
      <c r="AH59" s="43">
        <f t="shared" si="24"/>
        <v>6272.1900000000005</v>
      </c>
      <c r="AI59" s="43">
        <f t="shared" si="25"/>
        <v>-133.35</v>
      </c>
      <c r="AJ59" s="43">
        <f t="shared" si="26"/>
        <v>21711.64</v>
      </c>
      <c r="AK59" s="43">
        <f t="shared" si="27"/>
        <v>-2536.9400000000005</v>
      </c>
      <c r="AL59" s="43">
        <f t="shared" si="28"/>
        <v>15898.130000000001</v>
      </c>
      <c r="AM59" s="43">
        <f t="shared" si="5"/>
        <v>1730.8700000000001</v>
      </c>
      <c r="AN59" s="43">
        <f t="shared" si="39"/>
        <v>4754.26</v>
      </c>
      <c r="AO59" s="43">
        <f t="shared" si="29"/>
        <v>131.5</v>
      </c>
      <c r="AP59" s="43">
        <f t="shared" si="30"/>
        <v>-244.44999999999709</v>
      </c>
      <c r="AQ59" s="43">
        <f t="shared" si="31"/>
        <v>-70.720000000000255</v>
      </c>
      <c r="AR59" s="43">
        <f t="shared" si="32"/>
        <v>-2.8500000000000512</v>
      </c>
      <c r="AS59" s="43">
        <f t="shared" si="33"/>
        <v>-96.799999999999272</v>
      </c>
      <c r="AT59" s="43">
        <f t="shared" si="34"/>
        <v>-29.940000000000509</v>
      </c>
      <c r="AU59" s="43">
        <f t="shared" si="35"/>
        <v>-30.419999999998254</v>
      </c>
      <c r="AV59" s="43">
        <f t="shared" si="36"/>
        <v>0</v>
      </c>
      <c r="AW59" s="43">
        <f t="shared" si="37"/>
        <v>0</v>
      </c>
      <c r="AX59" s="43">
        <f t="shared" si="38"/>
        <v>-13.720000000000255</v>
      </c>
      <c r="AY59" s="43">
        <f>'Quarter demand'!B59</f>
        <v>48072.75</v>
      </c>
      <c r="AZ59" s="43">
        <f>'Quarter demand'!C59</f>
        <v>6342.9100000000008</v>
      </c>
      <c r="BA59" s="43">
        <f>'Quarter demand'!D59</f>
        <v>-130.49999999999994</v>
      </c>
      <c r="BB59" s="43">
        <f>'Quarter demand'!E59</f>
        <v>21808.44</v>
      </c>
      <c r="BC59" s="43">
        <f>'Quarter demand'!F59</f>
        <v>-2507</v>
      </c>
      <c r="BD59" s="43">
        <f>'Quarter demand'!G59</f>
        <v>15928.55</v>
      </c>
      <c r="BE59" s="43">
        <f>'Quarter demand'!H59</f>
        <v>1730.87</v>
      </c>
      <c r="BF59" s="43">
        <f>'Quarter demand'!I59</f>
        <v>4754.26</v>
      </c>
      <c r="BG59" s="54">
        <f>'Quarter demand'!J59</f>
        <v>145.22000000000025</v>
      </c>
    </row>
    <row r="60" spans="1:59" ht="15.5" x14ac:dyDescent="0.35">
      <c r="A60" s="50" t="s">
        <v>225</v>
      </c>
      <c r="B60" s="43">
        <f t="shared" si="16"/>
        <v>29033.37</v>
      </c>
      <c r="C60" s="52">
        <v>2909.51</v>
      </c>
      <c r="D60" s="52">
        <v>12167.91</v>
      </c>
      <c r="E60" s="52">
        <v>8715.33</v>
      </c>
      <c r="F60" s="52">
        <v>1296.94</v>
      </c>
      <c r="G60" s="52">
        <v>3943.68</v>
      </c>
      <c r="H60" s="43">
        <f t="shared" si="17"/>
        <v>39495.649999999994</v>
      </c>
      <c r="I60" s="52">
        <v>5424.87</v>
      </c>
      <c r="J60" s="52">
        <v>2.41</v>
      </c>
      <c r="K60" s="52">
        <v>16714.28</v>
      </c>
      <c r="L60" s="52">
        <v>5853.41</v>
      </c>
      <c r="M60" s="52">
        <v>10729.6</v>
      </c>
      <c r="N60" s="52">
        <v>542.74</v>
      </c>
      <c r="O60" s="52">
        <v>228.34</v>
      </c>
      <c r="P60" s="43">
        <f t="shared" si="18"/>
        <v>-19920.629999999997</v>
      </c>
      <c r="Q60" s="52">
        <v>-80.64</v>
      </c>
      <c r="R60" s="52">
        <v>-79.739999999999995</v>
      </c>
      <c r="S60" s="52">
        <v>-7694.37</v>
      </c>
      <c r="T60" s="52">
        <v>-7525.5</v>
      </c>
      <c r="U60" s="52">
        <v>-4460.99</v>
      </c>
      <c r="V60" s="52">
        <v>-53.89</v>
      </c>
      <c r="W60" s="52">
        <v>-25.5</v>
      </c>
      <c r="X60" s="43">
        <f t="shared" si="19"/>
        <v>-889.76</v>
      </c>
      <c r="Y60" s="52">
        <v>-889.76</v>
      </c>
      <c r="Z60" s="43">
        <f t="shared" si="20"/>
        <v>-2653.1800000000003</v>
      </c>
      <c r="AA60" s="52">
        <v>-1886.98</v>
      </c>
      <c r="AB60" s="52">
        <v>-166.94</v>
      </c>
      <c r="AC60" s="52">
        <v>395.73</v>
      </c>
      <c r="AD60" s="52">
        <v>-24.41</v>
      </c>
      <c r="AE60" s="52">
        <v>-970.58</v>
      </c>
      <c r="AF60" s="56">
        <v>0</v>
      </c>
      <c r="AG60" s="43">
        <f t="shared" si="23"/>
        <v>45065.45</v>
      </c>
      <c r="AH60" s="43">
        <f t="shared" si="24"/>
        <v>6366.760000000002</v>
      </c>
      <c r="AI60" s="43">
        <f t="shared" si="25"/>
        <v>-244.26999999999998</v>
      </c>
      <c r="AJ60" s="43">
        <f t="shared" si="26"/>
        <v>21583.55</v>
      </c>
      <c r="AK60" s="43">
        <f t="shared" si="27"/>
        <v>-2586.2600000000002</v>
      </c>
      <c r="AL60" s="43">
        <f t="shared" si="28"/>
        <v>14013.36</v>
      </c>
      <c r="AM60" s="43">
        <f t="shared" si="5"/>
        <v>1785.79</v>
      </c>
      <c r="AN60" s="43">
        <f t="shared" si="39"/>
        <v>3943.68</v>
      </c>
      <c r="AO60" s="43">
        <f t="shared" si="29"/>
        <v>202.84</v>
      </c>
      <c r="AP60" s="43">
        <f t="shared" si="30"/>
        <v>-361.25000000000728</v>
      </c>
      <c r="AQ60" s="43">
        <f t="shared" si="31"/>
        <v>-73.489999999997963</v>
      </c>
      <c r="AR60" s="43">
        <f t="shared" si="32"/>
        <v>-4.0299999999998022</v>
      </c>
      <c r="AS60" s="43">
        <f t="shared" si="33"/>
        <v>-259.20000000000073</v>
      </c>
      <c r="AT60" s="43">
        <f t="shared" si="34"/>
        <v>14.199999999998909</v>
      </c>
      <c r="AU60" s="43">
        <f t="shared" si="35"/>
        <v>-30.25</v>
      </c>
      <c r="AV60" s="43">
        <f t="shared" si="36"/>
        <v>9.9999999999909051E-3</v>
      </c>
      <c r="AW60" s="43">
        <f t="shared" si="37"/>
        <v>0</v>
      </c>
      <c r="AX60" s="43">
        <f t="shared" si="38"/>
        <v>-8.4900000000008333</v>
      </c>
      <c r="AY60" s="43">
        <f>'Quarter demand'!B60</f>
        <v>45426.700000000004</v>
      </c>
      <c r="AZ60" s="43">
        <f>'Quarter demand'!C60</f>
        <v>6440.25</v>
      </c>
      <c r="BA60" s="43">
        <f>'Quarter demand'!D60</f>
        <v>-240.24000000000018</v>
      </c>
      <c r="BB60" s="43">
        <f>'Quarter demand'!E60</f>
        <v>21842.75</v>
      </c>
      <c r="BC60" s="43">
        <f>'Quarter demand'!F60</f>
        <v>-2600.4599999999991</v>
      </c>
      <c r="BD60" s="43">
        <f>'Quarter demand'!G60</f>
        <v>14043.61</v>
      </c>
      <c r="BE60" s="43">
        <f>'Quarter demand'!H60</f>
        <v>1785.78</v>
      </c>
      <c r="BF60" s="43">
        <f>'Quarter demand'!I60</f>
        <v>3943.68</v>
      </c>
      <c r="BG60" s="54">
        <f>'Quarter demand'!J60</f>
        <v>211.33000000000084</v>
      </c>
    </row>
    <row r="61" spans="1:59" ht="15.5" x14ac:dyDescent="0.35">
      <c r="A61" s="50" t="s">
        <v>226</v>
      </c>
      <c r="B61" s="43">
        <f t="shared" si="16"/>
        <v>34235.909999999996</v>
      </c>
      <c r="C61" s="52">
        <v>2674.35</v>
      </c>
      <c r="D61" s="52">
        <v>14175.84</v>
      </c>
      <c r="E61" s="52">
        <v>11711.48</v>
      </c>
      <c r="F61" s="52">
        <v>1674.81</v>
      </c>
      <c r="G61" s="52">
        <v>3999.43</v>
      </c>
      <c r="H61" s="43">
        <f t="shared" si="17"/>
        <v>43882.59</v>
      </c>
      <c r="I61" s="52">
        <v>6247.38</v>
      </c>
      <c r="J61" s="52">
        <v>13.15</v>
      </c>
      <c r="K61" s="52">
        <v>16183.06</v>
      </c>
      <c r="L61" s="52">
        <v>7013.05</v>
      </c>
      <c r="M61" s="52">
        <v>13703.92</v>
      </c>
      <c r="N61" s="52">
        <v>533.59</v>
      </c>
      <c r="O61" s="52">
        <v>188.44</v>
      </c>
      <c r="P61" s="43">
        <f t="shared" si="18"/>
        <v>-22380.16</v>
      </c>
      <c r="Q61" s="52">
        <v>-101.27</v>
      </c>
      <c r="R61" s="52">
        <v>-138.49</v>
      </c>
      <c r="S61" s="52">
        <v>-9914.51</v>
      </c>
      <c r="T61" s="52">
        <v>-7513.07</v>
      </c>
      <c r="U61" s="52">
        <v>-4580.5600000000004</v>
      </c>
      <c r="V61" s="52">
        <v>-52.98</v>
      </c>
      <c r="W61" s="52">
        <v>-79.28</v>
      </c>
      <c r="X61" s="43">
        <f t="shared" si="19"/>
        <v>-729.63</v>
      </c>
      <c r="Y61" s="52">
        <v>-729.63</v>
      </c>
      <c r="Z61" s="43">
        <f t="shared" si="20"/>
        <v>1520.5700000000002</v>
      </c>
      <c r="AA61" s="52">
        <v>1460.47</v>
      </c>
      <c r="AB61" s="52">
        <v>-79.650000000000006</v>
      </c>
      <c r="AC61" s="52">
        <v>94.43</v>
      </c>
      <c r="AD61" s="52">
        <v>-214.31</v>
      </c>
      <c r="AE61" s="52">
        <v>259.63</v>
      </c>
      <c r="AF61" s="56">
        <v>0</v>
      </c>
      <c r="AG61" s="43">
        <f t="shared" si="23"/>
        <v>56529.280000000006</v>
      </c>
      <c r="AH61" s="43">
        <f t="shared" si="24"/>
        <v>10280.929999999998</v>
      </c>
      <c r="AI61" s="43">
        <f t="shared" si="25"/>
        <v>-204.99</v>
      </c>
      <c r="AJ61" s="43">
        <f t="shared" si="26"/>
        <v>20538.82</v>
      </c>
      <c r="AK61" s="43">
        <f t="shared" si="27"/>
        <v>-1443.9599999999996</v>
      </c>
      <c r="AL61" s="43">
        <f t="shared" si="28"/>
        <v>21094.47</v>
      </c>
      <c r="AM61" s="43">
        <f t="shared" si="5"/>
        <v>2155.42</v>
      </c>
      <c r="AN61" s="43">
        <f t="shared" si="39"/>
        <v>3999.43</v>
      </c>
      <c r="AO61" s="43">
        <f t="shared" si="29"/>
        <v>109.16</v>
      </c>
      <c r="AP61" s="43">
        <f t="shared" si="30"/>
        <v>173.24000000001251</v>
      </c>
      <c r="AQ61" s="43">
        <f t="shared" si="31"/>
        <v>99.599999999996726</v>
      </c>
      <c r="AR61" s="43">
        <f t="shared" si="32"/>
        <v>-3.8099999999997749</v>
      </c>
      <c r="AS61" s="43">
        <f t="shared" si="33"/>
        <v>125.79000000000087</v>
      </c>
      <c r="AT61" s="43">
        <f t="shared" si="34"/>
        <v>30.600000000001728</v>
      </c>
      <c r="AU61" s="43">
        <f t="shared" si="35"/>
        <v>-68.75</v>
      </c>
      <c r="AV61" s="43">
        <f t="shared" si="36"/>
        <v>0</v>
      </c>
      <c r="AW61" s="43">
        <f t="shared" si="37"/>
        <v>0</v>
      </c>
      <c r="AX61" s="43">
        <f t="shared" si="38"/>
        <v>-10.189999999998548</v>
      </c>
      <c r="AY61" s="43">
        <f>'Quarter demand'!B61</f>
        <v>56356.039999999994</v>
      </c>
      <c r="AZ61" s="43">
        <f>'Quarter demand'!C61</f>
        <v>10181.330000000002</v>
      </c>
      <c r="BA61" s="43">
        <f>'Quarter demand'!D61</f>
        <v>-201.18000000000023</v>
      </c>
      <c r="BB61" s="43">
        <f>'Quarter demand'!E61</f>
        <v>20413.03</v>
      </c>
      <c r="BC61" s="43">
        <f>'Quarter demand'!F61</f>
        <v>-1474.5600000000013</v>
      </c>
      <c r="BD61" s="43">
        <f>'Quarter demand'!G61</f>
        <v>21163.22</v>
      </c>
      <c r="BE61" s="43">
        <f>'Quarter demand'!H61</f>
        <v>2155.42</v>
      </c>
      <c r="BF61" s="43">
        <f>'Quarter demand'!I61</f>
        <v>3999.43</v>
      </c>
      <c r="BG61" s="54">
        <f>'Quarter demand'!J61</f>
        <v>119.34999999999854</v>
      </c>
    </row>
    <row r="62" spans="1:59" ht="15.5" x14ac:dyDescent="0.35">
      <c r="A62" s="50" t="s">
        <v>227</v>
      </c>
      <c r="B62" s="43">
        <f t="shared" si="16"/>
        <v>33619.53</v>
      </c>
      <c r="C62" s="52">
        <v>2596.0300000000002</v>
      </c>
      <c r="D62" s="52">
        <v>13801.44</v>
      </c>
      <c r="E62" s="52">
        <v>11054.48</v>
      </c>
      <c r="F62" s="52">
        <v>1844.52</v>
      </c>
      <c r="G62" s="52">
        <v>4323.0600000000004</v>
      </c>
      <c r="H62" s="43">
        <f t="shared" si="17"/>
        <v>45620.41</v>
      </c>
      <c r="I62" s="52">
        <v>6744.65</v>
      </c>
      <c r="J62" s="52">
        <v>7.65</v>
      </c>
      <c r="K62" s="52">
        <v>17024.68</v>
      </c>
      <c r="L62" s="52">
        <v>6107.56</v>
      </c>
      <c r="M62" s="52">
        <v>14925.58</v>
      </c>
      <c r="N62" s="52">
        <v>537.74</v>
      </c>
      <c r="O62" s="52">
        <v>272.55</v>
      </c>
      <c r="P62" s="43">
        <f t="shared" si="18"/>
        <v>-21040.41</v>
      </c>
      <c r="Q62" s="52">
        <v>-89.36</v>
      </c>
      <c r="R62" s="52">
        <v>-231</v>
      </c>
      <c r="S62" s="52">
        <v>-8669.26</v>
      </c>
      <c r="T62" s="52">
        <v>-8739.8799999999992</v>
      </c>
      <c r="U62" s="52">
        <v>-3113.94</v>
      </c>
      <c r="V62" s="52">
        <v>-95.33</v>
      </c>
      <c r="W62" s="52">
        <v>-101.64</v>
      </c>
      <c r="X62" s="43">
        <f t="shared" si="19"/>
        <v>-648.05999999999995</v>
      </c>
      <c r="Y62" s="52">
        <v>-648.05999999999995</v>
      </c>
      <c r="Z62" s="43">
        <f t="shared" si="20"/>
        <v>3688.2400000000002</v>
      </c>
      <c r="AA62" s="52">
        <v>2750.85</v>
      </c>
      <c r="AB62" s="52">
        <v>-48.74</v>
      </c>
      <c r="AC62" s="52">
        <v>-214.73</v>
      </c>
      <c r="AD62" s="52">
        <v>39.729999999999997</v>
      </c>
      <c r="AE62" s="52">
        <v>1161.1300000000001</v>
      </c>
      <c r="AF62" s="56">
        <v>0</v>
      </c>
      <c r="AG62" s="43">
        <f t="shared" si="23"/>
        <v>61239.71</v>
      </c>
      <c r="AH62" s="43">
        <f t="shared" si="24"/>
        <v>12002.17</v>
      </c>
      <c r="AI62" s="43">
        <f t="shared" si="25"/>
        <v>-272.08999999999997</v>
      </c>
      <c r="AJ62" s="43">
        <f t="shared" si="26"/>
        <v>21942.13</v>
      </c>
      <c r="AK62" s="43">
        <f t="shared" si="27"/>
        <v>-3240.6499999999987</v>
      </c>
      <c r="AL62" s="43">
        <f t="shared" si="28"/>
        <v>24027.25</v>
      </c>
      <c r="AM62" s="43">
        <f t="shared" si="5"/>
        <v>2286.9300000000003</v>
      </c>
      <c r="AN62" s="43">
        <f t="shared" si="39"/>
        <v>4323.0600000000004</v>
      </c>
      <c r="AO62" s="43">
        <f t="shared" si="29"/>
        <v>170.91000000000003</v>
      </c>
      <c r="AP62" s="43">
        <f t="shared" si="30"/>
        <v>296.02000000001135</v>
      </c>
      <c r="AQ62" s="43">
        <f t="shared" si="31"/>
        <v>266.15000000000146</v>
      </c>
      <c r="AR62" s="43">
        <f t="shared" si="32"/>
        <v>-1.9300000000000068</v>
      </c>
      <c r="AS62" s="43">
        <f t="shared" si="33"/>
        <v>-48.829999999998108</v>
      </c>
      <c r="AT62" s="43">
        <f t="shared" si="34"/>
        <v>10.800000000002001</v>
      </c>
      <c r="AU62" s="43">
        <f t="shared" si="35"/>
        <v>92.05000000000291</v>
      </c>
      <c r="AV62" s="43">
        <f t="shared" si="36"/>
        <v>1.0000000000218279E-2</v>
      </c>
      <c r="AW62" s="43">
        <f t="shared" si="37"/>
        <v>0</v>
      </c>
      <c r="AX62" s="43">
        <f t="shared" si="38"/>
        <v>-22.230000000000302</v>
      </c>
      <c r="AY62" s="43">
        <f>'Quarter demand'!B62</f>
        <v>60943.689999999988</v>
      </c>
      <c r="AZ62" s="43">
        <f>'Quarter demand'!C62</f>
        <v>11736.019999999999</v>
      </c>
      <c r="BA62" s="43">
        <f>'Quarter demand'!D62</f>
        <v>-270.15999999999997</v>
      </c>
      <c r="BB62" s="43">
        <f>'Quarter demand'!E62</f>
        <v>21990.959999999999</v>
      </c>
      <c r="BC62" s="43">
        <f>'Quarter demand'!F62</f>
        <v>-3251.4500000000007</v>
      </c>
      <c r="BD62" s="43">
        <f>'Quarter demand'!G62</f>
        <v>23935.199999999997</v>
      </c>
      <c r="BE62" s="43">
        <f>'Quarter demand'!H62</f>
        <v>2286.92</v>
      </c>
      <c r="BF62" s="43">
        <f>'Quarter demand'!I62</f>
        <v>4323.0600000000004</v>
      </c>
      <c r="BG62" s="54">
        <f>'Quarter demand'!J62</f>
        <v>193.14000000000033</v>
      </c>
    </row>
    <row r="63" spans="1:59" ht="15.5" x14ac:dyDescent="0.35">
      <c r="A63" s="50" t="s">
        <v>228</v>
      </c>
      <c r="B63" s="43">
        <f t="shared" si="16"/>
        <v>31262.53</v>
      </c>
      <c r="C63" s="52">
        <v>2982.03</v>
      </c>
      <c r="D63" s="52">
        <v>12926.7</v>
      </c>
      <c r="E63" s="52">
        <v>9534.7099999999991</v>
      </c>
      <c r="F63" s="52">
        <v>1377.19</v>
      </c>
      <c r="G63" s="52">
        <v>4441.8999999999996</v>
      </c>
      <c r="H63" s="43">
        <f t="shared" si="17"/>
        <v>43241.42</v>
      </c>
      <c r="I63" s="52">
        <v>7638.51</v>
      </c>
      <c r="J63" s="52">
        <v>12.36</v>
      </c>
      <c r="K63" s="52">
        <v>17709.48</v>
      </c>
      <c r="L63" s="52">
        <v>6349.13</v>
      </c>
      <c r="M63" s="52">
        <v>10795.39</v>
      </c>
      <c r="N63" s="52">
        <v>454.47</v>
      </c>
      <c r="O63" s="52">
        <v>282.08</v>
      </c>
      <c r="P63" s="43">
        <f t="shared" si="18"/>
        <v>-21320.21</v>
      </c>
      <c r="Q63" s="52">
        <v>-100.03</v>
      </c>
      <c r="R63" s="52">
        <v>-101.8</v>
      </c>
      <c r="S63" s="52">
        <v>-8721.42</v>
      </c>
      <c r="T63" s="52">
        <v>-8953.48</v>
      </c>
      <c r="U63" s="52">
        <v>-3349.36</v>
      </c>
      <c r="V63" s="52">
        <v>-80.569999999999993</v>
      </c>
      <c r="W63" s="52">
        <v>-13.55</v>
      </c>
      <c r="X63" s="43">
        <f t="shared" si="19"/>
        <v>-680.88</v>
      </c>
      <c r="Y63" s="52">
        <v>-680.88</v>
      </c>
      <c r="Z63" s="43">
        <f t="shared" si="20"/>
        <v>-2174.7999999999997</v>
      </c>
      <c r="AA63" s="52">
        <v>-1436.98</v>
      </c>
      <c r="AB63" s="52">
        <v>106.64</v>
      </c>
      <c r="AC63" s="52">
        <v>-242.47</v>
      </c>
      <c r="AD63" s="52">
        <v>218.65</v>
      </c>
      <c r="AE63" s="52">
        <v>-820.64</v>
      </c>
      <c r="AF63" s="56">
        <v>0</v>
      </c>
      <c r="AG63" s="43">
        <f t="shared" si="23"/>
        <v>50328.060000000005</v>
      </c>
      <c r="AH63" s="43">
        <f t="shared" si="24"/>
        <v>9083.5300000000007</v>
      </c>
      <c r="AI63" s="43">
        <f t="shared" si="25"/>
        <v>17.200000000000003</v>
      </c>
      <c r="AJ63" s="43">
        <f t="shared" si="26"/>
        <v>21672.29</v>
      </c>
      <c r="AK63" s="43">
        <f t="shared" si="27"/>
        <v>-3066.5799999999995</v>
      </c>
      <c r="AL63" s="43">
        <f t="shared" si="28"/>
        <v>16160.099999999999</v>
      </c>
      <c r="AM63" s="43">
        <f t="shared" si="5"/>
        <v>1751.0900000000001</v>
      </c>
      <c r="AN63" s="43">
        <f t="shared" si="39"/>
        <v>4441.8999999999996</v>
      </c>
      <c r="AO63" s="43">
        <f t="shared" si="29"/>
        <v>268.52999999999997</v>
      </c>
      <c r="AP63" s="43">
        <f t="shared" si="30"/>
        <v>31.340000000011059</v>
      </c>
      <c r="AQ63" s="43">
        <f t="shared" si="31"/>
        <v>-88.179999999996653</v>
      </c>
      <c r="AR63" s="43">
        <f t="shared" si="32"/>
        <v>-1.1700000000000585</v>
      </c>
      <c r="AS63" s="43">
        <f t="shared" si="33"/>
        <v>91.680000000000291</v>
      </c>
      <c r="AT63" s="43">
        <f t="shared" si="34"/>
        <v>-8.8599999999983083</v>
      </c>
      <c r="AU63" s="43">
        <f t="shared" si="35"/>
        <v>63.280000000000655</v>
      </c>
      <c r="AV63" s="43">
        <f t="shared" si="36"/>
        <v>0</v>
      </c>
      <c r="AW63" s="43">
        <f t="shared" si="37"/>
        <v>-1.0000000000218279E-2</v>
      </c>
      <c r="AX63" s="43">
        <f t="shared" si="38"/>
        <v>-25.399999999999409</v>
      </c>
      <c r="AY63" s="43">
        <f>'Quarter demand'!B63</f>
        <v>50296.719999999994</v>
      </c>
      <c r="AZ63" s="43">
        <f>'Quarter demand'!C63</f>
        <v>9171.7099999999973</v>
      </c>
      <c r="BA63" s="43">
        <f>'Quarter demand'!D63</f>
        <v>18.370000000000061</v>
      </c>
      <c r="BB63" s="43">
        <f>'Quarter demand'!E63</f>
        <v>21580.61</v>
      </c>
      <c r="BC63" s="43">
        <f>'Quarter demand'!F63</f>
        <v>-3057.7200000000012</v>
      </c>
      <c r="BD63" s="43">
        <f>'Quarter demand'!G63</f>
        <v>16096.819999999998</v>
      </c>
      <c r="BE63" s="43">
        <f>'Quarter demand'!H63</f>
        <v>1751.09</v>
      </c>
      <c r="BF63" s="43">
        <f>'Quarter demand'!I63</f>
        <v>4441.91</v>
      </c>
      <c r="BG63" s="54">
        <f>'Quarter demand'!J63</f>
        <v>293.92999999999938</v>
      </c>
    </row>
    <row r="64" spans="1:59" ht="15.5" x14ac:dyDescent="0.35">
      <c r="A64" s="50" t="s">
        <v>229</v>
      </c>
      <c r="B64" s="43">
        <f t="shared" si="16"/>
        <v>26777.93</v>
      </c>
      <c r="C64" s="52">
        <v>2602.9299999999998</v>
      </c>
      <c r="D64" s="52">
        <v>10656.2</v>
      </c>
      <c r="E64" s="52">
        <v>7701.31</v>
      </c>
      <c r="F64" s="52">
        <v>1410.41</v>
      </c>
      <c r="G64" s="52">
        <v>4407.08</v>
      </c>
      <c r="H64" s="43">
        <f t="shared" si="17"/>
        <v>40695.54</v>
      </c>
      <c r="I64" s="52">
        <v>7214.45</v>
      </c>
      <c r="J64" s="52">
        <v>16.22</v>
      </c>
      <c r="K64" s="52">
        <v>16472.73</v>
      </c>
      <c r="L64" s="52">
        <v>7774.82</v>
      </c>
      <c r="M64" s="52">
        <v>8484.6</v>
      </c>
      <c r="N64" s="52">
        <v>359.79</v>
      </c>
      <c r="O64" s="52">
        <v>372.93</v>
      </c>
      <c r="P64" s="43">
        <f t="shared" si="18"/>
        <v>-20215.349999999999</v>
      </c>
      <c r="Q64" s="52">
        <v>-77.040000000000006</v>
      </c>
      <c r="R64" s="52">
        <v>-30.42</v>
      </c>
      <c r="S64" s="52">
        <v>-7803.45</v>
      </c>
      <c r="T64" s="52">
        <v>-8303.66</v>
      </c>
      <c r="U64" s="52">
        <v>-3912.87</v>
      </c>
      <c r="V64" s="52">
        <v>-63.78</v>
      </c>
      <c r="W64" s="52">
        <v>-24.13</v>
      </c>
      <c r="X64" s="43">
        <f t="shared" si="19"/>
        <v>-738.02</v>
      </c>
      <c r="Y64" s="52">
        <v>-738.02</v>
      </c>
      <c r="Z64" s="43">
        <f t="shared" si="20"/>
        <v>-1206.29</v>
      </c>
      <c r="AA64" s="52">
        <v>-1145.74</v>
      </c>
      <c r="AB64" s="52">
        <v>37.200000000000003</v>
      </c>
      <c r="AC64" s="52">
        <v>736.47</v>
      </c>
      <c r="AD64" s="52">
        <v>-109.63</v>
      </c>
      <c r="AE64" s="52">
        <v>-724.59</v>
      </c>
      <c r="AF64" s="56">
        <v>0</v>
      </c>
      <c r="AG64" s="43">
        <f t="shared" si="23"/>
        <v>45313.81</v>
      </c>
      <c r="AH64" s="43">
        <f t="shared" si="24"/>
        <v>8594.5999999999985</v>
      </c>
      <c r="AI64" s="43">
        <f t="shared" si="25"/>
        <v>23</v>
      </c>
      <c r="AJ64" s="43">
        <f t="shared" si="26"/>
        <v>20061.95</v>
      </c>
      <c r="AK64" s="43">
        <f t="shared" si="27"/>
        <v>-1376.4900000000002</v>
      </c>
      <c r="AL64" s="43">
        <f t="shared" si="28"/>
        <v>11548.45</v>
      </c>
      <c r="AM64" s="43">
        <f t="shared" si="5"/>
        <v>1706.42</v>
      </c>
      <c r="AN64" s="43">
        <f t="shared" si="39"/>
        <v>4407.08</v>
      </c>
      <c r="AO64" s="43">
        <f t="shared" si="29"/>
        <v>348.8</v>
      </c>
      <c r="AP64" s="43">
        <f t="shared" si="30"/>
        <v>-21.130000000011933</v>
      </c>
      <c r="AQ64" s="43">
        <f t="shared" si="31"/>
        <v>-45.950000000002547</v>
      </c>
      <c r="AR64" s="43">
        <f t="shared" si="32"/>
        <v>-1.9899999999998954</v>
      </c>
      <c r="AS64" s="43">
        <f t="shared" si="33"/>
        <v>-122.42000000000189</v>
      </c>
      <c r="AT64" s="43">
        <f t="shared" si="34"/>
        <v>72.60999999999467</v>
      </c>
      <c r="AU64" s="43">
        <f t="shared" si="35"/>
        <v>54.610000000000582</v>
      </c>
      <c r="AV64" s="43">
        <f t="shared" si="36"/>
        <v>0</v>
      </c>
      <c r="AW64" s="43">
        <f t="shared" si="37"/>
        <v>0</v>
      </c>
      <c r="AX64" s="43">
        <f t="shared" si="38"/>
        <v>22.010000000000048</v>
      </c>
      <c r="AY64" s="43">
        <f>'Quarter demand'!B64</f>
        <v>45334.94000000001</v>
      </c>
      <c r="AZ64" s="43">
        <f>'Quarter demand'!C64</f>
        <v>8640.5500000000011</v>
      </c>
      <c r="BA64" s="43">
        <f>'Quarter demand'!D64</f>
        <v>24.989999999999895</v>
      </c>
      <c r="BB64" s="43">
        <f>'Quarter demand'!E64</f>
        <v>20184.370000000003</v>
      </c>
      <c r="BC64" s="43">
        <f>'Quarter demand'!F64</f>
        <v>-1449.0999999999949</v>
      </c>
      <c r="BD64" s="43">
        <f>'Quarter demand'!G64</f>
        <v>11493.84</v>
      </c>
      <c r="BE64" s="43">
        <f>'Quarter demand'!H64</f>
        <v>1706.42</v>
      </c>
      <c r="BF64" s="43">
        <f>'Quarter demand'!I64</f>
        <v>4407.08</v>
      </c>
      <c r="BG64" s="54">
        <f>'Quarter demand'!J64</f>
        <v>326.78999999999996</v>
      </c>
    </row>
    <row r="65" spans="1:59" ht="15.5" x14ac:dyDescent="0.35">
      <c r="A65" s="50" t="s">
        <v>230</v>
      </c>
      <c r="B65" s="43">
        <f t="shared" si="16"/>
        <v>29289.85</v>
      </c>
      <c r="C65" s="52">
        <v>2401.85</v>
      </c>
      <c r="D65" s="52">
        <v>11371.48</v>
      </c>
      <c r="E65" s="52">
        <v>9153.27</v>
      </c>
      <c r="F65" s="52">
        <v>2049.5100000000002</v>
      </c>
      <c r="G65" s="52">
        <v>4313.74</v>
      </c>
      <c r="H65" s="43">
        <f t="shared" si="17"/>
        <v>46817.399999999994</v>
      </c>
      <c r="I65" s="52">
        <v>7463.49</v>
      </c>
      <c r="J65" s="52">
        <v>111.3</v>
      </c>
      <c r="K65" s="52">
        <v>14882.99</v>
      </c>
      <c r="L65" s="52">
        <v>9210.77</v>
      </c>
      <c r="M65" s="52">
        <v>14519.19</v>
      </c>
      <c r="N65" s="52">
        <v>372.85</v>
      </c>
      <c r="O65" s="52">
        <v>256.81</v>
      </c>
      <c r="P65" s="43">
        <f t="shared" si="18"/>
        <v>-17618.41</v>
      </c>
      <c r="Q65" s="52">
        <v>-101.29</v>
      </c>
      <c r="R65" s="52">
        <v>-29.72</v>
      </c>
      <c r="S65" s="52">
        <v>-8642.7900000000009</v>
      </c>
      <c r="T65" s="52">
        <v>-6746</v>
      </c>
      <c r="U65" s="52">
        <v>-2007.57</v>
      </c>
      <c r="V65" s="52">
        <v>-66.099999999999994</v>
      </c>
      <c r="W65" s="52">
        <v>-24.94</v>
      </c>
      <c r="X65" s="43">
        <f t="shared" si="19"/>
        <v>-740.75</v>
      </c>
      <c r="Y65" s="52">
        <v>-740.75</v>
      </c>
      <c r="Z65" s="43">
        <f t="shared" si="20"/>
        <v>1305.55</v>
      </c>
      <c r="AA65" s="52">
        <v>1787.25</v>
      </c>
      <c r="AB65" s="52">
        <v>-28.51</v>
      </c>
      <c r="AC65" s="52">
        <v>-811.33</v>
      </c>
      <c r="AD65" s="52">
        <v>-2.82</v>
      </c>
      <c r="AE65" s="52">
        <v>360.96</v>
      </c>
      <c r="AF65" s="56">
        <v>0</v>
      </c>
      <c r="AG65" s="43">
        <f t="shared" si="23"/>
        <v>59053.64</v>
      </c>
      <c r="AH65" s="43">
        <f t="shared" si="24"/>
        <v>11551.3</v>
      </c>
      <c r="AI65" s="43">
        <f t="shared" si="25"/>
        <v>53.069999999999993</v>
      </c>
      <c r="AJ65" s="43">
        <f t="shared" si="26"/>
        <v>16800.349999999999</v>
      </c>
      <c r="AK65" s="43">
        <f t="shared" si="27"/>
        <v>1721.2000000000005</v>
      </c>
      <c r="AL65" s="43">
        <f t="shared" si="28"/>
        <v>22025.85</v>
      </c>
      <c r="AM65" s="43">
        <f t="shared" si="5"/>
        <v>2356.2600000000002</v>
      </c>
      <c r="AN65" s="43">
        <f t="shared" si="39"/>
        <v>4313.74</v>
      </c>
      <c r="AO65" s="43">
        <f t="shared" si="29"/>
        <v>231.87</v>
      </c>
      <c r="AP65" s="43">
        <f t="shared" si="30"/>
        <v>90.14000000001397</v>
      </c>
      <c r="AQ65" s="43">
        <f t="shared" si="31"/>
        <v>91.050000000001091</v>
      </c>
      <c r="AR65" s="43">
        <f t="shared" si="32"/>
        <v>-2.0999999999999943</v>
      </c>
      <c r="AS65" s="43">
        <f t="shared" si="33"/>
        <v>-72.270000000000437</v>
      </c>
      <c r="AT65" s="43">
        <f t="shared" si="34"/>
        <v>22.260000000005448</v>
      </c>
      <c r="AU65" s="43">
        <f t="shared" si="35"/>
        <v>79.109999999996944</v>
      </c>
      <c r="AV65" s="43">
        <f t="shared" si="36"/>
        <v>-9.9999999997635314E-3</v>
      </c>
      <c r="AW65" s="43">
        <f t="shared" si="37"/>
        <v>0</v>
      </c>
      <c r="AX65" s="43">
        <f t="shared" si="38"/>
        <v>-27.900000000000432</v>
      </c>
      <c r="AY65" s="43">
        <f>'Quarter demand'!B65</f>
        <v>58963.499999999985</v>
      </c>
      <c r="AZ65" s="43">
        <f>'Quarter demand'!C65</f>
        <v>11460.249999999998</v>
      </c>
      <c r="BA65" s="43">
        <f>'Quarter demand'!D65</f>
        <v>55.169999999999987</v>
      </c>
      <c r="BB65" s="43">
        <f>'Quarter demand'!E65</f>
        <v>16872.62</v>
      </c>
      <c r="BC65" s="43">
        <f>'Quarter demand'!F65</f>
        <v>1698.9399999999951</v>
      </c>
      <c r="BD65" s="43">
        <f>'Quarter demand'!G65</f>
        <v>21946.74</v>
      </c>
      <c r="BE65" s="43">
        <f>'Quarter demand'!H65</f>
        <v>2356.27</v>
      </c>
      <c r="BF65" s="43">
        <f>'Quarter demand'!I65</f>
        <v>4313.74</v>
      </c>
      <c r="BG65" s="54">
        <f>'Quarter demand'!J65</f>
        <v>259.77000000000044</v>
      </c>
    </row>
    <row r="66" spans="1:59" ht="15.5" x14ac:dyDescent="0.35">
      <c r="A66" s="50" t="s">
        <v>231</v>
      </c>
      <c r="B66" s="43">
        <f t="shared" si="16"/>
        <v>30113.850000000006</v>
      </c>
      <c r="C66" s="52">
        <v>2339.19</v>
      </c>
      <c r="D66" s="52">
        <v>11598.36</v>
      </c>
      <c r="E66" s="52">
        <v>9447.82</v>
      </c>
      <c r="F66" s="52">
        <v>2026.56</v>
      </c>
      <c r="G66" s="52">
        <v>4701.92</v>
      </c>
      <c r="H66" s="43">
        <f t="shared" si="17"/>
        <v>47367.09</v>
      </c>
      <c r="I66" s="52">
        <v>7767.24</v>
      </c>
      <c r="J66" s="52">
        <v>74.430000000000007</v>
      </c>
      <c r="K66" s="52">
        <v>15867.31</v>
      </c>
      <c r="L66" s="52">
        <v>6973.26</v>
      </c>
      <c r="M66" s="52">
        <v>15967.88</v>
      </c>
      <c r="N66" s="52">
        <v>428.65</v>
      </c>
      <c r="O66" s="52">
        <v>288.32</v>
      </c>
      <c r="P66" s="43">
        <f t="shared" si="18"/>
        <v>-19276.13</v>
      </c>
      <c r="Q66" s="52">
        <v>-140.1</v>
      </c>
      <c r="R66" s="52">
        <v>-25.7</v>
      </c>
      <c r="S66" s="52">
        <v>-9501.08</v>
      </c>
      <c r="T66" s="52">
        <v>-7649.59</v>
      </c>
      <c r="U66" s="52">
        <v>-1865.18</v>
      </c>
      <c r="V66" s="52">
        <v>-48.11</v>
      </c>
      <c r="W66" s="52">
        <v>-46.37</v>
      </c>
      <c r="X66" s="43">
        <f t="shared" si="19"/>
        <v>-669.87</v>
      </c>
      <c r="Y66" s="52">
        <v>-669.87</v>
      </c>
      <c r="Z66" s="43">
        <f t="shared" si="20"/>
        <v>5870.84</v>
      </c>
      <c r="AA66" s="52">
        <v>1707.81</v>
      </c>
      <c r="AB66" s="52">
        <v>65.09</v>
      </c>
      <c r="AC66" s="52">
        <v>608.79999999999995</v>
      </c>
      <c r="AD66" s="52">
        <v>17.079999999999998</v>
      </c>
      <c r="AE66" s="52">
        <v>3472.06</v>
      </c>
      <c r="AF66" s="56">
        <v>0</v>
      </c>
      <c r="AG66" s="43">
        <f t="shared" si="23"/>
        <v>63405.779999999992</v>
      </c>
      <c r="AH66" s="43">
        <f t="shared" si="24"/>
        <v>11674.14</v>
      </c>
      <c r="AI66" s="43">
        <f t="shared" si="25"/>
        <v>113.82000000000001</v>
      </c>
      <c r="AJ66" s="43">
        <f t="shared" si="26"/>
        <v>18573.389999999996</v>
      </c>
      <c r="AK66" s="43">
        <f t="shared" si="27"/>
        <v>-1329.12</v>
      </c>
      <c r="AL66" s="43">
        <f t="shared" si="28"/>
        <v>27022.579999999998</v>
      </c>
      <c r="AM66" s="43">
        <f t="shared" si="5"/>
        <v>2407.1</v>
      </c>
      <c r="AN66" s="43">
        <f t="shared" si="39"/>
        <v>4701.92</v>
      </c>
      <c r="AO66" s="43">
        <f t="shared" si="29"/>
        <v>241.95</v>
      </c>
      <c r="AP66" s="43">
        <f t="shared" si="30"/>
        <v>-4.2800000000061118</v>
      </c>
      <c r="AQ66" s="43">
        <f t="shared" si="31"/>
        <v>-18.270000000000437</v>
      </c>
      <c r="AR66" s="43">
        <f t="shared" si="32"/>
        <v>1.3799999999999955</v>
      </c>
      <c r="AS66" s="43">
        <f t="shared" si="33"/>
        <v>-115.67000000000189</v>
      </c>
      <c r="AT66" s="43">
        <f t="shared" si="34"/>
        <v>12.749999999999091</v>
      </c>
      <c r="AU66" s="43">
        <f t="shared" si="35"/>
        <v>126.2699999999968</v>
      </c>
      <c r="AV66" s="43">
        <f t="shared" si="36"/>
        <v>0</v>
      </c>
      <c r="AW66" s="43">
        <f t="shared" si="37"/>
        <v>-1.0000000000218279E-2</v>
      </c>
      <c r="AX66" s="43">
        <f t="shared" si="38"/>
        <v>-10.730000000000302</v>
      </c>
      <c r="AY66" s="43">
        <f>'Quarter demand'!B66</f>
        <v>63410.06</v>
      </c>
      <c r="AZ66" s="43">
        <f>'Quarter demand'!C66</f>
        <v>11692.41</v>
      </c>
      <c r="BA66" s="43">
        <f>'Quarter demand'!D66</f>
        <v>112.44000000000001</v>
      </c>
      <c r="BB66" s="43">
        <f>'Quarter demand'!E66</f>
        <v>18689.059999999998</v>
      </c>
      <c r="BC66" s="43">
        <f>'Quarter demand'!F66</f>
        <v>-1341.869999999999</v>
      </c>
      <c r="BD66" s="43">
        <f>'Quarter demand'!G66</f>
        <v>26896.31</v>
      </c>
      <c r="BE66" s="43">
        <f>'Quarter demand'!H66</f>
        <v>2407.1000000000004</v>
      </c>
      <c r="BF66" s="43">
        <f>'Quarter demand'!I66</f>
        <v>4701.93</v>
      </c>
      <c r="BG66" s="54">
        <f>'Quarter demand'!J66</f>
        <v>252.68000000000029</v>
      </c>
    </row>
    <row r="67" spans="1:59" ht="15.5" x14ac:dyDescent="0.35">
      <c r="A67" s="50" t="s">
        <v>232</v>
      </c>
      <c r="B67" s="43">
        <f t="shared" si="16"/>
        <v>28773.979999999996</v>
      </c>
      <c r="C67" s="52">
        <v>2137.58</v>
      </c>
      <c r="D67" s="52">
        <v>11382.46</v>
      </c>
      <c r="E67" s="52">
        <v>9373.06</v>
      </c>
      <c r="F67" s="52">
        <v>1795.64</v>
      </c>
      <c r="G67" s="52">
        <v>4085.24</v>
      </c>
      <c r="H67" s="43">
        <f t="shared" si="17"/>
        <v>47425.68</v>
      </c>
      <c r="I67" s="52">
        <v>8742.65</v>
      </c>
      <c r="J67" s="52">
        <v>232.82</v>
      </c>
      <c r="K67" s="52">
        <v>17870.169999999998</v>
      </c>
      <c r="L67" s="52">
        <v>8008.16</v>
      </c>
      <c r="M67" s="52">
        <v>11650.71</v>
      </c>
      <c r="N67" s="52">
        <v>547.97</v>
      </c>
      <c r="O67" s="52">
        <v>373.2</v>
      </c>
      <c r="P67" s="43">
        <f t="shared" si="18"/>
        <v>-20608.989999999998</v>
      </c>
      <c r="Q67" s="52">
        <v>-95.8</v>
      </c>
      <c r="R67" s="52">
        <v>-25.19</v>
      </c>
      <c r="S67" s="52">
        <v>-9452.06</v>
      </c>
      <c r="T67" s="52">
        <v>-7689.89</v>
      </c>
      <c r="U67" s="52">
        <v>-3217.79</v>
      </c>
      <c r="V67" s="52">
        <v>-61.5</v>
      </c>
      <c r="W67" s="52">
        <v>-66.760000000000005</v>
      </c>
      <c r="X67" s="43">
        <f t="shared" si="19"/>
        <v>-870.73</v>
      </c>
      <c r="Y67" s="52">
        <v>-870.73</v>
      </c>
      <c r="Z67" s="43">
        <f t="shared" si="20"/>
        <v>-4590.08</v>
      </c>
      <c r="AA67" s="52">
        <v>-2159.91</v>
      </c>
      <c r="AB67" s="52">
        <v>-69.94</v>
      </c>
      <c r="AC67" s="52">
        <v>-243.75</v>
      </c>
      <c r="AD67" s="52">
        <v>49.99</v>
      </c>
      <c r="AE67" s="52">
        <v>-2166.4699999999998</v>
      </c>
      <c r="AF67" s="56">
        <v>0</v>
      </c>
      <c r="AG67" s="43">
        <f t="shared" si="23"/>
        <v>50129.859999999993</v>
      </c>
      <c r="AH67" s="43">
        <f t="shared" si="24"/>
        <v>8624.52</v>
      </c>
      <c r="AI67" s="43">
        <f t="shared" si="25"/>
        <v>137.69</v>
      </c>
      <c r="AJ67" s="43">
        <f t="shared" si="26"/>
        <v>19556.82</v>
      </c>
      <c r="AK67" s="43">
        <f t="shared" si="27"/>
        <v>-502.47000000000048</v>
      </c>
      <c r="AL67" s="43">
        <f t="shared" si="28"/>
        <v>15639.509999999997</v>
      </c>
      <c r="AM67" s="43">
        <f t="shared" si="5"/>
        <v>2282.11</v>
      </c>
      <c r="AN67" s="43">
        <f t="shared" si="39"/>
        <v>4085.24</v>
      </c>
      <c r="AO67" s="43">
        <f t="shared" si="29"/>
        <v>306.44</v>
      </c>
      <c r="AP67" s="43">
        <f t="shared" si="30"/>
        <v>-158.38000000001193</v>
      </c>
      <c r="AQ67" s="43">
        <f t="shared" si="31"/>
        <v>-90.709999999999127</v>
      </c>
      <c r="AR67" s="43">
        <f t="shared" si="32"/>
        <v>-0.88999999999992951</v>
      </c>
      <c r="AS67" s="43">
        <f t="shared" si="33"/>
        <v>-38.31000000000131</v>
      </c>
      <c r="AT67" s="43">
        <f t="shared" si="34"/>
        <v>-26.560000000000628</v>
      </c>
      <c r="AU67" s="43">
        <f t="shared" si="35"/>
        <v>23.909999999998035</v>
      </c>
      <c r="AV67" s="43">
        <f t="shared" si="36"/>
        <v>-9.9999999997635314E-3</v>
      </c>
      <c r="AW67" s="43">
        <f t="shared" si="37"/>
        <v>0</v>
      </c>
      <c r="AX67" s="43">
        <f t="shared" si="38"/>
        <v>-25.809999999999093</v>
      </c>
      <c r="AY67" s="43">
        <f>'Quarter demand'!B67</f>
        <v>50288.240000000005</v>
      </c>
      <c r="AZ67" s="43">
        <f>'Quarter demand'!C67</f>
        <v>8715.23</v>
      </c>
      <c r="BA67" s="43">
        <f>'Quarter demand'!D67</f>
        <v>138.57999999999993</v>
      </c>
      <c r="BB67" s="43">
        <f>'Quarter demand'!E67</f>
        <v>19595.13</v>
      </c>
      <c r="BC67" s="43">
        <f>'Quarter demand'!F67</f>
        <v>-475.90999999999985</v>
      </c>
      <c r="BD67" s="43">
        <f>'Quarter demand'!G67</f>
        <v>15615.599999999999</v>
      </c>
      <c r="BE67" s="43">
        <f>'Quarter demand'!H67</f>
        <v>2282.12</v>
      </c>
      <c r="BF67" s="43">
        <f>'Quarter demand'!I67</f>
        <v>4085.24</v>
      </c>
      <c r="BG67" s="54">
        <f>'Quarter demand'!J67</f>
        <v>332.24999999999909</v>
      </c>
    </row>
    <row r="68" spans="1:59" ht="15.5" x14ac:dyDescent="0.35">
      <c r="A68" s="50" t="s">
        <v>233</v>
      </c>
      <c r="B68" s="43">
        <f t="shared" si="16"/>
        <v>25296.560000000001</v>
      </c>
      <c r="C68" s="52">
        <v>1788.69</v>
      </c>
      <c r="D68" s="52">
        <v>9963.36</v>
      </c>
      <c r="E68" s="52">
        <v>7480.45</v>
      </c>
      <c r="F68" s="52">
        <v>1431.83</v>
      </c>
      <c r="G68" s="52">
        <v>4632.2299999999996</v>
      </c>
      <c r="H68" s="43">
        <f t="shared" si="17"/>
        <v>40744.230000000003</v>
      </c>
      <c r="I68" s="52">
        <v>8598.86</v>
      </c>
      <c r="J68" s="52">
        <v>167.14</v>
      </c>
      <c r="K68" s="52">
        <v>16563.45</v>
      </c>
      <c r="L68" s="52">
        <v>7440.9</v>
      </c>
      <c r="M68" s="52">
        <v>6887.73</v>
      </c>
      <c r="N68" s="52">
        <v>621.65</v>
      </c>
      <c r="O68" s="52">
        <v>464.5</v>
      </c>
      <c r="P68" s="43">
        <f t="shared" si="18"/>
        <v>-18200.260000000002</v>
      </c>
      <c r="Q68" s="52">
        <v>-71.52</v>
      </c>
      <c r="R68" s="52">
        <v>-14.08</v>
      </c>
      <c r="S68" s="52">
        <v>-8144.88</v>
      </c>
      <c r="T68" s="52">
        <v>-7246.97</v>
      </c>
      <c r="U68" s="52">
        <v>-2588.6799999999998</v>
      </c>
      <c r="V68" s="52">
        <v>-69.77</v>
      </c>
      <c r="W68" s="52">
        <v>-64.36</v>
      </c>
      <c r="X68" s="43">
        <f t="shared" si="19"/>
        <v>-712.1</v>
      </c>
      <c r="Y68" s="52">
        <v>-712.1</v>
      </c>
      <c r="Z68" s="43">
        <f t="shared" si="20"/>
        <v>-2553.59</v>
      </c>
      <c r="AA68" s="52">
        <v>-1939.47</v>
      </c>
      <c r="AB68" s="52">
        <v>-78.989999999999995</v>
      </c>
      <c r="AC68" s="52">
        <v>671.39</v>
      </c>
      <c r="AD68" s="52">
        <v>73.790000000000006</v>
      </c>
      <c r="AE68" s="52">
        <v>-1280.31</v>
      </c>
      <c r="AF68" s="56">
        <v>0</v>
      </c>
      <c r="AG68" s="43">
        <f t="shared" si="23"/>
        <v>44574.84</v>
      </c>
      <c r="AH68" s="43">
        <f t="shared" si="24"/>
        <v>8376.5600000000013</v>
      </c>
      <c r="AI68" s="43">
        <f t="shared" si="25"/>
        <v>74.069999999999979</v>
      </c>
      <c r="AJ68" s="43">
        <f t="shared" si="26"/>
        <v>19053.32</v>
      </c>
      <c r="AK68" s="43">
        <f t="shared" si="27"/>
        <v>-444.38000000000062</v>
      </c>
      <c r="AL68" s="43">
        <f t="shared" si="28"/>
        <v>10499.19</v>
      </c>
      <c r="AM68" s="43">
        <f t="shared" si="5"/>
        <v>1983.71</v>
      </c>
      <c r="AN68" s="43">
        <f t="shared" si="39"/>
        <v>4632.2299999999996</v>
      </c>
      <c r="AO68" s="43">
        <f t="shared" si="29"/>
        <v>400.14</v>
      </c>
      <c r="AP68" s="43">
        <f t="shared" si="30"/>
        <v>-89.710000000006403</v>
      </c>
      <c r="AQ68" s="43">
        <f t="shared" si="31"/>
        <v>-32.449999999998909</v>
      </c>
      <c r="AR68" s="43">
        <f t="shared" si="32"/>
        <v>-0.10000000000003695</v>
      </c>
      <c r="AS68" s="43">
        <f t="shared" si="33"/>
        <v>41.620000000002619</v>
      </c>
      <c r="AT68" s="43">
        <f t="shared" si="34"/>
        <v>-26.249999999999602</v>
      </c>
      <c r="AU68" s="43">
        <f t="shared" si="35"/>
        <v>-36.520000000000437</v>
      </c>
      <c r="AV68" s="43">
        <f t="shared" si="36"/>
        <v>9.9999999999909051E-3</v>
      </c>
      <c r="AW68" s="43">
        <f t="shared" si="37"/>
        <v>0</v>
      </c>
      <c r="AX68" s="43">
        <f t="shared" si="38"/>
        <v>-36.020000000000778</v>
      </c>
      <c r="AY68" s="43">
        <f>'Quarter demand'!B68</f>
        <v>44664.55</v>
      </c>
      <c r="AZ68" s="43">
        <f>'Quarter demand'!C68</f>
        <v>8409.01</v>
      </c>
      <c r="BA68" s="43">
        <f>'Quarter demand'!D68</f>
        <v>74.170000000000016</v>
      </c>
      <c r="BB68" s="43">
        <f>'Quarter demand'!E68</f>
        <v>19011.699999999997</v>
      </c>
      <c r="BC68" s="43">
        <f>'Quarter demand'!F68</f>
        <v>-418.13000000000102</v>
      </c>
      <c r="BD68" s="43">
        <f>'Quarter demand'!G68</f>
        <v>10535.710000000001</v>
      </c>
      <c r="BE68" s="43">
        <f>'Quarter demand'!H68</f>
        <v>1983.7</v>
      </c>
      <c r="BF68" s="43">
        <f>'Quarter demand'!I68</f>
        <v>4632.2300000000005</v>
      </c>
      <c r="BG68" s="54">
        <f>'Quarter demand'!J68</f>
        <v>436.16000000000076</v>
      </c>
    </row>
    <row r="69" spans="1:59" ht="15.5" x14ac:dyDescent="0.35">
      <c r="A69" s="50" t="s">
        <v>234</v>
      </c>
      <c r="B69" s="43">
        <f t="shared" si="16"/>
        <v>29198.83</v>
      </c>
      <c r="C69" s="52">
        <v>1707.83</v>
      </c>
      <c r="D69" s="52">
        <v>11524.3</v>
      </c>
      <c r="E69" s="52">
        <v>9029.1200000000008</v>
      </c>
      <c r="F69" s="52">
        <v>1894.88</v>
      </c>
      <c r="G69" s="52">
        <v>5042.7</v>
      </c>
      <c r="H69" s="43">
        <f t="shared" si="17"/>
        <v>45163.600000000006</v>
      </c>
      <c r="I69" s="52">
        <v>7779.27</v>
      </c>
      <c r="J69" s="52">
        <v>118.93</v>
      </c>
      <c r="K69" s="52">
        <v>14188.03</v>
      </c>
      <c r="L69" s="52">
        <v>9458.56</v>
      </c>
      <c r="M69" s="52">
        <v>12632.37</v>
      </c>
      <c r="N69" s="52">
        <v>604.91</v>
      </c>
      <c r="O69" s="52">
        <v>381.53</v>
      </c>
      <c r="P69" s="43">
        <f t="shared" si="18"/>
        <v>-17881.89</v>
      </c>
      <c r="Q69" s="52">
        <v>-140.47999999999999</v>
      </c>
      <c r="R69" s="52">
        <v>-18.440000000000001</v>
      </c>
      <c r="S69" s="52">
        <v>-9094.36</v>
      </c>
      <c r="T69" s="52">
        <v>-6713.73</v>
      </c>
      <c r="U69" s="52">
        <v>-1757.76</v>
      </c>
      <c r="V69" s="52">
        <v>-67.89</v>
      </c>
      <c r="W69" s="52">
        <v>-89.23</v>
      </c>
      <c r="X69" s="43">
        <f t="shared" si="19"/>
        <v>-630.27</v>
      </c>
      <c r="Y69" s="52">
        <v>-630.27</v>
      </c>
      <c r="Z69" s="43">
        <f t="shared" si="20"/>
        <v>458.54999999999995</v>
      </c>
      <c r="AA69" s="52">
        <v>735.84</v>
      </c>
      <c r="AB69" s="52">
        <v>-3.34</v>
      </c>
      <c r="AC69" s="52">
        <v>-245.1</v>
      </c>
      <c r="AD69" s="52">
        <v>-56.97</v>
      </c>
      <c r="AE69" s="52">
        <v>28.12</v>
      </c>
      <c r="AF69" s="56">
        <v>0</v>
      </c>
      <c r="AG69" s="43">
        <f t="shared" si="23"/>
        <v>56308.820000000007</v>
      </c>
      <c r="AH69" s="43">
        <f t="shared" si="24"/>
        <v>10082.460000000001</v>
      </c>
      <c r="AI69" s="43">
        <f t="shared" si="25"/>
        <v>97.15</v>
      </c>
      <c r="AJ69" s="43">
        <f t="shared" si="26"/>
        <v>16372.87</v>
      </c>
      <c r="AK69" s="43">
        <f t="shared" si="27"/>
        <v>2057.59</v>
      </c>
      <c r="AL69" s="43">
        <f t="shared" si="28"/>
        <v>19931.850000000002</v>
      </c>
      <c r="AM69" s="43">
        <f t="shared" si="5"/>
        <v>2431.9</v>
      </c>
      <c r="AN69" s="43">
        <f t="shared" si="39"/>
        <v>5042.7</v>
      </c>
      <c r="AO69" s="43">
        <f t="shared" si="29"/>
        <v>292.29999999999995</v>
      </c>
      <c r="AP69" s="43">
        <f t="shared" si="30"/>
        <v>16.850000000013097</v>
      </c>
      <c r="AQ69" s="43">
        <f t="shared" si="31"/>
        <v>-7.81999999999789</v>
      </c>
      <c r="AR69" s="43">
        <f t="shared" si="32"/>
        <v>-0.22999999999996135</v>
      </c>
      <c r="AS69" s="43">
        <f t="shared" si="33"/>
        <v>8.3800000000010186</v>
      </c>
      <c r="AT69" s="43">
        <f t="shared" si="34"/>
        <v>-14.029999999998836</v>
      </c>
      <c r="AU69" s="43">
        <f t="shared" si="35"/>
        <v>53.870000000002619</v>
      </c>
      <c r="AV69" s="43">
        <f t="shared" si="36"/>
        <v>1.0000000000218279E-2</v>
      </c>
      <c r="AW69" s="43">
        <f t="shared" si="37"/>
        <v>0</v>
      </c>
      <c r="AX69" s="43">
        <f t="shared" si="38"/>
        <v>-23.329999999999245</v>
      </c>
      <c r="AY69" s="43">
        <f>'Quarter demand'!B69</f>
        <v>56291.969999999994</v>
      </c>
      <c r="AZ69" s="43">
        <f>'Quarter demand'!C69</f>
        <v>10090.279999999999</v>
      </c>
      <c r="BA69" s="43">
        <f>'Quarter demand'!D69</f>
        <v>97.379999999999967</v>
      </c>
      <c r="BB69" s="43">
        <f>'Quarter demand'!E69</f>
        <v>16364.49</v>
      </c>
      <c r="BC69" s="43">
        <f>'Quarter demand'!F69</f>
        <v>2071.619999999999</v>
      </c>
      <c r="BD69" s="43">
        <f>'Quarter demand'!G69</f>
        <v>19877.98</v>
      </c>
      <c r="BE69" s="43">
        <f>'Quarter demand'!H69</f>
        <v>2431.89</v>
      </c>
      <c r="BF69" s="43">
        <f>'Quarter demand'!I69</f>
        <v>5042.7</v>
      </c>
      <c r="BG69" s="54">
        <f>'Quarter demand'!J69</f>
        <v>315.6299999999992</v>
      </c>
    </row>
    <row r="70" spans="1:59" ht="15.5" x14ac:dyDescent="0.35">
      <c r="A70" s="50" t="s">
        <v>235</v>
      </c>
      <c r="B70" s="43">
        <f t="shared" si="16"/>
        <v>30323.700000000004</v>
      </c>
      <c r="C70" s="52">
        <v>1773.18</v>
      </c>
      <c r="D70" s="52">
        <v>12099.28</v>
      </c>
      <c r="E70" s="52">
        <v>9668.58</v>
      </c>
      <c r="F70" s="52">
        <v>2008.56</v>
      </c>
      <c r="G70" s="52">
        <v>4774.1000000000004</v>
      </c>
      <c r="H70" s="43">
        <f t="shared" si="17"/>
        <v>44014.30000000001</v>
      </c>
      <c r="I70" s="52">
        <v>8208.1200000000008</v>
      </c>
      <c r="J70" s="52">
        <v>145.09</v>
      </c>
      <c r="K70" s="52">
        <v>14243.08</v>
      </c>
      <c r="L70" s="52">
        <v>7630.76</v>
      </c>
      <c r="M70" s="52">
        <v>12605.12</v>
      </c>
      <c r="N70" s="52">
        <v>692.01</v>
      </c>
      <c r="O70" s="52">
        <v>490.12</v>
      </c>
      <c r="P70" s="43">
        <f t="shared" si="18"/>
        <v>-17952.440000000002</v>
      </c>
      <c r="Q70" s="52">
        <v>-96.58</v>
      </c>
      <c r="R70" s="52">
        <v>-28.67</v>
      </c>
      <c r="S70" s="52">
        <v>-8751.4</v>
      </c>
      <c r="T70" s="52">
        <v>-6962.62</v>
      </c>
      <c r="U70" s="52">
        <v>-1965.74</v>
      </c>
      <c r="V70" s="52">
        <v>-77.97</v>
      </c>
      <c r="W70" s="52">
        <v>-69.459999999999994</v>
      </c>
      <c r="X70" s="43">
        <f t="shared" si="19"/>
        <v>-660.16</v>
      </c>
      <c r="Y70" s="52">
        <v>-660.16</v>
      </c>
      <c r="Z70" s="43">
        <f t="shared" si="20"/>
        <v>1825.42</v>
      </c>
      <c r="AA70" s="52">
        <v>363.43</v>
      </c>
      <c r="AB70" s="52">
        <v>30</v>
      </c>
      <c r="AC70" s="52">
        <v>-313.64</v>
      </c>
      <c r="AD70" s="52">
        <v>284.58</v>
      </c>
      <c r="AE70" s="52">
        <v>1461.05</v>
      </c>
      <c r="AF70" s="56">
        <v>0</v>
      </c>
      <c r="AG70" s="43">
        <f t="shared" si="23"/>
        <v>57550.82</v>
      </c>
      <c r="AH70" s="43">
        <f t="shared" ref="AH70:AH100" si="40">C70+I70+Q70+AA70</f>
        <v>10248.150000000001</v>
      </c>
      <c r="AI70" s="43">
        <f t="shared" ref="AI70:AI100" si="41">J70+R70+AB70</f>
        <v>146.42000000000002</v>
      </c>
      <c r="AJ70" s="43">
        <f t="shared" ref="AJ70:AJ100" si="42">D70+K70+S70+AC70</f>
        <v>17277.32</v>
      </c>
      <c r="AK70" s="43">
        <f t="shared" ref="AK70:AK100" si="43">L70+T70+Y70+AD70</f>
        <v>292.56000000000034</v>
      </c>
      <c r="AL70" s="43">
        <f t="shared" ref="AL70:AL100" si="44">E70+M70+U70+AE70</f>
        <v>21769.01</v>
      </c>
      <c r="AM70" s="43">
        <f t="shared" ref="AM70:AM98" si="45">F70+N70+V70+AF70</f>
        <v>2622.6</v>
      </c>
      <c r="AN70" s="43">
        <f t="shared" si="39"/>
        <v>4774.1000000000004</v>
      </c>
      <c r="AO70" s="43">
        <f t="shared" ref="AO70:AO100" si="46">O70+W70</f>
        <v>420.66</v>
      </c>
      <c r="AP70" s="43">
        <f t="shared" ref="AP70:AP100" si="47">AG70-AY70</f>
        <v>-31.44999999999709</v>
      </c>
      <c r="AQ70" s="43">
        <f t="shared" ref="AQ70:AQ100" si="48">AH70-AZ70</f>
        <v>72.230000000001382</v>
      </c>
      <c r="AR70" s="43">
        <f t="shared" ref="AR70:AR100" si="49">AI70-BA70</f>
        <v>-1.7700000000001239</v>
      </c>
      <c r="AS70" s="43">
        <f t="shared" ref="AS70:AS100" si="50">AJ70-BB70</f>
        <v>8.5200000000004366</v>
      </c>
      <c r="AT70" s="43">
        <f t="shared" ref="AT70:AT100" si="51">AK70-BC70</f>
        <v>14.010000000001071</v>
      </c>
      <c r="AU70" s="43">
        <f t="shared" ref="AU70:AU100" si="52">AL70-BD70</f>
        <v>-107.52000000000044</v>
      </c>
      <c r="AV70" s="43">
        <f t="shared" ref="AV70:AV100" si="53">AM70-BE70</f>
        <v>0</v>
      </c>
      <c r="AW70" s="43">
        <f t="shared" ref="AW70:AW100" si="54">AN70-BF70</f>
        <v>0</v>
      </c>
      <c r="AX70" s="43">
        <f t="shared" ref="AX70:AX100" si="55">AO70-BG70</f>
        <v>-16.919999999998993</v>
      </c>
      <c r="AY70" s="43">
        <f>'Quarter demand'!B70</f>
        <v>57582.27</v>
      </c>
      <c r="AZ70" s="43">
        <f>'Quarter demand'!C70</f>
        <v>10175.92</v>
      </c>
      <c r="BA70" s="43">
        <f>'Quarter demand'!D70</f>
        <v>148.19000000000014</v>
      </c>
      <c r="BB70" s="43">
        <f>'Quarter demand'!E70</f>
        <v>17268.8</v>
      </c>
      <c r="BC70" s="43">
        <f>'Quarter demand'!F70</f>
        <v>278.54999999999927</v>
      </c>
      <c r="BD70" s="43">
        <f>'Quarter demand'!G70</f>
        <v>21876.53</v>
      </c>
      <c r="BE70" s="43">
        <f>'Quarter demand'!H70</f>
        <v>2622.6</v>
      </c>
      <c r="BF70" s="43">
        <f>'Quarter demand'!I70</f>
        <v>4774.1000000000004</v>
      </c>
      <c r="BG70" s="54">
        <f>'Quarter demand'!J70</f>
        <v>437.57999999999902</v>
      </c>
    </row>
    <row r="71" spans="1:59" ht="15.5" x14ac:dyDescent="0.35">
      <c r="A71" s="50" t="s">
        <v>236</v>
      </c>
      <c r="B71" s="43">
        <f t="shared" ref="B71:B97" si="56">SUM(C71:G71)</f>
        <v>28358.120000000003</v>
      </c>
      <c r="C71" s="52">
        <v>1882.46</v>
      </c>
      <c r="D71" s="52">
        <v>11253.94</v>
      </c>
      <c r="E71" s="52">
        <v>9066.2900000000009</v>
      </c>
      <c r="F71" s="52">
        <v>1689.13</v>
      </c>
      <c r="G71" s="52">
        <v>4466.3</v>
      </c>
      <c r="H71" s="43">
        <f t="shared" si="17"/>
        <v>39890.9</v>
      </c>
      <c r="I71" s="52">
        <v>6953.51</v>
      </c>
      <c r="J71" s="52">
        <v>144.12</v>
      </c>
      <c r="K71" s="52">
        <v>13657.36</v>
      </c>
      <c r="L71" s="52">
        <v>8437.0499999999993</v>
      </c>
      <c r="M71" s="52">
        <v>9356.92</v>
      </c>
      <c r="N71" s="52">
        <v>845.79</v>
      </c>
      <c r="O71" s="52">
        <v>496.15</v>
      </c>
      <c r="P71" s="43">
        <f t="shared" si="18"/>
        <v>-18327.48</v>
      </c>
      <c r="Q71" s="52">
        <v>-59.53</v>
      </c>
      <c r="R71" s="52">
        <v>-21.6</v>
      </c>
      <c r="S71" s="52">
        <v>-8151.59</v>
      </c>
      <c r="T71" s="52">
        <v>-6408.97</v>
      </c>
      <c r="U71" s="52">
        <v>-3530.82</v>
      </c>
      <c r="V71" s="52">
        <v>-95.29</v>
      </c>
      <c r="W71" s="52">
        <v>-59.68</v>
      </c>
      <c r="X71" s="43">
        <f t="shared" si="19"/>
        <v>-597.49</v>
      </c>
      <c r="Y71" s="52">
        <v>-597.49</v>
      </c>
      <c r="Z71" s="43">
        <f t="shared" si="20"/>
        <v>-3022.09</v>
      </c>
      <c r="AA71" s="52">
        <v>-1722.93</v>
      </c>
      <c r="AB71" s="52">
        <v>-65.209999999999994</v>
      </c>
      <c r="AC71" s="52">
        <v>71.12</v>
      </c>
      <c r="AD71" s="52">
        <v>248.84</v>
      </c>
      <c r="AE71" s="52">
        <v>-1553.91</v>
      </c>
      <c r="AF71" s="56">
        <v>0</v>
      </c>
      <c r="AG71" s="43">
        <f t="shared" si="23"/>
        <v>46301.96</v>
      </c>
      <c r="AH71" s="43">
        <f t="shared" si="40"/>
        <v>7053.51</v>
      </c>
      <c r="AI71" s="43">
        <f t="shared" si="41"/>
        <v>57.310000000000016</v>
      </c>
      <c r="AJ71" s="43">
        <f t="shared" si="42"/>
        <v>16830.830000000002</v>
      </c>
      <c r="AK71" s="43">
        <f t="shared" si="43"/>
        <v>1679.4299999999989</v>
      </c>
      <c r="AL71" s="43">
        <f t="shared" si="44"/>
        <v>13338.48</v>
      </c>
      <c r="AM71" s="43">
        <f t="shared" si="45"/>
        <v>2439.63</v>
      </c>
      <c r="AN71" s="43">
        <f t="shared" ref="AN71:AN100" si="57">G71</f>
        <v>4466.3</v>
      </c>
      <c r="AO71" s="43">
        <f t="shared" si="46"/>
        <v>436.46999999999997</v>
      </c>
      <c r="AP71" s="43">
        <f t="shared" si="47"/>
        <v>-147.64000000000669</v>
      </c>
      <c r="AQ71" s="43">
        <f t="shared" si="48"/>
        <v>-45.409999999998945</v>
      </c>
      <c r="AR71" s="43">
        <f t="shared" si="49"/>
        <v>0.15999999999998238</v>
      </c>
      <c r="AS71" s="43">
        <f t="shared" si="50"/>
        <v>-23.169999999998254</v>
      </c>
      <c r="AT71" s="43">
        <f t="shared" si="51"/>
        <v>22.039999999999509</v>
      </c>
      <c r="AU71" s="43">
        <f t="shared" si="52"/>
        <v>-67.25</v>
      </c>
      <c r="AV71" s="43">
        <f t="shared" si="53"/>
        <v>0</v>
      </c>
      <c r="AW71" s="43">
        <f t="shared" si="54"/>
        <v>0</v>
      </c>
      <c r="AX71" s="43">
        <f t="shared" si="55"/>
        <v>-34.009999999999593</v>
      </c>
      <c r="AY71" s="43">
        <f>'Quarter demand'!B71</f>
        <v>46449.600000000006</v>
      </c>
      <c r="AZ71" s="43">
        <f>'Quarter demand'!C71</f>
        <v>7098.9199999999992</v>
      </c>
      <c r="BA71" s="43">
        <f>'Quarter demand'!D71</f>
        <v>57.150000000000034</v>
      </c>
      <c r="BB71" s="43">
        <f>'Quarter demand'!E71</f>
        <v>16854</v>
      </c>
      <c r="BC71" s="43">
        <f>'Quarter demand'!F71</f>
        <v>1657.3899999999994</v>
      </c>
      <c r="BD71" s="43">
        <f>'Quarter demand'!G71</f>
        <v>13405.73</v>
      </c>
      <c r="BE71" s="43">
        <f>'Quarter demand'!H71</f>
        <v>2439.63</v>
      </c>
      <c r="BF71" s="43">
        <f>'Quarter demand'!I71</f>
        <v>4466.3</v>
      </c>
      <c r="BG71" s="54">
        <f>'Quarter demand'!J71</f>
        <v>470.47999999999956</v>
      </c>
    </row>
    <row r="72" spans="1:59" ht="15.5" x14ac:dyDescent="0.35">
      <c r="A72" s="50" t="s">
        <v>237</v>
      </c>
      <c r="B72" s="43">
        <f t="shared" si="56"/>
        <v>24406.27</v>
      </c>
      <c r="C72" s="52">
        <v>1895.79</v>
      </c>
      <c r="D72" s="52">
        <v>8967.66</v>
      </c>
      <c r="E72" s="52">
        <v>7848.89</v>
      </c>
      <c r="F72" s="52">
        <v>1649.54</v>
      </c>
      <c r="G72" s="52">
        <v>4044.39</v>
      </c>
      <c r="H72" s="43">
        <f t="shared" ref="H72:H103" si="58">SUM(I72:O72)</f>
        <v>38985.449999999997</v>
      </c>
      <c r="I72" s="52">
        <v>5827.33</v>
      </c>
      <c r="J72" s="52">
        <v>201.15</v>
      </c>
      <c r="K72" s="52">
        <v>15270.18</v>
      </c>
      <c r="L72" s="52">
        <v>8364.9599999999991</v>
      </c>
      <c r="M72" s="52">
        <v>7916.54</v>
      </c>
      <c r="N72" s="52">
        <v>886.28</v>
      </c>
      <c r="O72" s="52">
        <v>519.01</v>
      </c>
      <c r="P72" s="43">
        <f t="shared" ref="P72:P103" si="59">SUM(Q72:W72)</f>
        <v>-16950.72</v>
      </c>
      <c r="Q72" s="52">
        <v>-84.18</v>
      </c>
      <c r="R72" s="52">
        <v>-20.38</v>
      </c>
      <c r="S72" s="52">
        <v>-7555.16</v>
      </c>
      <c r="T72" s="52">
        <v>-5691.11</v>
      </c>
      <c r="U72" s="52">
        <v>-3448.14</v>
      </c>
      <c r="V72" s="52">
        <v>-99.85</v>
      </c>
      <c r="W72" s="52">
        <v>-51.9</v>
      </c>
      <c r="X72" s="43">
        <f t="shared" ref="X72:X103" si="60">Y72</f>
        <v>-740.36</v>
      </c>
      <c r="Y72" s="52">
        <v>-740.36</v>
      </c>
      <c r="Z72" s="43">
        <f t="shared" ref="Z72:Z95" si="61">SUM(AA72:AF72)</f>
        <v>-2807.9900000000002</v>
      </c>
      <c r="AA72" s="52">
        <v>-2006.11</v>
      </c>
      <c r="AB72" s="52">
        <v>-53.6</v>
      </c>
      <c r="AC72" s="52">
        <v>218.34</v>
      </c>
      <c r="AD72" s="52">
        <v>-359.83</v>
      </c>
      <c r="AE72" s="52">
        <v>-606.79</v>
      </c>
      <c r="AF72" s="56">
        <v>0</v>
      </c>
      <c r="AG72" s="43">
        <f t="shared" si="23"/>
        <v>42892.65</v>
      </c>
      <c r="AH72" s="43">
        <f t="shared" si="40"/>
        <v>5632.83</v>
      </c>
      <c r="AI72" s="43">
        <f t="shared" si="41"/>
        <v>127.17000000000002</v>
      </c>
      <c r="AJ72" s="43">
        <f t="shared" si="42"/>
        <v>16901.02</v>
      </c>
      <c r="AK72" s="43">
        <f t="shared" si="43"/>
        <v>1573.6599999999994</v>
      </c>
      <c r="AL72" s="43">
        <f t="shared" si="44"/>
        <v>11710.5</v>
      </c>
      <c r="AM72" s="43">
        <f t="shared" si="45"/>
        <v>2435.9699999999998</v>
      </c>
      <c r="AN72" s="43">
        <f t="shared" si="57"/>
        <v>4044.39</v>
      </c>
      <c r="AO72" s="43">
        <f t="shared" si="46"/>
        <v>467.11</v>
      </c>
      <c r="AP72" s="43">
        <f t="shared" si="47"/>
        <v>-244.10999999999331</v>
      </c>
      <c r="AQ72" s="43">
        <f t="shared" si="48"/>
        <v>-93.039999999999964</v>
      </c>
      <c r="AR72" s="43">
        <f t="shared" si="49"/>
        <v>-2.6899999999999409</v>
      </c>
      <c r="AS72" s="43">
        <f t="shared" si="50"/>
        <v>-36.419999999998254</v>
      </c>
      <c r="AT72" s="43">
        <f t="shared" si="51"/>
        <v>-26.330000000000382</v>
      </c>
      <c r="AU72" s="43">
        <f t="shared" si="52"/>
        <v>-57.490000000001601</v>
      </c>
      <c r="AV72" s="43">
        <f t="shared" si="53"/>
        <v>0</v>
      </c>
      <c r="AW72" s="43">
        <f t="shared" si="54"/>
        <v>0</v>
      </c>
      <c r="AX72" s="43">
        <f t="shared" si="55"/>
        <v>-28.139999999999986</v>
      </c>
      <c r="AY72" s="43">
        <f>'Quarter demand'!B72</f>
        <v>43136.759999999995</v>
      </c>
      <c r="AZ72" s="43">
        <f>'Quarter demand'!C72</f>
        <v>5725.87</v>
      </c>
      <c r="BA72" s="43">
        <f>'Quarter demand'!D72</f>
        <v>129.85999999999996</v>
      </c>
      <c r="BB72" s="43">
        <f>'Quarter demand'!E72</f>
        <v>16937.439999999999</v>
      </c>
      <c r="BC72" s="43">
        <f>'Quarter demand'!F72</f>
        <v>1599.9899999999998</v>
      </c>
      <c r="BD72" s="43">
        <f>'Quarter demand'!G72</f>
        <v>11767.990000000002</v>
      </c>
      <c r="BE72" s="43">
        <f>'Quarter demand'!H72</f>
        <v>2435.9700000000003</v>
      </c>
      <c r="BF72" s="43">
        <f>'Quarter demand'!I72</f>
        <v>4044.39</v>
      </c>
      <c r="BG72" s="54">
        <f>'Quarter demand'!J72</f>
        <v>495.25</v>
      </c>
    </row>
    <row r="73" spans="1:59" ht="15.5" x14ac:dyDescent="0.35">
      <c r="A73" s="50" t="s">
        <v>238</v>
      </c>
      <c r="B73" s="43">
        <f t="shared" si="56"/>
        <v>28990.59</v>
      </c>
      <c r="C73" s="52">
        <v>1737.65</v>
      </c>
      <c r="D73" s="52">
        <v>11384.58</v>
      </c>
      <c r="E73" s="52">
        <v>9177.7000000000007</v>
      </c>
      <c r="F73" s="52">
        <v>2522.13</v>
      </c>
      <c r="G73" s="52">
        <v>4168.53</v>
      </c>
      <c r="H73" s="43">
        <f t="shared" si="58"/>
        <v>43816.659999999996</v>
      </c>
      <c r="I73" s="52">
        <v>6592.04</v>
      </c>
      <c r="J73" s="52">
        <v>178.59</v>
      </c>
      <c r="K73" s="52">
        <v>15505.83</v>
      </c>
      <c r="L73" s="52">
        <v>8105.96</v>
      </c>
      <c r="M73" s="52">
        <v>12162.42</v>
      </c>
      <c r="N73" s="52">
        <v>778.55</v>
      </c>
      <c r="O73" s="52">
        <v>493.27</v>
      </c>
      <c r="P73" s="43">
        <f t="shared" si="59"/>
        <v>-17427.189999999999</v>
      </c>
      <c r="Q73" s="52">
        <v>-78.959999999999994</v>
      </c>
      <c r="R73" s="52">
        <v>-9.17</v>
      </c>
      <c r="S73" s="52">
        <v>-9316.1299999999992</v>
      </c>
      <c r="T73" s="52">
        <v>-5828.75</v>
      </c>
      <c r="U73" s="52">
        <v>-2053.34</v>
      </c>
      <c r="V73" s="52">
        <v>-87.72</v>
      </c>
      <c r="W73" s="52">
        <v>-53.12</v>
      </c>
      <c r="X73" s="43">
        <f t="shared" si="60"/>
        <v>-812.16</v>
      </c>
      <c r="Y73" s="52">
        <v>-812.16</v>
      </c>
      <c r="Z73" s="43">
        <f t="shared" si="61"/>
        <v>36.3599999999999</v>
      </c>
      <c r="AA73" s="52">
        <v>23.2</v>
      </c>
      <c r="AB73" s="52">
        <v>-61.76</v>
      </c>
      <c r="AC73" s="52">
        <v>-623.37</v>
      </c>
      <c r="AD73" s="52">
        <v>203.53</v>
      </c>
      <c r="AE73" s="52">
        <v>494.76</v>
      </c>
      <c r="AF73" s="56">
        <v>0</v>
      </c>
      <c r="AG73" s="43">
        <f t="shared" si="23"/>
        <v>54604.26</v>
      </c>
      <c r="AH73" s="43">
        <f t="shared" si="40"/>
        <v>8273.9300000000021</v>
      </c>
      <c r="AI73" s="43">
        <f t="shared" si="41"/>
        <v>107.66000000000003</v>
      </c>
      <c r="AJ73" s="43">
        <f t="shared" si="42"/>
        <v>16950.91</v>
      </c>
      <c r="AK73" s="43">
        <f t="shared" si="43"/>
        <v>1668.5800000000002</v>
      </c>
      <c r="AL73" s="43">
        <f t="shared" si="44"/>
        <v>19781.54</v>
      </c>
      <c r="AM73" s="43">
        <f t="shared" si="45"/>
        <v>3212.9600000000005</v>
      </c>
      <c r="AN73" s="43">
        <f t="shared" si="57"/>
        <v>4168.53</v>
      </c>
      <c r="AO73" s="43">
        <f t="shared" si="46"/>
        <v>440.15</v>
      </c>
      <c r="AP73" s="43">
        <f t="shared" si="47"/>
        <v>-184.21999999999389</v>
      </c>
      <c r="AQ73" s="43">
        <f t="shared" si="48"/>
        <v>-36.759999999998399</v>
      </c>
      <c r="AR73" s="43">
        <f t="shared" si="49"/>
        <v>0.65999999999996817</v>
      </c>
      <c r="AS73" s="43">
        <f t="shared" si="50"/>
        <v>-5.1700000000018917</v>
      </c>
      <c r="AT73" s="43">
        <f t="shared" si="51"/>
        <v>-31.870000000000573</v>
      </c>
      <c r="AU73" s="43">
        <f t="shared" si="52"/>
        <v>-98.400000000001455</v>
      </c>
      <c r="AV73" s="43">
        <f t="shared" si="53"/>
        <v>0</v>
      </c>
      <c r="AW73" s="43">
        <f t="shared" si="54"/>
        <v>9.999999999308784E-3</v>
      </c>
      <c r="AX73" s="43">
        <f t="shared" si="55"/>
        <v>-12.690000000000168</v>
      </c>
      <c r="AY73" s="43">
        <f>'Quarter demand'!B73</f>
        <v>54788.479999999996</v>
      </c>
      <c r="AZ73" s="43">
        <f>'Quarter demand'!C73</f>
        <v>8310.69</v>
      </c>
      <c r="BA73" s="43">
        <f>'Quarter demand'!D73</f>
        <v>107.00000000000006</v>
      </c>
      <c r="BB73" s="43">
        <f>'Quarter demand'!E73</f>
        <v>16956.080000000002</v>
      </c>
      <c r="BC73" s="43">
        <f>'Quarter demand'!F73</f>
        <v>1700.4500000000007</v>
      </c>
      <c r="BD73" s="43">
        <f>'Quarter demand'!G73</f>
        <v>19879.940000000002</v>
      </c>
      <c r="BE73" s="43">
        <f>'Quarter demand'!H73</f>
        <v>3212.96</v>
      </c>
      <c r="BF73" s="43">
        <f>'Quarter demand'!I73</f>
        <v>4168.5200000000004</v>
      </c>
      <c r="BG73" s="54">
        <f>'Quarter demand'!J73</f>
        <v>452.84000000000015</v>
      </c>
    </row>
    <row r="74" spans="1:59" ht="15.5" x14ac:dyDescent="0.35">
      <c r="A74" s="50" t="s">
        <v>239</v>
      </c>
      <c r="B74" s="43">
        <f t="shared" si="56"/>
        <v>31429.1</v>
      </c>
      <c r="C74" s="52">
        <v>1951.56</v>
      </c>
      <c r="D74" s="52">
        <v>11748.71</v>
      </c>
      <c r="E74" s="52">
        <v>9687.0400000000009</v>
      </c>
      <c r="F74" s="52">
        <v>2771.51</v>
      </c>
      <c r="G74" s="52">
        <v>5270.28</v>
      </c>
      <c r="H74" s="43">
        <f t="shared" si="58"/>
        <v>42940.79</v>
      </c>
      <c r="I74" s="52">
        <v>6426.38</v>
      </c>
      <c r="J74" s="52">
        <v>215.19</v>
      </c>
      <c r="K74" s="52">
        <v>13181.04</v>
      </c>
      <c r="L74" s="52">
        <v>8283.5300000000007</v>
      </c>
      <c r="M74" s="52">
        <v>13664.82</v>
      </c>
      <c r="N74" s="52">
        <v>693.75</v>
      </c>
      <c r="O74" s="52">
        <v>476.08</v>
      </c>
      <c r="P74" s="43">
        <f t="shared" si="59"/>
        <v>-16861.809999999998</v>
      </c>
      <c r="Q74" s="52">
        <v>-82.98</v>
      </c>
      <c r="R74" s="52">
        <v>-16.02</v>
      </c>
      <c r="S74" s="52">
        <v>-8850.9599999999991</v>
      </c>
      <c r="T74" s="52">
        <v>-5419.46</v>
      </c>
      <c r="U74" s="52">
        <v>-2366.11</v>
      </c>
      <c r="V74" s="52">
        <v>-76.67</v>
      </c>
      <c r="W74" s="52">
        <v>-49.61</v>
      </c>
      <c r="X74" s="43">
        <f t="shared" si="60"/>
        <v>-591.52</v>
      </c>
      <c r="Y74" s="52">
        <v>-591.52</v>
      </c>
      <c r="Z74" s="43">
        <f t="shared" si="61"/>
        <v>3324.02</v>
      </c>
      <c r="AA74" s="52">
        <v>535.15</v>
      </c>
      <c r="AB74" s="52">
        <v>52</v>
      </c>
      <c r="AC74" s="52">
        <v>-61.54</v>
      </c>
      <c r="AD74" s="52">
        <v>-168.06</v>
      </c>
      <c r="AE74" s="52">
        <v>2966.47</v>
      </c>
      <c r="AF74" s="56">
        <v>0</v>
      </c>
      <c r="AG74" s="43">
        <f t="shared" si="23"/>
        <v>60240.58</v>
      </c>
      <c r="AH74" s="43">
        <f t="shared" si="40"/>
        <v>8830.11</v>
      </c>
      <c r="AI74" s="43">
        <f t="shared" si="41"/>
        <v>251.17</v>
      </c>
      <c r="AJ74" s="43">
        <f t="shared" si="42"/>
        <v>16017.25</v>
      </c>
      <c r="AK74" s="43">
        <f t="shared" si="43"/>
        <v>2104.4900000000007</v>
      </c>
      <c r="AL74" s="43">
        <f t="shared" si="44"/>
        <v>23952.22</v>
      </c>
      <c r="AM74" s="43">
        <f t="shared" si="45"/>
        <v>3388.59</v>
      </c>
      <c r="AN74" s="43">
        <f t="shared" si="57"/>
        <v>5270.28</v>
      </c>
      <c r="AO74" s="43">
        <f t="shared" si="46"/>
        <v>426.46999999999997</v>
      </c>
      <c r="AP74" s="43">
        <f t="shared" si="47"/>
        <v>-23.339999999996508</v>
      </c>
      <c r="AQ74" s="43">
        <f t="shared" si="48"/>
        <v>67.06000000000131</v>
      </c>
      <c r="AR74" s="43">
        <f t="shared" si="49"/>
        <v>2.160000000000025</v>
      </c>
      <c r="AS74" s="43">
        <f t="shared" si="50"/>
        <v>-22.789999999999054</v>
      </c>
      <c r="AT74" s="43">
        <f t="shared" si="51"/>
        <v>17.639999999998508</v>
      </c>
      <c r="AU74" s="43">
        <f t="shared" si="52"/>
        <v>-119.29000000000087</v>
      </c>
      <c r="AV74" s="43">
        <f t="shared" si="53"/>
        <v>0</v>
      </c>
      <c r="AW74" s="43">
        <f t="shared" si="54"/>
        <v>0</v>
      </c>
      <c r="AX74" s="43">
        <f t="shared" si="55"/>
        <v>31.880000000000734</v>
      </c>
      <c r="AY74" s="43">
        <f>'Quarter demand'!B74</f>
        <v>60263.92</v>
      </c>
      <c r="AZ74" s="43">
        <f>'Quarter demand'!C74</f>
        <v>8763.0499999999993</v>
      </c>
      <c r="BA74" s="43">
        <f>'Quarter demand'!D74</f>
        <v>249.00999999999996</v>
      </c>
      <c r="BB74" s="43">
        <f>'Quarter demand'!E74</f>
        <v>16040.039999999999</v>
      </c>
      <c r="BC74" s="43">
        <f>'Quarter demand'!F74</f>
        <v>2086.8500000000022</v>
      </c>
      <c r="BD74" s="43">
        <f>'Quarter demand'!G74</f>
        <v>24071.510000000002</v>
      </c>
      <c r="BE74" s="43">
        <f>'Quarter demand'!H74</f>
        <v>3388.59</v>
      </c>
      <c r="BF74" s="43">
        <f>'Quarter demand'!I74</f>
        <v>5270.28</v>
      </c>
      <c r="BG74" s="54">
        <f>'Quarter demand'!J74</f>
        <v>394.58999999999924</v>
      </c>
    </row>
    <row r="75" spans="1:59" ht="15.5" x14ac:dyDescent="0.35">
      <c r="A75" s="50" t="s">
        <v>240</v>
      </c>
      <c r="B75" s="43">
        <f t="shared" si="56"/>
        <v>31671.25</v>
      </c>
      <c r="C75" s="52">
        <v>1525.62</v>
      </c>
      <c r="D75" s="52">
        <v>13188.13</v>
      </c>
      <c r="E75" s="52">
        <v>10200.11</v>
      </c>
      <c r="F75" s="52">
        <v>1928.14</v>
      </c>
      <c r="G75" s="52">
        <v>4829.25</v>
      </c>
      <c r="H75" s="43">
        <f t="shared" si="58"/>
        <v>35941.620000000003</v>
      </c>
      <c r="I75" s="52">
        <v>3191.66</v>
      </c>
      <c r="J75" s="52">
        <v>206.44</v>
      </c>
      <c r="K75" s="52">
        <v>13179.37</v>
      </c>
      <c r="L75" s="52">
        <v>9695.85</v>
      </c>
      <c r="M75" s="52">
        <v>8186.23</v>
      </c>
      <c r="N75" s="52">
        <v>957.14</v>
      </c>
      <c r="O75" s="52">
        <v>524.92999999999995</v>
      </c>
      <c r="P75" s="43">
        <f t="shared" si="59"/>
        <v>-19319.400000000001</v>
      </c>
      <c r="Q75" s="52">
        <v>-56.56</v>
      </c>
      <c r="R75" s="52">
        <v>-52.55</v>
      </c>
      <c r="S75" s="52">
        <v>-10180.280000000001</v>
      </c>
      <c r="T75" s="52">
        <v>-5514.98</v>
      </c>
      <c r="U75" s="52">
        <v>-3383.99</v>
      </c>
      <c r="V75" s="52">
        <v>-87.7</v>
      </c>
      <c r="W75" s="52">
        <v>-43.34</v>
      </c>
      <c r="X75" s="43">
        <f t="shared" si="60"/>
        <v>-747.35</v>
      </c>
      <c r="Y75" s="52">
        <v>-747.35</v>
      </c>
      <c r="Z75" s="43">
        <f t="shared" si="61"/>
        <v>-755.30000000000007</v>
      </c>
      <c r="AA75" s="52">
        <v>871.6</v>
      </c>
      <c r="AB75" s="52">
        <v>26.55</v>
      </c>
      <c r="AC75" s="52">
        <v>-418.58</v>
      </c>
      <c r="AD75" s="52">
        <v>-285.43</v>
      </c>
      <c r="AE75" s="52">
        <v>-949.44</v>
      </c>
      <c r="AF75" s="56">
        <v>0</v>
      </c>
      <c r="AG75" s="43">
        <f t="shared" si="23"/>
        <v>46790.819999999992</v>
      </c>
      <c r="AH75" s="43">
        <f t="shared" si="40"/>
        <v>5532.32</v>
      </c>
      <c r="AI75" s="43">
        <f t="shared" si="41"/>
        <v>180.44</v>
      </c>
      <c r="AJ75" s="43">
        <f t="shared" si="42"/>
        <v>15768.64</v>
      </c>
      <c r="AK75" s="43">
        <f t="shared" si="43"/>
        <v>3148.0900000000011</v>
      </c>
      <c r="AL75" s="43">
        <f t="shared" si="44"/>
        <v>14052.91</v>
      </c>
      <c r="AM75" s="43">
        <f t="shared" si="45"/>
        <v>2797.5800000000004</v>
      </c>
      <c r="AN75" s="43">
        <f t="shared" si="57"/>
        <v>4829.25</v>
      </c>
      <c r="AO75" s="43">
        <f t="shared" si="46"/>
        <v>481.58999999999992</v>
      </c>
      <c r="AP75" s="43">
        <f t="shared" si="47"/>
        <v>15.819999999992433</v>
      </c>
      <c r="AQ75" s="43">
        <f t="shared" si="48"/>
        <v>21.829999999999927</v>
      </c>
      <c r="AR75" s="43">
        <f t="shared" si="49"/>
        <v>-1.8800000000000523</v>
      </c>
      <c r="AS75" s="43">
        <f t="shared" si="50"/>
        <v>-9.070000000001528</v>
      </c>
      <c r="AT75" s="43">
        <f t="shared" si="51"/>
        <v>-8.0300000000015643</v>
      </c>
      <c r="AU75" s="43">
        <f t="shared" si="52"/>
        <v>-16.049999999999272</v>
      </c>
      <c r="AV75" s="43">
        <f t="shared" si="53"/>
        <v>2.0000000000891305E-2</v>
      </c>
      <c r="AW75" s="43">
        <f t="shared" si="54"/>
        <v>0</v>
      </c>
      <c r="AX75" s="43">
        <f t="shared" si="55"/>
        <v>28.999999999999773</v>
      </c>
      <c r="AY75" s="43">
        <f>'Quarter demand'!B75</f>
        <v>46775</v>
      </c>
      <c r="AZ75" s="43">
        <f>'Quarter demand'!C75</f>
        <v>5510.49</v>
      </c>
      <c r="BA75" s="43">
        <f>'Quarter demand'!D75</f>
        <v>182.32000000000005</v>
      </c>
      <c r="BB75" s="43">
        <f>'Quarter demand'!E75</f>
        <v>15777.710000000001</v>
      </c>
      <c r="BC75" s="43">
        <f>'Quarter demand'!F75</f>
        <v>3156.1200000000026</v>
      </c>
      <c r="BD75" s="43">
        <f>'Quarter demand'!G75</f>
        <v>14068.96</v>
      </c>
      <c r="BE75" s="43">
        <f>'Quarter demand'!H75</f>
        <v>2797.5599999999995</v>
      </c>
      <c r="BF75" s="43">
        <f>'Quarter demand'!I75</f>
        <v>4829.25</v>
      </c>
      <c r="BG75" s="54">
        <f>'Quarter demand'!J75</f>
        <v>452.59000000000015</v>
      </c>
    </row>
    <row r="76" spans="1:59" ht="15.5" x14ac:dyDescent="0.35">
      <c r="A76" s="50" t="s">
        <v>241</v>
      </c>
      <c r="B76" s="43">
        <f t="shared" si="56"/>
        <v>27105.83</v>
      </c>
      <c r="C76" s="52">
        <v>894.35</v>
      </c>
      <c r="D76" s="52">
        <v>11376.39</v>
      </c>
      <c r="E76" s="52">
        <v>8545.52</v>
      </c>
      <c r="F76" s="52">
        <v>1704</v>
      </c>
      <c r="G76" s="52">
        <v>4585.57</v>
      </c>
      <c r="H76" s="43">
        <f t="shared" si="58"/>
        <v>36194.32</v>
      </c>
      <c r="I76" s="52">
        <v>2589.73</v>
      </c>
      <c r="J76" s="52">
        <v>152.69</v>
      </c>
      <c r="K76" s="52">
        <v>14209.04</v>
      </c>
      <c r="L76" s="52">
        <v>8651.35</v>
      </c>
      <c r="M76" s="52">
        <v>8998.08</v>
      </c>
      <c r="N76" s="52">
        <v>1059.8599999999999</v>
      </c>
      <c r="O76" s="52">
        <v>533.57000000000005</v>
      </c>
      <c r="P76" s="43">
        <f t="shared" si="59"/>
        <v>-20119.169999999995</v>
      </c>
      <c r="Q76" s="52">
        <v>-77.95</v>
      </c>
      <c r="R76" s="52">
        <v>-5.1100000000000003</v>
      </c>
      <c r="S76" s="52">
        <v>-8653.5499999999993</v>
      </c>
      <c r="T76" s="52">
        <v>-6775.61</v>
      </c>
      <c r="U76" s="52">
        <v>-4487.03</v>
      </c>
      <c r="V76" s="52">
        <v>-95.64</v>
      </c>
      <c r="W76" s="52">
        <v>-24.28</v>
      </c>
      <c r="X76" s="43">
        <f t="shared" si="60"/>
        <v>-733.61</v>
      </c>
      <c r="Y76" s="52">
        <v>-733.61</v>
      </c>
      <c r="Z76" s="43">
        <f t="shared" si="61"/>
        <v>537.42000000000007</v>
      </c>
      <c r="AA76" s="52">
        <v>1160.03</v>
      </c>
      <c r="AB76" s="52">
        <v>-35.630000000000003</v>
      </c>
      <c r="AC76" s="52">
        <v>1060.45</v>
      </c>
      <c r="AD76" s="52">
        <v>-278.64</v>
      </c>
      <c r="AE76" s="52">
        <v>-1368.79</v>
      </c>
      <c r="AF76" s="56">
        <v>0</v>
      </c>
      <c r="AG76" s="43">
        <f t="shared" si="23"/>
        <v>42984.790000000008</v>
      </c>
      <c r="AH76" s="43">
        <f t="shared" si="40"/>
        <v>4566.16</v>
      </c>
      <c r="AI76" s="43">
        <f t="shared" si="41"/>
        <v>111.94999999999999</v>
      </c>
      <c r="AJ76" s="43">
        <f t="shared" si="42"/>
        <v>17992.330000000002</v>
      </c>
      <c r="AK76" s="43">
        <f t="shared" si="43"/>
        <v>863.49000000000058</v>
      </c>
      <c r="AL76" s="43">
        <f t="shared" si="44"/>
        <v>11687.779999999999</v>
      </c>
      <c r="AM76" s="43">
        <f t="shared" si="45"/>
        <v>2668.22</v>
      </c>
      <c r="AN76" s="43">
        <f t="shared" si="57"/>
        <v>4585.57</v>
      </c>
      <c r="AO76" s="43">
        <f t="shared" si="46"/>
        <v>509.29000000000008</v>
      </c>
      <c r="AP76" s="43">
        <f t="shared" si="47"/>
        <v>12.730000000017753</v>
      </c>
      <c r="AQ76" s="43">
        <f t="shared" si="48"/>
        <v>23.119999999999891</v>
      </c>
      <c r="AR76" s="43">
        <f t="shared" si="49"/>
        <v>-0.19000000000005457</v>
      </c>
      <c r="AS76" s="43">
        <f t="shared" si="50"/>
        <v>-20.879999999997381</v>
      </c>
      <c r="AT76" s="43">
        <f t="shared" si="51"/>
        <v>29.960000000009018</v>
      </c>
      <c r="AU76" s="43">
        <f t="shared" si="52"/>
        <v>-45.650000000001455</v>
      </c>
      <c r="AV76" s="43">
        <f t="shared" si="53"/>
        <v>9.9999999997635314E-3</v>
      </c>
      <c r="AW76" s="43">
        <f t="shared" si="54"/>
        <v>-1.0000000000218279E-2</v>
      </c>
      <c r="AX76" s="43">
        <f t="shared" si="55"/>
        <v>26.370000000000914</v>
      </c>
      <c r="AY76" s="43">
        <f>'Quarter demand'!B76</f>
        <v>42972.05999999999</v>
      </c>
      <c r="AZ76" s="43">
        <f>'Quarter demand'!C76</f>
        <v>4543.04</v>
      </c>
      <c r="BA76" s="43">
        <f>'Quarter demand'!D76</f>
        <v>112.14000000000004</v>
      </c>
      <c r="BB76" s="43">
        <f>'Quarter demand'!E76</f>
        <v>18013.21</v>
      </c>
      <c r="BC76" s="43">
        <f>'Quarter demand'!F76</f>
        <v>833.52999999999156</v>
      </c>
      <c r="BD76" s="43">
        <f>'Quarter demand'!G76</f>
        <v>11733.43</v>
      </c>
      <c r="BE76" s="43">
        <f>'Quarter demand'!H76</f>
        <v>2668.21</v>
      </c>
      <c r="BF76" s="43">
        <f>'Quarter demand'!I76</f>
        <v>4585.58</v>
      </c>
      <c r="BG76" s="54">
        <f>'Quarter demand'!J76</f>
        <v>482.91999999999916</v>
      </c>
    </row>
    <row r="77" spans="1:59" ht="15.5" x14ac:dyDescent="0.35">
      <c r="A77" s="50" t="s">
        <v>242</v>
      </c>
      <c r="B77" s="43">
        <f t="shared" si="56"/>
        <v>32791.57</v>
      </c>
      <c r="C77" s="52">
        <v>1012.56</v>
      </c>
      <c r="D77" s="52">
        <v>13230.4</v>
      </c>
      <c r="E77" s="52">
        <v>10414.36</v>
      </c>
      <c r="F77" s="52">
        <v>2687.76</v>
      </c>
      <c r="G77" s="52">
        <v>5446.49</v>
      </c>
      <c r="H77" s="43">
        <f t="shared" si="58"/>
        <v>39931.29</v>
      </c>
      <c r="I77" s="52">
        <v>2677.63</v>
      </c>
      <c r="J77" s="52">
        <v>231.46</v>
      </c>
      <c r="K77" s="52">
        <v>14837.44</v>
      </c>
      <c r="L77" s="52">
        <v>8466.1299999999992</v>
      </c>
      <c r="M77" s="52">
        <v>12277.54</v>
      </c>
      <c r="N77" s="52">
        <v>1001.4</v>
      </c>
      <c r="O77" s="52">
        <v>439.69</v>
      </c>
      <c r="P77" s="43">
        <f t="shared" si="59"/>
        <v>-19901.690000000002</v>
      </c>
      <c r="Q77" s="52">
        <v>-72.12</v>
      </c>
      <c r="R77" s="52">
        <v>-5.67</v>
      </c>
      <c r="S77" s="52">
        <v>-9182.16</v>
      </c>
      <c r="T77" s="52">
        <v>-7014.98</v>
      </c>
      <c r="U77" s="52">
        <v>-3478.83</v>
      </c>
      <c r="V77" s="52">
        <v>-105.63</v>
      </c>
      <c r="W77" s="52">
        <v>-42.3</v>
      </c>
      <c r="X77" s="43">
        <f t="shared" si="60"/>
        <v>-611.11</v>
      </c>
      <c r="Y77" s="52">
        <v>-611.11</v>
      </c>
      <c r="Z77" s="43">
        <f t="shared" si="61"/>
        <v>809.12000000000012</v>
      </c>
      <c r="AA77" s="52">
        <v>1900.24</v>
      </c>
      <c r="AB77" s="52">
        <v>2.89</v>
      </c>
      <c r="AC77" s="52">
        <v>-684.98</v>
      </c>
      <c r="AD77" s="52">
        <v>-63.03</v>
      </c>
      <c r="AE77" s="52">
        <v>-346</v>
      </c>
      <c r="AF77" s="56">
        <v>0</v>
      </c>
      <c r="AG77" s="43">
        <f t="shared" si="23"/>
        <v>53019.18</v>
      </c>
      <c r="AH77" s="43">
        <f t="shared" si="40"/>
        <v>5518.31</v>
      </c>
      <c r="AI77" s="43">
        <f t="shared" si="41"/>
        <v>228.68</v>
      </c>
      <c r="AJ77" s="43">
        <f t="shared" si="42"/>
        <v>18200.7</v>
      </c>
      <c r="AK77" s="43">
        <f t="shared" si="43"/>
        <v>777.00999999999965</v>
      </c>
      <c r="AL77" s="43">
        <f t="shared" si="44"/>
        <v>18867.07</v>
      </c>
      <c r="AM77" s="43">
        <f t="shared" si="45"/>
        <v>3583.53</v>
      </c>
      <c r="AN77" s="43">
        <f t="shared" si="57"/>
        <v>5446.49</v>
      </c>
      <c r="AO77" s="43">
        <f t="shared" si="46"/>
        <v>397.39</v>
      </c>
      <c r="AP77" s="43">
        <f t="shared" si="47"/>
        <v>44.599999999998545</v>
      </c>
      <c r="AQ77" s="43">
        <f t="shared" si="48"/>
        <v>46.450000000001637</v>
      </c>
      <c r="AR77" s="43">
        <f t="shared" si="49"/>
        <v>0.80000000000001137</v>
      </c>
      <c r="AS77" s="43">
        <f t="shared" si="50"/>
        <v>-27.089999999996508</v>
      </c>
      <c r="AT77" s="43">
        <f t="shared" si="51"/>
        <v>41.109999999998195</v>
      </c>
      <c r="AU77" s="43">
        <f t="shared" si="52"/>
        <v>-42.029999999998836</v>
      </c>
      <c r="AV77" s="43">
        <f t="shared" si="53"/>
        <v>-9.9999999997635314E-3</v>
      </c>
      <c r="AW77" s="43">
        <f t="shared" si="54"/>
        <v>0</v>
      </c>
      <c r="AX77" s="43">
        <f t="shared" si="55"/>
        <v>25.36999999999955</v>
      </c>
      <c r="AY77" s="43">
        <f>'Quarter demand'!B77</f>
        <v>52974.58</v>
      </c>
      <c r="AZ77" s="43">
        <f>'Quarter demand'!C77</f>
        <v>5471.8599999999988</v>
      </c>
      <c r="BA77" s="43">
        <f>'Quarter demand'!D77</f>
        <v>227.88</v>
      </c>
      <c r="BB77" s="43">
        <f>'Quarter demand'!E77</f>
        <v>18227.789999999997</v>
      </c>
      <c r="BC77" s="43">
        <f>'Quarter demand'!F77</f>
        <v>735.90000000000146</v>
      </c>
      <c r="BD77" s="43">
        <f>'Quarter demand'!G77</f>
        <v>18909.099999999999</v>
      </c>
      <c r="BE77" s="43">
        <f>'Quarter demand'!H77</f>
        <v>3583.54</v>
      </c>
      <c r="BF77" s="43">
        <f>'Quarter demand'!I77</f>
        <v>5446.49</v>
      </c>
      <c r="BG77" s="54">
        <f>'Quarter demand'!J77</f>
        <v>372.02000000000044</v>
      </c>
    </row>
    <row r="78" spans="1:59" ht="15.5" x14ac:dyDescent="0.35">
      <c r="A78" s="50" t="s">
        <v>243</v>
      </c>
      <c r="B78" s="43">
        <f t="shared" si="56"/>
        <v>32852.550000000003</v>
      </c>
      <c r="C78" s="52">
        <v>687.39</v>
      </c>
      <c r="D78" s="52">
        <v>13791.15</v>
      </c>
      <c r="E78" s="52">
        <v>10206.290000000001</v>
      </c>
      <c r="F78" s="52">
        <v>3151.05</v>
      </c>
      <c r="G78" s="52">
        <v>5016.67</v>
      </c>
      <c r="H78" s="43">
        <f t="shared" si="58"/>
        <v>38794.400000000001</v>
      </c>
      <c r="I78" s="52">
        <v>1911.69</v>
      </c>
      <c r="J78" s="52">
        <v>204.15</v>
      </c>
      <c r="K78" s="52">
        <v>12587.74</v>
      </c>
      <c r="L78" s="52">
        <v>9540.65</v>
      </c>
      <c r="M78" s="52">
        <v>13155.81</v>
      </c>
      <c r="N78" s="52">
        <v>843.94</v>
      </c>
      <c r="O78" s="52">
        <v>550.41999999999996</v>
      </c>
      <c r="P78" s="43">
        <f t="shared" si="59"/>
        <v>-19432.579999999994</v>
      </c>
      <c r="Q78" s="52">
        <v>-74.47</v>
      </c>
      <c r="R78" s="52">
        <v>-4.0199999999999996</v>
      </c>
      <c r="S78" s="52">
        <v>-11046.85</v>
      </c>
      <c r="T78" s="52">
        <v>-6516.15</v>
      </c>
      <c r="U78" s="52">
        <v>-1675.76</v>
      </c>
      <c r="V78" s="52">
        <v>-83.85</v>
      </c>
      <c r="W78" s="52">
        <v>-31.48</v>
      </c>
      <c r="X78" s="43">
        <f t="shared" si="60"/>
        <v>-573.87</v>
      </c>
      <c r="Y78" s="52">
        <v>-573.87</v>
      </c>
      <c r="Z78" s="43">
        <f t="shared" si="61"/>
        <v>5334.48</v>
      </c>
      <c r="AA78" s="52">
        <v>2175.2800000000002</v>
      </c>
      <c r="AB78" s="52">
        <v>-1.33</v>
      </c>
      <c r="AC78" s="52">
        <v>385.85</v>
      </c>
      <c r="AD78" s="52">
        <v>109</v>
      </c>
      <c r="AE78" s="52">
        <v>2665.68</v>
      </c>
      <c r="AF78" s="56">
        <v>0</v>
      </c>
      <c r="AG78" s="43">
        <f t="shared" si="23"/>
        <v>56974.98</v>
      </c>
      <c r="AH78" s="43">
        <f t="shared" si="40"/>
        <v>4699.8900000000003</v>
      </c>
      <c r="AI78" s="43">
        <f t="shared" si="41"/>
        <v>198.79999999999998</v>
      </c>
      <c r="AJ78" s="43">
        <f t="shared" si="42"/>
        <v>15717.89</v>
      </c>
      <c r="AK78" s="43">
        <f t="shared" si="43"/>
        <v>2559.63</v>
      </c>
      <c r="AL78" s="43">
        <f t="shared" si="44"/>
        <v>24352.02</v>
      </c>
      <c r="AM78" s="43">
        <f t="shared" si="45"/>
        <v>3911.1400000000003</v>
      </c>
      <c r="AN78" s="43">
        <f t="shared" si="57"/>
        <v>5016.67</v>
      </c>
      <c r="AO78" s="43">
        <f t="shared" si="46"/>
        <v>518.93999999999994</v>
      </c>
      <c r="AP78" s="43">
        <f t="shared" si="47"/>
        <v>-343.07999999999447</v>
      </c>
      <c r="AQ78" s="43">
        <f t="shared" si="48"/>
        <v>-4.0600000000004002</v>
      </c>
      <c r="AR78" s="43">
        <f t="shared" si="49"/>
        <v>-0.44999999999996021</v>
      </c>
      <c r="AS78" s="43">
        <f t="shared" si="50"/>
        <v>-11.170000000000073</v>
      </c>
      <c r="AT78" s="43">
        <f t="shared" si="51"/>
        <v>-12.420000000000982</v>
      </c>
      <c r="AU78" s="43">
        <f t="shared" si="52"/>
        <v>-321.60999999999694</v>
      </c>
      <c r="AV78" s="43">
        <f t="shared" si="53"/>
        <v>0</v>
      </c>
      <c r="AW78" s="43">
        <f t="shared" si="54"/>
        <v>0</v>
      </c>
      <c r="AX78" s="43">
        <f t="shared" si="55"/>
        <v>6.6299999999995407</v>
      </c>
      <c r="AY78" s="43">
        <f>'Quarter demand'!B78</f>
        <v>57318.06</v>
      </c>
      <c r="AZ78" s="43">
        <f>'Quarter demand'!C78</f>
        <v>4703.9500000000007</v>
      </c>
      <c r="BA78" s="43">
        <f>'Quarter demand'!D78</f>
        <v>199.24999999999994</v>
      </c>
      <c r="BB78" s="43">
        <f>'Quarter demand'!E78</f>
        <v>15729.06</v>
      </c>
      <c r="BC78" s="43">
        <f>'Quarter demand'!F78</f>
        <v>2572.0500000000011</v>
      </c>
      <c r="BD78" s="43">
        <f>'Quarter demand'!G78</f>
        <v>24673.629999999997</v>
      </c>
      <c r="BE78" s="43">
        <f>'Quarter demand'!H78</f>
        <v>3911.1399999999994</v>
      </c>
      <c r="BF78" s="43">
        <f>'Quarter demand'!I78</f>
        <v>5016.67</v>
      </c>
      <c r="BG78" s="54">
        <f>'Quarter demand'!J78</f>
        <v>512.3100000000004</v>
      </c>
    </row>
    <row r="79" spans="1:59" ht="15.5" x14ac:dyDescent="0.35">
      <c r="A79" s="50" t="s">
        <v>244</v>
      </c>
      <c r="B79" s="43">
        <f t="shared" si="56"/>
        <v>30668.470000000005</v>
      </c>
      <c r="C79" s="52">
        <v>661.17</v>
      </c>
      <c r="D79" s="52">
        <v>13252.41</v>
      </c>
      <c r="E79" s="52">
        <v>9691.2900000000009</v>
      </c>
      <c r="F79" s="52">
        <v>2451.2199999999998</v>
      </c>
      <c r="G79" s="52">
        <v>4612.38</v>
      </c>
      <c r="H79" s="43">
        <f t="shared" si="58"/>
        <v>35665.01</v>
      </c>
      <c r="I79" s="52">
        <v>1074.42</v>
      </c>
      <c r="J79" s="52">
        <v>201.93</v>
      </c>
      <c r="K79" s="52">
        <v>12978.89</v>
      </c>
      <c r="L79" s="52">
        <v>10314.42</v>
      </c>
      <c r="M79" s="52">
        <v>9672</v>
      </c>
      <c r="N79" s="52">
        <v>935.31</v>
      </c>
      <c r="O79" s="52">
        <v>488.04</v>
      </c>
      <c r="P79" s="43">
        <f t="shared" si="59"/>
        <v>-18208.560000000001</v>
      </c>
      <c r="Q79" s="52">
        <v>-56.08</v>
      </c>
      <c r="R79" s="52">
        <v>-2.97</v>
      </c>
      <c r="S79" s="52">
        <v>-8736.76</v>
      </c>
      <c r="T79" s="52">
        <v>-6855.91</v>
      </c>
      <c r="U79" s="52">
        <v>-2419.79</v>
      </c>
      <c r="V79" s="52">
        <v>-109.65</v>
      </c>
      <c r="W79" s="52">
        <v>-27.4</v>
      </c>
      <c r="X79" s="43">
        <f t="shared" si="60"/>
        <v>-776.63</v>
      </c>
      <c r="Y79" s="52">
        <v>-776.63</v>
      </c>
      <c r="Z79" s="43">
        <f t="shared" si="61"/>
        <v>-1155.27</v>
      </c>
      <c r="AA79" s="52">
        <v>526.47</v>
      </c>
      <c r="AB79" s="52">
        <v>15.25</v>
      </c>
      <c r="AC79" s="52">
        <v>-531.69000000000005</v>
      </c>
      <c r="AD79" s="52">
        <v>-318.93</v>
      </c>
      <c r="AE79" s="52">
        <v>-846.37</v>
      </c>
      <c r="AF79" s="56">
        <v>0</v>
      </c>
      <c r="AG79" s="43">
        <f t="shared" si="23"/>
        <v>46193.02</v>
      </c>
      <c r="AH79" s="43">
        <f t="shared" si="40"/>
        <v>2205.9800000000005</v>
      </c>
      <c r="AI79" s="43">
        <f t="shared" si="41"/>
        <v>214.21</v>
      </c>
      <c r="AJ79" s="43">
        <f t="shared" si="42"/>
        <v>16962.850000000002</v>
      </c>
      <c r="AK79" s="43">
        <f t="shared" si="43"/>
        <v>2362.9500000000003</v>
      </c>
      <c r="AL79" s="43">
        <f t="shared" si="44"/>
        <v>16097.13</v>
      </c>
      <c r="AM79" s="43">
        <f t="shared" si="45"/>
        <v>3276.8799999999997</v>
      </c>
      <c r="AN79" s="43">
        <f t="shared" si="57"/>
        <v>4612.38</v>
      </c>
      <c r="AO79" s="43">
        <f t="shared" si="46"/>
        <v>460.64000000000004</v>
      </c>
      <c r="AP79" s="43">
        <f t="shared" si="47"/>
        <v>22.819999999992433</v>
      </c>
      <c r="AQ79" s="43">
        <f t="shared" si="48"/>
        <v>6.9200000000005275</v>
      </c>
      <c r="AR79" s="43">
        <f t="shared" si="49"/>
        <v>1.0700000000000216</v>
      </c>
      <c r="AS79" s="43">
        <f t="shared" si="50"/>
        <v>28.159999999999854</v>
      </c>
      <c r="AT79" s="43">
        <f t="shared" si="51"/>
        <v>-55.329999999998563</v>
      </c>
      <c r="AU79" s="43">
        <f t="shared" si="52"/>
        <v>44.449999999998909</v>
      </c>
      <c r="AV79" s="43">
        <f t="shared" si="53"/>
        <v>-1.0000000000218279E-2</v>
      </c>
      <c r="AW79" s="43">
        <f t="shared" si="54"/>
        <v>0</v>
      </c>
      <c r="AX79" s="43">
        <f t="shared" si="55"/>
        <v>-2.4400000000007935</v>
      </c>
      <c r="AY79" s="43">
        <f>'Quarter demand'!B79</f>
        <v>46170.200000000004</v>
      </c>
      <c r="AZ79" s="43">
        <f>'Quarter demand'!C79</f>
        <v>2199.06</v>
      </c>
      <c r="BA79" s="43">
        <f>'Quarter demand'!D79</f>
        <v>213.14</v>
      </c>
      <c r="BB79" s="43">
        <f>'Quarter demand'!E79</f>
        <v>16934.690000000002</v>
      </c>
      <c r="BC79" s="43">
        <f>'Quarter demand'!F79</f>
        <v>2418.2799999999988</v>
      </c>
      <c r="BD79" s="43">
        <f>'Quarter demand'!G79</f>
        <v>16052.68</v>
      </c>
      <c r="BE79" s="43">
        <f>'Quarter demand'!H79</f>
        <v>3276.89</v>
      </c>
      <c r="BF79" s="43">
        <f>'Quarter demand'!I79</f>
        <v>4612.38</v>
      </c>
      <c r="BG79" s="54">
        <f>'Quarter demand'!J79</f>
        <v>463.08000000000084</v>
      </c>
    </row>
    <row r="80" spans="1:59" ht="15.5" x14ac:dyDescent="0.35">
      <c r="A80" s="50" t="s">
        <v>245</v>
      </c>
      <c r="B80" s="43">
        <f t="shared" si="56"/>
        <v>29785.32</v>
      </c>
      <c r="C80" s="52">
        <v>705.55</v>
      </c>
      <c r="D80" s="52">
        <v>12346.35</v>
      </c>
      <c r="E80" s="52">
        <v>9501.1299999999992</v>
      </c>
      <c r="F80" s="52">
        <v>2056.0700000000002</v>
      </c>
      <c r="G80" s="52">
        <v>5176.22</v>
      </c>
      <c r="H80" s="43">
        <f t="shared" si="58"/>
        <v>33190.379999999997</v>
      </c>
      <c r="I80" s="52">
        <v>1145.82</v>
      </c>
      <c r="J80" s="52">
        <v>201.79</v>
      </c>
      <c r="K80" s="52">
        <v>13505.74</v>
      </c>
      <c r="L80" s="52">
        <v>9671.33</v>
      </c>
      <c r="M80" s="52">
        <v>7460.83</v>
      </c>
      <c r="N80" s="52">
        <v>772.53</v>
      </c>
      <c r="O80" s="52">
        <v>432.34</v>
      </c>
      <c r="P80" s="43">
        <f t="shared" si="59"/>
        <v>-20588.89</v>
      </c>
      <c r="Q80" s="52">
        <v>-99.09</v>
      </c>
      <c r="R80" s="52">
        <v>-4.45</v>
      </c>
      <c r="S80" s="52">
        <v>-9013.1</v>
      </c>
      <c r="T80" s="52">
        <v>-6750.41</v>
      </c>
      <c r="U80" s="52">
        <v>-4596.07</v>
      </c>
      <c r="V80" s="52">
        <v>-101.42</v>
      </c>
      <c r="W80" s="52">
        <v>-24.35</v>
      </c>
      <c r="X80" s="43">
        <f t="shared" si="60"/>
        <v>-815.51</v>
      </c>
      <c r="Y80" s="52">
        <v>-815.51</v>
      </c>
      <c r="Z80" s="43">
        <f t="shared" si="61"/>
        <v>159.88000000000011</v>
      </c>
      <c r="AA80" s="52">
        <v>59.31</v>
      </c>
      <c r="AB80" s="52">
        <v>-10.44</v>
      </c>
      <c r="AC80" s="52">
        <v>104.62</v>
      </c>
      <c r="AD80" s="52">
        <v>486.67</v>
      </c>
      <c r="AE80" s="52">
        <v>-480.28</v>
      </c>
      <c r="AF80" s="56">
        <v>0</v>
      </c>
      <c r="AG80" s="43">
        <f t="shared" si="23"/>
        <v>41731.18</v>
      </c>
      <c r="AH80" s="43">
        <f t="shared" si="40"/>
        <v>1811.59</v>
      </c>
      <c r="AI80" s="43">
        <f t="shared" si="41"/>
        <v>186.9</v>
      </c>
      <c r="AJ80" s="43">
        <f t="shared" si="42"/>
        <v>16943.609999999997</v>
      </c>
      <c r="AK80" s="43">
        <f t="shared" si="43"/>
        <v>2592.08</v>
      </c>
      <c r="AL80" s="43">
        <f t="shared" si="44"/>
        <v>11885.609999999999</v>
      </c>
      <c r="AM80" s="43">
        <f t="shared" si="45"/>
        <v>2727.1800000000003</v>
      </c>
      <c r="AN80" s="43">
        <f t="shared" si="57"/>
        <v>5176.22</v>
      </c>
      <c r="AO80" s="43">
        <f t="shared" si="46"/>
        <v>407.98999999999995</v>
      </c>
      <c r="AP80" s="43">
        <f t="shared" si="47"/>
        <v>-78.739999999997963</v>
      </c>
      <c r="AQ80" s="43">
        <f t="shared" si="48"/>
        <v>3.3999999999998636</v>
      </c>
      <c r="AR80" s="43">
        <f t="shared" si="49"/>
        <v>0.81000000000000227</v>
      </c>
      <c r="AS80" s="43">
        <f t="shared" si="50"/>
        <v>-9.3400000000037835</v>
      </c>
      <c r="AT80" s="43">
        <f t="shared" si="51"/>
        <v>40.440000000000509</v>
      </c>
      <c r="AU80" s="43">
        <f t="shared" si="52"/>
        <v>-123.51000000000022</v>
      </c>
      <c r="AV80" s="43">
        <f t="shared" si="53"/>
        <v>-9.999999999308784E-3</v>
      </c>
      <c r="AW80" s="43">
        <f t="shared" si="54"/>
        <v>0</v>
      </c>
      <c r="AX80" s="43">
        <f t="shared" si="55"/>
        <v>9.4699999999995157</v>
      </c>
      <c r="AY80" s="43">
        <f>'Quarter demand'!B80</f>
        <v>41809.919999999998</v>
      </c>
      <c r="AZ80" s="43">
        <f>'Quarter demand'!C80</f>
        <v>1808.19</v>
      </c>
      <c r="BA80" s="43">
        <f>'Quarter demand'!D80</f>
        <v>186.09</v>
      </c>
      <c r="BB80" s="43">
        <f>'Quarter demand'!E80</f>
        <v>16952.95</v>
      </c>
      <c r="BC80" s="43">
        <f>'Quarter demand'!F80</f>
        <v>2551.6399999999994</v>
      </c>
      <c r="BD80" s="43">
        <f>'Quarter demand'!G80</f>
        <v>12009.119999999999</v>
      </c>
      <c r="BE80" s="43">
        <f>'Quarter demand'!H80</f>
        <v>2727.1899999999996</v>
      </c>
      <c r="BF80" s="43">
        <f>'Quarter demand'!I80</f>
        <v>5176.22</v>
      </c>
      <c r="BG80" s="54">
        <f>'Quarter demand'!J80</f>
        <v>398.52000000000044</v>
      </c>
    </row>
    <row r="81" spans="1:59" ht="15.5" x14ac:dyDescent="0.35">
      <c r="A81" s="50" t="s">
        <v>246</v>
      </c>
      <c r="B81" s="43">
        <f t="shared" si="56"/>
        <v>31391.05</v>
      </c>
      <c r="C81" s="52">
        <v>816.13</v>
      </c>
      <c r="D81" s="52">
        <v>12561.77</v>
      </c>
      <c r="E81" s="52">
        <v>10477.27</v>
      </c>
      <c r="F81" s="52">
        <v>2376.6799999999998</v>
      </c>
      <c r="G81" s="52">
        <v>5159.2</v>
      </c>
      <c r="H81" s="43">
        <f t="shared" si="58"/>
        <v>41454</v>
      </c>
      <c r="I81" s="52">
        <v>1881.87</v>
      </c>
      <c r="J81" s="52">
        <v>282.22000000000003</v>
      </c>
      <c r="K81" s="52">
        <v>14395.74</v>
      </c>
      <c r="L81" s="52">
        <v>9222.82</v>
      </c>
      <c r="M81" s="52">
        <v>14123.28</v>
      </c>
      <c r="N81" s="52">
        <v>1297.6400000000001</v>
      </c>
      <c r="O81" s="52">
        <v>250.43</v>
      </c>
      <c r="P81" s="43">
        <f t="shared" si="59"/>
        <v>-17684.89</v>
      </c>
      <c r="Q81" s="52">
        <v>-92.75</v>
      </c>
      <c r="R81" s="52">
        <v>-4.4800000000000004</v>
      </c>
      <c r="S81" s="52">
        <v>-9383.0400000000009</v>
      </c>
      <c r="T81" s="52">
        <v>-6526.37</v>
      </c>
      <c r="U81" s="52">
        <v>-1478.32</v>
      </c>
      <c r="V81" s="52">
        <v>-87.73</v>
      </c>
      <c r="W81" s="52">
        <v>-112.2</v>
      </c>
      <c r="X81" s="43">
        <f t="shared" si="60"/>
        <v>-674.44</v>
      </c>
      <c r="Y81" s="52">
        <v>-674.44</v>
      </c>
      <c r="Z81" s="43">
        <f t="shared" si="61"/>
        <v>354.23999999999995</v>
      </c>
      <c r="AA81" s="52">
        <v>643.52</v>
      </c>
      <c r="AB81" s="52">
        <v>-92.85</v>
      </c>
      <c r="AC81" s="52">
        <v>-94.25</v>
      </c>
      <c r="AD81" s="52">
        <v>-267</v>
      </c>
      <c r="AE81" s="52">
        <v>164.82</v>
      </c>
      <c r="AF81" s="56">
        <v>0</v>
      </c>
      <c r="AG81" s="43">
        <f t="shared" ref="AG81:AG94" si="62">SUM(AH81:AO81)</f>
        <v>54839.96</v>
      </c>
      <c r="AH81" s="43">
        <f t="shared" si="40"/>
        <v>3248.77</v>
      </c>
      <c r="AI81" s="43">
        <f t="shared" si="41"/>
        <v>184.89000000000001</v>
      </c>
      <c r="AJ81" s="43">
        <f t="shared" si="42"/>
        <v>17480.22</v>
      </c>
      <c r="AK81" s="43">
        <f t="shared" si="43"/>
        <v>1755.0099999999998</v>
      </c>
      <c r="AL81" s="43">
        <f t="shared" si="44"/>
        <v>23287.050000000003</v>
      </c>
      <c r="AM81" s="43">
        <f t="shared" si="45"/>
        <v>3586.5899999999997</v>
      </c>
      <c r="AN81" s="43">
        <f t="shared" si="57"/>
        <v>5159.2</v>
      </c>
      <c r="AO81" s="43">
        <f t="shared" si="46"/>
        <v>138.23000000000002</v>
      </c>
      <c r="AP81" s="43">
        <f t="shared" si="47"/>
        <v>27.139999999999418</v>
      </c>
      <c r="AQ81" s="43">
        <f t="shared" si="48"/>
        <v>8.3299999999999272</v>
      </c>
      <c r="AR81" s="43">
        <f t="shared" si="49"/>
        <v>-0.70999999999997954</v>
      </c>
      <c r="AS81" s="43">
        <f t="shared" si="50"/>
        <v>7.9799999999995634</v>
      </c>
      <c r="AT81" s="43">
        <f t="shared" si="51"/>
        <v>-15.000000000000455</v>
      </c>
      <c r="AU81" s="43">
        <f t="shared" si="52"/>
        <v>19.200000000004366</v>
      </c>
      <c r="AV81" s="43">
        <f t="shared" si="53"/>
        <v>9.9999999997635314E-3</v>
      </c>
      <c r="AW81" s="43">
        <f t="shared" si="54"/>
        <v>0</v>
      </c>
      <c r="AX81" s="43">
        <f t="shared" si="55"/>
        <v>7.3299999999994725</v>
      </c>
      <c r="AY81" s="43">
        <f>'Quarter demand'!B81</f>
        <v>54812.82</v>
      </c>
      <c r="AZ81" s="43">
        <f>'Quarter demand'!C81</f>
        <v>3240.44</v>
      </c>
      <c r="BA81" s="43">
        <f>'Quarter demand'!D81</f>
        <v>185.6</v>
      </c>
      <c r="BB81" s="43">
        <f>'Quarter demand'!E81</f>
        <v>17472.240000000002</v>
      </c>
      <c r="BC81" s="43">
        <f>'Quarter demand'!F81</f>
        <v>1770.0100000000002</v>
      </c>
      <c r="BD81" s="43">
        <f>'Quarter demand'!G81</f>
        <v>23267.85</v>
      </c>
      <c r="BE81" s="43">
        <f>'Quarter demand'!H81</f>
        <v>3586.58</v>
      </c>
      <c r="BF81" s="43">
        <f>'Quarter demand'!I81</f>
        <v>5159.2</v>
      </c>
      <c r="BG81" s="54">
        <f>'Quarter demand'!J81</f>
        <v>130.90000000000055</v>
      </c>
    </row>
    <row r="82" spans="1:59" ht="15.5" x14ac:dyDescent="0.35">
      <c r="A82" s="50" t="s">
        <v>247</v>
      </c>
      <c r="B82" s="43">
        <f t="shared" si="56"/>
        <v>32955.67</v>
      </c>
      <c r="C82" s="52">
        <v>604.38</v>
      </c>
      <c r="D82" s="52">
        <v>13161.04</v>
      </c>
      <c r="E82" s="52">
        <v>10718.23</v>
      </c>
      <c r="F82" s="52">
        <v>3275.6</v>
      </c>
      <c r="G82" s="52">
        <v>5196.42</v>
      </c>
      <c r="H82" s="43">
        <f t="shared" si="58"/>
        <v>39531.620000000003</v>
      </c>
      <c r="I82" s="52">
        <v>1600.6</v>
      </c>
      <c r="J82" s="52">
        <v>133.28</v>
      </c>
      <c r="K82" s="52">
        <v>13672.06</v>
      </c>
      <c r="L82" s="52">
        <v>8997.2900000000009</v>
      </c>
      <c r="M82" s="52">
        <v>13901.02</v>
      </c>
      <c r="N82" s="52">
        <v>924.98</v>
      </c>
      <c r="O82" s="52">
        <v>302.39</v>
      </c>
      <c r="P82" s="43">
        <f t="shared" si="59"/>
        <v>-18476.789999999997</v>
      </c>
      <c r="Q82" s="52">
        <v>-84.19</v>
      </c>
      <c r="R82" s="52">
        <v>-4.9800000000000004</v>
      </c>
      <c r="S82" s="52">
        <v>-10748.76</v>
      </c>
      <c r="T82" s="52">
        <v>-6166.07</v>
      </c>
      <c r="U82" s="52">
        <v>-1299.4100000000001</v>
      </c>
      <c r="V82" s="52">
        <v>-95.12</v>
      </c>
      <c r="W82" s="52">
        <v>-78.260000000000005</v>
      </c>
      <c r="X82" s="43">
        <f t="shared" si="60"/>
        <v>-545.08000000000004</v>
      </c>
      <c r="Y82" s="52">
        <v>-545.08000000000004</v>
      </c>
      <c r="Z82" s="43">
        <f t="shared" si="61"/>
        <v>3149.7700000000004</v>
      </c>
      <c r="AA82" s="52">
        <v>1436.97</v>
      </c>
      <c r="AB82" s="52">
        <v>46.15</v>
      </c>
      <c r="AC82" s="52">
        <v>452.99</v>
      </c>
      <c r="AD82" s="52">
        <v>-354.89</v>
      </c>
      <c r="AE82" s="52">
        <v>1568.55</v>
      </c>
      <c r="AF82" s="56">
        <v>0</v>
      </c>
      <c r="AG82" s="43">
        <f t="shared" si="62"/>
        <v>56615.189999999988</v>
      </c>
      <c r="AH82" s="43">
        <f t="shared" si="40"/>
        <v>3557.76</v>
      </c>
      <c r="AI82" s="43">
        <f t="shared" si="41"/>
        <v>174.45000000000002</v>
      </c>
      <c r="AJ82" s="43">
        <f t="shared" si="42"/>
        <v>16537.329999999998</v>
      </c>
      <c r="AK82" s="43">
        <f t="shared" si="43"/>
        <v>1931.2500000000014</v>
      </c>
      <c r="AL82" s="43">
        <f t="shared" si="44"/>
        <v>24888.39</v>
      </c>
      <c r="AM82" s="43">
        <f t="shared" si="45"/>
        <v>4105.46</v>
      </c>
      <c r="AN82" s="43">
        <f t="shared" si="57"/>
        <v>5196.42</v>
      </c>
      <c r="AO82" s="43">
        <f t="shared" si="46"/>
        <v>224.13</v>
      </c>
      <c r="AP82" s="43">
        <f t="shared" si="47"/>
        <v>240.92999999999302</v>
      </c>
      <c r="AQ82" s="43">
        <f t="shared" si="48"/>
        <v>15.360000000000127</v>
      </c>
      <c r="AR82" s="43">
        <f t="shared" si="49"/>
        <v>0.30000000000001137</v>
      </c>
      <c r="AS82" s="43">
        <f t="shared" si="50"/>
        <v>-12.990000000001601</v>
      </c>
      <c r="AT82" s="43">
        <f t="shared" si="51"/>
        <v>40.810000000004493</v>
      </c>
      <c r="AU82" s="43">
        <f t="shared" si="52"/>
        <v>177.11000000000058</v>
      </c>
      <c r="AV82" s="43">
        <f t="shared" si="53"/>
        <v>-1.0000000000218279E-2</v>
      </c>
      <c r="AW82" s="43">
        <f t="shared" si="54"/>
        <v>0</v>
      </c>
      <c r="AX82" s="43">
        <f t="shared" si="55"/>
        <v>20.349999999999341</v>
      </c>
      <c r="AY82" s="43">
        <f>'Quarter demand'!B82</f>
        <v>56374.259999999995</v>
      </c>
      <c r="AZ82" s="43">
        <f>'Quarter demand'!C82</f>
        <v>3542.4</v>
      </c>
      <c r="BA82" s="43">
        <f>'Quarter demand'!D82</f>
        <v>174.15</v>
      </c>
      <c r="BB82" s="43">
        <f>'Quarter demand'!E82</f>
        <v>16550.32</v>
      </c>
      <c r="BC82" s="43">
        <f>'Quarter demand'!F82</f>
        <v>1890.4399999999969</v>
      </c>
      <c r="BD82" s="43">
        <f>'Quarter demand'!G82</f>
        <v>24711.279999999999</v>
      </c>
      <c r="BE82" s="43">
        <f>'Quarter demand'!H82</f>
        <v>4105.47</v>
      </c>
      <c r="BF82" s="43">
        <f>'Quarter demand'!I82</f>
        <v>5196.42</v>
      </c>
      <c r="BG82" s="54">
        <f>'Quarter demand'!J82</f>
        <v>203.78000000000065</v>
      </c>
    </row>
    <row r="83" spans="1:59" ht="15.5" x14ac:dyDescent="0.35">
      <c r="A83" s="50" t="s">
        <v>248</v>
      </c>
      <c r="B83" s="43">
        <f t="shared" si="56"/>
        <v>31588.29</v>
      </c>
      <c r="C83" s="52">
        <v>481.39</v>
      </c>
      <c r="D83" s="52">
        <v>12997.25</v>
      </c>
      <c r="E83" s="52">
        <v>10343.01</v>
      </c>
      <c r="F83" s="52">
        <v>2589.21</v>
      </c>
      <c r="G83" s="52">
        <v>5177.43</v>
      </c>
      <c r="H83" s="43">
        <f t="shared" si="58"/>
        <v>35020.53</v>
      </c>
      <c r="I83" s="52">
        <v>1175.92</v>
      </c>
      <c r="J83" s="52">
        <v>165.57</v>
      </c>
      <c r="K83" s="52">
        <v>15013.35</v>
      </c>
      <c r="L83" s="52">
        <v>9414.57</v>
      </c>
      <c r="M83" s="52">
        <v>7912.77</v>
      </c>
      <c r="N83" s="52">
        <v>867.5</v>
      </c>
      <c r="O83" s="52">
        <v>470.85</v>
      </c>
      <c r="P83" s="43">
        <f t="shared" si="59"/>
        <v>-20752.2</v>
      </c>
      <c r="Q83" s="52">
        <v>-70.03</v>
      </c>
      <c r="R83" s="52">
        <v>-0.36</v>
      </c>
      <c r="S83" s="52">
        <v>-10621.45</v>
      </c>
      <c r="T83" s="52">
        <v>-6363.38</v>
      </c>
      <c r="U83" s="52">
        <v>-3551.57</v>
      </c>
      <c r="V83" s="52">
        <v>-126</v>
      </c>
      <c r="W83" s="52">
        <v>-19.41</v>
      </c>
      <c r="X83" s="43">
        <f t="shared" si="60"/>
        <v>-661.4</v>
      </c>
      <c r="Y83" s="52">
        <v>-661.4</v>
      </c>
      <c r="Z83" s="43">
        <f t="shared" si="61"/>
        <v>77.25</v>
      </c>
      <c r="AA83" s="52">
        <v>-141.51</v>
      </c>
      <c r="AB83" s="52">
        <v>12.23</v>
      </c>
      <c r="AC83" s="52">
        <v>-102.16</v>
      </c>
      <c r="AD83" s="52">
        <v>141</v>
      </c>
      <c r="AE83" s="52">
        <v>167.69</v>
      </c>
      <c r="AF83" s="56">
        <v>0</v>
      </c>
      <c r="AG83" s="43">
        <f t="shared" si="62"/>
        <v>45272.47</v>
      </c>
      <c r="AH83" s="43">
        <f t="shared" si="40"/>
        <v>1445.77</v>
      </c>
      <c r="AI83" s="43">
        <f t="shared" si="41"/>
        <v>177.43999999999997</v>
      </c>
      <c r="AJ83" s="43">
        <f t="shared" si="42"/>
        <v>17286.989999999998</v>
      </c>
      <c r="AK83" s="43">
        <f t="shared" si="43"/>
        <v>2530.7899999999995</v>
      </c>
      <c r="AL83" s="43">
        <f t="shared" si="44"/>
        <v>14871.9</v>
      </c>
      <c r="AM83" s="43">
        <f t="shared" si="45"/>
        <v>3330.71</v>
      </c>
      <c r="AN83" s="43">
        <f t="shared" si="57"/>
        <v>5177.43</v>
      </c>
      <c r="AO83" s="43">
        <f t="shared" si="46"/>
        <v>451.44</v>
      </c>
      <c r="AP83" s="43">
        <f t="shared" si="47"/>
        <v>-49.129999999997381</v>
      </c>
      <c r="AQ83" s="43">
        <f t="shared" si="48"/>
        <v>15.039999999999964</v>
      </c>
      <c r="AR83" s="43">
        <f t="shared" si="49"/>
        <v>2.9999999999972715E-2</v>
      </c>
      <c r="AS83" s="43">
        <f t="shared" si="50"/>
        <v>11.25</v>
      </c>
      <c r="AT83" s="43">
        <f t="shared" si="51"/>
        <v>-6.3100000000063119</v>
      </c>
      <c r="AU83" s="43">
        <f t="shared" si="52"/>
        <v>-82.869999999998981</v>
      </c>
      <c r="AV83" s="43">
        <f t="shared" si="53"/>
        <v>-1.0000000000218279E-2</v>
      </c>
      <c r="AW83" s="43">
        <f t="shared" si="54"/>
        <v>1.0000000000218279E-2</v>
      </c>
      <c r="AX83" s="43">
        <f t="shared" si="55"/>
        <v>13.730000000000871</v>
      </c>
      <c r="AY83" s="43">
        <f>'Quarter demand'!B83</f>
        <v>45321.599999999999</v>
      </c>
      <c r="AZ83" s="43">
        <f>'Quarter demand'!C83</f>
        <v>1430.73</v>
      </c>
      <c r="BA83" s="43">
        <f>'Quarter demand'!D83</f>
        <v>177.41</v>
      </c>
      <c r="BB83" s="43">
        <f>'Quarter demand'!E83</f>
        <v>17275.739999999998</v>
      </c>
      <c r="BC83" s="43">
        <f>'Quarter demand'!F83</f>
        <v>2537.1000000000058</v>
      </c>
      <c r="BD83" s="43">
        <f>'Quarter demand'!G83</f>
        <v>14954.769999999999</v>
      </c>
      <c r="BE83" s="43">
        <f>'Quarter demand'!H83</f>
        <v>3330.7200000000003</v>
      </c>
      <c r="BF83" s="43">
        <f>'Quarter demand'!I83</f>
        <v>5177.42</v>
      </c>
      <c r="BG83" s="54">
        <f>'Quarter demand'!J83</f>
        <v>437.70999999999913</v>
      </c>
    </row>
    <row r="84" spans="1:59" ht="15.5" x14ac:dyDescent="0.35">
      <c r="A84" s="50" t="s">
        <v>249</v>
      </c>
      <c r="B84" s="43">
        <f t="shared" si="56"/>
        <v>28697.49</v>
      </c>
      <c r="C84" s="52">
        <v>490.58</v>
      </c>
      <c r="D84" s="52">
        <v>12293.52</v>
      </c>
      <c r="E84" s="52">
        <v>8440.0300000000007</v>
      </c>
      <c r="F84" s="52">
        <v>2292.39</v>
      </c>
      <c r="G84" s="52">
        <v>5180.97</v>
      </c>
      <c r="H84" s="43">
        <f t="shared" si="58"/>
        <v>36326.129999999997</v>
      </c>
      <c r="I84" s="52">
        <v>1280.99</v>
      </c>
      <c r="J84" s="52">
        <v>187.61</v>
      </c>
      <c r="K84" s="52">
        <v>15319.29</v>
      </c>
      <c r="L84" s="52">
        <v>9652.02</v>
      </c>
      <c r="M84" s="52">
        <v>8408.43</v>
      </c>
      <c r="N84" s="52">
        <v>1004.47</v>
      </c>
      <c r="O84" s="52">
        <v>473.32</v>
      </c>
      <c r="P84" s="43">
        <f t="shared" si="59"/>
        <v>-21577.850000000002</v>
      </c>
      <c r="Q84" s="52">
        <v>-99.01</v>
      </c>
      <c r="R84" s="52">
        <v>-3.08</v>
      </c>
      <c r="S84" s="52">
        <v>-10541.67</v>
      </c>
      <c r="T84" s="52">
        <v>-6365.65</v>
      </c>
      <c r="U84" s="52">
        <v>-4440.92</v>
      </c>
      <c r="V84" s="52">
        <v>-110.03</v>
      </c>
      <c r="W84" s="52">
        <v>-17.489999999999998</v>
      </c>
      <c r="X84" s="43">
        <f t="shared" si="60"/>
        <v>-779.1</v>
      </c>
      <c r="Y84" s="52">
        <v>-779.1</v>
      </c>
      <c r="Z84" s="43">
        <f t="shared" si="61"/>
        <v>183.95000000000005</v>
      </c>
      <c r="AA84" s="52">
        <v>-163.19999999999999</v>
      </c>
      <c r="AB84" s="52">
        <v>-18.07</v>
      </c>
      <c r="AC84" s="52">
        <v>208.27</v>
      </c>
      <c r="AD84" s="52">
        <v>279.83999999999997</v>
      </c>
      <c r="AE84" s="52">
        <v>-122.89</v>
      </c>
      <c r="AF84" s="56">
        <v>0</v>
      </c>
      <c r="AG84" s="43">
        <f t="shared" si="62"/>
        <v>42850.62</v>
      </c>
      <c r="AH84" s="43">
        <f t="shared" si="40"/>
        <v>1509.36</v>
      </c>
      <c r="AI84" s="43">
        <f t="shared" si="41"/>
        <v>166.46</v>
      </c>
      <c r="AJ84" s="43">
        <f t="shared" si="42"/>
        <v>17279.41</v>
      </c>
      <c r="AK84" s="43">
        <f t="shared" si="43"/>
        <v>2787.110000000001</v>
      </c>
      <c r="AL84" s="43">
        <f t="shared" si="44"/>
        <v>12284.65</v>
      </c>
      <c r="AM84" s="43">
        <f t="shared" si="45"/>
        <v>3186.8299999999995</v>
      </c>
      <c r="AN84" s="43">
        <f t="shared" si="57"/>
        <v>5180.97</v>
      </c>
      <c r="AO84" s="43">
        <f t="shared" si="46"/>
        <v>455.83</v>
      </c>
      <c r="AP84" s="43">
        <f t="shared" si="47"/>
        <v>130.10999999999331</v>
      </c>
      <c r="AQ84" s="43">
        <f t="shared" si="48"/>
        <v>18.099999999999909</v>
      </c>
      <c r="AR84" s="43">
        <f t="shared" si="49"/>
        <v>0.59000000000000341</v>
      </c>
      <c r="AS84" s="43">
        <f t="shared" si="50"/>
        <v>29.18999999999869</v>
      </c>
      <c r="AT84" s="43">
        <f t="shared" si="51"/>
        <v>40.279999999997472</v>
      </c>
      <c r="AU84" s="43">
        <f t="shared" si="52"/>
        <v>58.020000000002256</v>
      </c>
      <c r="AV84" s="43">
        <f t="shared" si="53"/>
        <v>0</v>
      </c>
      <c r="AW84" s="43">
        <f t="shared" si="54"/>
        <v>0</v>
      </c>
      <c r="AX84" s="43">
        <f t="shared" si="55"/>
        <v>-16.069999999999652</v>
      </c>
      <c r="AY84" s="43">
        <f>'Quarter demand'!B84</f>
        <v>42720.510000000009</v>
      </c>
      <c r="AZ84" s="43">
        <f>'Quarter demand'!C84</f>
        <v>1491.26</v>
      </c>
      <c r="BA84" s="43">
        <f>'Quarter demand'!D84</f>
        <v>165.87</v>
      </c>
      <c r="BB84" s="43">
        <f>'Quarter demand'!E84</f>
        <v>17250.22</v>
      </c>
      <c r="BC84" s="43">
        <f>'Quarter demand'!F84</f>
        <v>2746.8300000000036</v>
      </c>
      <c r="BD84" s="43">
        <f>'Quarter demand'!G84</f>
        <v>12226.629999999997</v>
      </c>
      <c r="BE84" s="43">
        <f>'Quarter demand'!H84</f>
        <v>3186.83</v>
      </c>
      <c r="BF84" s="43">
        <f>'Quarter demand'!I84</f>
        <v>5180.97</v>
      </c>
      <c r="BG84" s="54">
        <f>'Quarter demand'!J84</f>
        <v>471.89999999999964</v>
      </c>
    </row>
    <row r="85" spans="1:59" ht="15.5" x14ac:dyDescent="0.35">
      <c r="A85" s="50" t="s">
        <v>250</v>
      </c>
      <c r="B85" s="43">
        <f t="shared" si="56"/>
        <v>31929.409999999996</v>
      </c>
      <c r="C85" s="52">
        <v>492.62</v>
      </c>
      <c r="D85" s="52">
        <v>12637.92</v>
      </c>
      <c r="E85" s="52">
        <v>10514.63</v>
      </c>
      <c r="F85" s="52">
        <v>2955.71</v>
      </c>
      <c r="G85" s="52">
        <v>5328.53</v>
      </c>
      <c r="H85" s="43">
        <f t="shared" si="58"/>
        <v>41398.089999999997</v>
      </c>
      <c r="I85" s="52">
        <v>1683.92</v>
      </c>
      <c r="J85" s="52">
        <v>225.26</v>
      </c>
      <c r="K85" s="52">
        <v>14374.79</v>
      </c>
      <c r="L85" s="52">
        <v>10037.17</v>
      </c>
      <c r="M85" s="52">
        <v>13998.62</v>
      </c>
      <c r="N85" s="52">
        <v>762.81</v>
      </c>
      <c r="O85" s="52">
        <v>315.52</v>
      </c>
      <c r="P85" s="43">
        <f t="shared" si="59"/>
        <v>-18433.45</v>
      </c>
      <c r="Q85" s="52">
        <v>-94.15</v>
      </c>
      <c r="R85" s="52">
        <v>-5.55</v>
      </c>
      <c r="S85" s="52">
        <v>-10042.41</v>
      </c>
      <c r="T85" s="52">
        <v>-6445.28</v>
      </c>
      <c r="U85" s="52">
        <v>-1554.12</v>
      </c>
      <c r="V85" s="52">
        <v>-114.15</v>
      </c>
      <c r="W85" s="52">
        <v>-177.79</v>
      </c>
      <c r="X85" s="43">
        <f t="shared" si="60"/>
        <v>-633.09</v>
      </c>
      <c r="Y85" s="52">
        <v>-633.09</v>
      </c>
      <c r="Z85" s="43">
        <f t="shared" si="61"/>
        <v>271.27999999999986</v>
      </c>
      <c r="AA85" s="52">
        <v>1070.22</v>
      </c>
      <c r="AB85" s="52">
        <v>-42.38</v>
      </c>
      <c r="AC85" s="52">
        <v>-197.71</v>
      </c>
      <c r="AD85" s="52">
        <v>-197.13</v>
      </c>
      <c r="AE85" s="52">
        <v>-361.72</v>
      </c>
      <c r="AF85" s="56">
        <v>0</v>
      </c>
      <c r="AG85" s="43">
        <f t="shared" si="62"/>
        <v>54532.240000000005</v>
      </c>
      <c r="AH85" s="43">
        <f t="shared" si="40"/>
        <v>3152.6099999999997</v>
      </c>
      <c r="AI85" s="43">
        <f t="shared" si="41"/>
        <v>177.32999999999998</v>
      </c>
      <c r="AJ85" s="43">
        <f t="shared" si="42"/>
        <v>16772.59</v>
      </c>
      <c r="AK85" s="43">
        <f t="shared" si="43"/>
        <v>2761.67</v>
      </c>
      <c r="AL85" s="43">
        <f t="shared" si="44"/>
        <v>22597.41</v>
      </c>
      <c r="AM85" s="43">
        <f t="shared" si="45"/>
        <v>3604.37</v>
      </c>
      <c r="AN85" s="43">
        <f t="shared" si="57"/>
        <v>5328.53</v>
      </c>
      <c r="AO85" s="43">
        <f t="shared" si="46"/>
        <v>137.72999999999999</v>
      </c>
      <c r="AP85" s="43">
        <f t="shared" si="47"/>
        <v>117.26000000000931</v>
      </c>
      <c r="AQ85" s="43">
        <f t="shared" si="48"/>
        <v>7.9200000000000728</v>
      </c>
      <c r="AR85" s="43">
        <f t="shared" si="49"/>
        <v>0.38999999999998636</v>
      </c>
      <c r="AS85" s="43">
        <f t="shared" si="50"/>
        <v>-34.239999999997963</v>
      </c>
      <c r="AT85" s="43">
        <f t="shared" si="51"/>
        <v>3.6500000000014552</v>
      </c>
      <c r="AU85" s="43">
        <f t="shared" si="52"/>
        <v>120.31000000000131</v>
      </c>
      <c r="AV85" s="43">
        <f t="shared" si="53"/>
        <v>9.999999999308784E-3</v>
      </c>
      <c r="AW85" s="43">
        <f t="shared" si="54"/>
        <v>-1.0000000000218279E-2</v>
      </c>
      <c r="AX85" s="43">
        <f t="shared" si="55"/>
        <v>19.230000000000899</v>
      </c>
      <c r="AY85" s="43">
        <f>'Quarter demand'!B85</f>
        <v>54414.979999999996</v>
      </c>
      <c r="AZ85" s="43">
        <f>'Quarter demand'!C85</f>
        <v>3144.6899999999996</v>
      </c>
      <c r="BA85" s="43">
        <f>'Quarter demand'!D85</f>
        <v>176.94</v>
      </c>
      <c r="BB85" s="43">
        <f>'Quarter demand'!E85</f>
        <v>16806.829999999998</v>
      </c>
      <c r="BC85" s="43">
        <f>'Quarter demand'!F85</f>
        <v>2758.0199999999986</v>
      </c>
      <c r="BD85" s="43">
        <f>'Quarter demand'!G85</f>
        <v>22477.1</v>
      </c>
      <c r="BE85" s="43">
        <f>'Quarter demand'!H85</f>
        <v>3604.3600000000006</v>
      </c>
      <c r="BF85" s="43">
        <f>'Quarter demand'!I85</f>
        <v>5328.54</v>
      </c>
      <c r="BG85" s="54">
        <f>'Quarter demand'!J85</f>
        <v>118.49999999999909</v>
      </c>
    </row>
    <row r="86" spans="1:59" ht="15.5" x14ac:dyDescent="0.35">
      <c r="A86" s="50" t="s">
        <v>251</v>
      </c>
      <c r="B86" s="43">
        <f t="shared" si="56"/>
        <v>33487.449999999997</v>
      </c>
      <c r="C86" s="52">
        <v>443.46</v>
      </c>
      <c r="D86" s="52">
        <v>13966.38</v>
      </c>
      <c r="E86" s="52">
        <v>10266.85</v>
      </c>
      <c r="F86" s="52">
        <v>3421.11</v>
      </c>
      <c r="G86" s="52">
        <v>5389.65</v>
      </c>
      <c r="H86" s="43">
        <f t="shared" si="58"/>
        <v>42341.21</v>
      </c>
      <c r="I86" s="52">
        <v>2110.0500000000002</v>
      </c>
      <c r="J86" s="52">
        <v>197.57</v>
      </c>
      <c r="K86" s="52">
        <v>12334.33</v>
      </c>
      <c r="L86" s="52">
        <v>9761.35</v>
      </c>
      <c r="M86" s="52">
        <v>16575.84</v>
      </c>
      <c r="N86" s="52">
        <v>859.62</v>
      </c>
      <c r="O86" s="52">
        <v>502.45</v>
      </c>
      <c r="P86" s="43">
        <f t="shared" si="59"/>
        <v>-18641.73</v>
      </c>
      <c r="Q86" s="52">
        <v>-95.99</v>
      </c>
      <c r="R86" s="52">
        <v>-1.32</v>
      </c>
      <c r="S86" s="52">
        <v>-11892.4</v>
      </c>
      <c r="T86" s="52">
        <v>-5727.03</v>
      </c>
      <c r="U86" s="52">
        <v>-769.41</v>
      </c>
      <c r="V86" s="52">
        <v>-115.38</v>
      </c>
      <c r="W86" s="52">
        <v>-40.200000000000003</v>
      </c>
      <c r="X86" s="43">
        <f t="shared" si="60"/>
        <v>-586.53</v>
      </c>
      <c r="Y86" s="52">
        <v>-586.53</v>
      </c>
      <c r="Z86" s="43">
        <f t="shared" si="61"/>
        <v>2224.4500000000003</v>
      </c>
      <c r="AA86" s="52">
        <v>689.26</v>
      </c>
      <c r="AB86" s="52">
        <v>13.84</v>
      </c>
      <c r="AC86" s="52">
        <v>189.78</v>
      </c>
      <c r="AD86" s="52">
        <v>123.98</v>
      </c>
      <c r="AE86" s="52">
        <v>1209.92</v>
      </c>
      <c r="AF86" s="52">
        <v>-2.33</v>
      </c>
      <c r="AG86" s="43">
        <f t="shared" si="62"/>
        <v>58824.850000000013</v>
      </c>
      <c r="AH86" s="43">
        <f t="shared" si="40"/>
        <v>3146.7800000000007</v>
      </c>
      <c r="AI86" s="43">
        <f t="shared" si="41"/>
        <v>210.09</v>
      </c>
      <c r="AJ86" s="43">
        <f t="shared" si="42"/>
        <v>14598.09</v>
      </c>
      <c r="AK86" s="43">
        <f t="shared" si="43"/>
        <v>3571.7700000000009</v>
      </c>
      <c r="AL86" s="43">
        <f t="shared" si="44"/>
        <v>27283.200000000004</v>
      </c>
      <c r="AM86" s="43">
        <f t="shared" si="45"/>
        <v>4163.0200000000004</v>
      </c>
      <c r="AN86" s="43">
        <f t="shared" si="57"/>
        <v>5389.65</v>
      </c>
      <c r="AO86" s="43">
        <f t="shared" si="46"/>
        <v>462.25</v>
      </c>
      <c r="AP86" s="43">
        <f t="shared" si="47"/>
        <v>354.44000000001688</v>
      </c>
      <c r="AQ86" s="43">
        <f t="shared" si="48"/>
        <v>27.670000000000982</v>
      </c>
      <c r="AR86" s="43">
        <f t="shared" si="49"/>
        <v>-1.0199999999999534</v>
      </c>
      <c r="AS86" s="43">
        <f t="shared" si="50"/>
        <v>-16.8799999999992</v>
      </c>
      <c r="AT86" s="43">
        <f t="shared" si="51"/>
        <v>-9.7800000000002001</v>
      </c>
      <c r="AU86" s="43">
        <f t="shared" si="52"/>
        <v>379.26000000000204</v>
      </c>
      <c r="AV86" s="43">
        <f t="shared" si="53"/>
        <v>0</v>
      </c>
      <c r="AW86" s="43">
        <f t="shared" si="54"/>
        <v>0</v>
      </c>
      <c r="AX86" s="43">
        <f t="shared" si="55"/>
        <v>-24.8100000000004</v>
      </c>
      <c r="AY86" s="43">
        <f>'Quarter demand'!B86</f>
        <v>58470.409999999996</v>
      </c>
      <c r="AZ86" s="43">
        <f>'Quarter demand'!C86</f>
        <v>3119.1099999999997</v>
      </c>
      <c r="BA86" s="43">
        <f>'Quarter demand'!D86</f>
        <v>211.10999999999996</v>
      </c>
      <c r="BB86" s="43">
        <f>'Quarter demand'!E86</f>
        <v>14614.97</v>
      </c>
      <c r="BC86" s="43">
        <f>'Quarter demand'!F86</f>
        <v>3581.5500000000011</v>
      </c>
      <c r="BD86" s="43">
        <f>'Quarter demand'!G86</f>
        <v>26903.940000000002</v>
      </c>
      <c r="BE86" s="43">
        <f>'Quarter demand'!H86</f>
        <v>4163.0200000000004</v>
      </c>
      <c r="BF86" s="43">
        <f>'Quarter demand'!I86</f>
        <v>5389.65</v>
      </c>
      <c r="BG86" s="54">
        <f>'Quarter demand'!J86</f>
        <v>487.0600000000004</v>
      </c>
    </row>
    <row r="87" spans="1:59" ht="15.5" x14ac:dyDescent="0.35">
      <c r="A87" s="50" t="s">
        <v>252</v>
      </c>
      <c r="B87" s="43">
        <f t="shared" si="56"/>
        <v>32439.769999999997</v>
      </c>
      <c r="C87" s="52">
        <v>490.1</v>
      </c>
      <c r="D87" s="52">
        <v>14670.13</v>
      </c>
      <c r="E87" s="52">
        <v>9626.5</v>
      </c>
      <c r="F87" s="52">
        <v>2681.01</v>
      </c>
      <c r="G87" s="52">
        <v>4972.03</v>
      </c>
      <c r="H87" s="43">
        <f t="shared" si="58"/>
        <v>35532.699999999997</v>
      </c>
      <c r="I87" s="52">
        <v>1122.05</v>
      </c>
      <c r="J87" s="52">
        <v>274.08999999999997</v>
      </c>
      <c r="K87" s="52">
        <v>14556.08</v>
      </c>
      <c r="L87" s="52">
        <v>10178.74</v>
      </c>
      <c r="M87" s="52">
        <v>7775.04</v>
      </c>
      <c r="N87" s="52">
        <v>1152.0899999999999</v>
      </c>
      <c r="O87" s="52">
        <v>474.61</v>
      </c>
      <c r="P87" s="43">
        <f t="shared" si="59"/>
        <v>-20562.690000000002</v>
      </c>
      <c r="Q87" s="52">
        <v>-74.91</v>
      </c>
      <c r="R87" s="52">
        <v>-1.23</v>
      </c>
      <c r="S87" s="52">
        <v>-12437.65</v>
      </c>
      <c r="T87" s="52">
        <v>-6147.37</v>
      </c>
      <c r="U87" s="52">
        <v>-1770.75</v>
      </c>
      <c r="V87" s="52">
        <v>-99.08</v>
      </c>
      <c r="W87" s="52">
        <v>-31.7</v>
      </c>
      <c r="X87" s="43">
        <f t="shared" si="60"/>
        <v>-660.02</v>
      </c>
      <c r="Y87" s="52">
        <v>-660.02</v>
      </c>
      <c r="Z87" s="43">
        <f t="shared" si="61"/>
        <v>-1881.7299999999998</v>
      </c>
      <c r="AA87" s="52">
        <v>-202.74</v>
      </c>
      <c r="AB87" s="52">
        <v>-70.81</v>
      </c>
      <c r="AC87" s="52">
        <v>-1014.05</v>
      </c>
      <c r="AD87" s="52">
        <v>318.63</v>
      </c>
      <c r="AE87" s="52">
        <v>-910.43</v>
      </c>
      <c r="AF87" s="52">
        <v>-2.33</v>
      </c>
      <c r="AG87" s="43">
        <f t="shared" si="62"/>
        <v>44868.03</v>
      </c>
      <c r="AH87" s="43">
        <f t="shared" si="40"/>
        <v>1334.5</v>
      </c>
      <c r="AI87" s="43">
        <f t="shared" si="41"/>
        <v>202.04999999999995</v>
      </c>
      <c r="AJ87" s="43">
        <f t="shared" si="42"/>
        <v>15774.509999999998</v>
      </c>
      <c r="AK87" s="43">
        <f t="shared" si="43"/>
        <v>3689.98</v>
      </c>
      <c r="AL87" s="43">
        <f t="shared" si="44"/>
        <v>14720.36</v>
      </c>
      <c r="AM87" s="43">
        <f t="shared" si="45"/>
        <v>3731.6900000000005</v>
      </c>
      <c r="AN87" s="43">
        <f t="shared" si="57"/>
        <v>4972.03</v>
      </c>
      <c r="AO87" s="43">
        <f t="shared" si="46"/>
        <v>442.91</v>
      </c>
      <c r="AP87" s="43">
        <f t="shared" si="47"/>
        <v>-8.1599999999962165</v>
      </c>
      <c r="AQ87" s="43">
        <f t="shared" si="48"/>
        <v>-1.7400000000000091</v>
      </c>
      <c r="AR87" s="43">
        <f t="shared" si="49"/>
        <v>-0.54000000000002046</v>
      </c>
      <c r="AS87" s="43">
        <f t="shared" si="50"/>
        <v>-7.7700000000004366</v>
      </c>
      <c r="AT87" s="43">
        <f t="shared" si="51"/>
        <v>-6.6100000000001273</v>
      </c>
      <c r="AU87" s="43">
        <f t="shared" si="52"/>
        <v>6.7799999999988358</v>
      </c>
      <c r="AV87" s="43">
        <f t="shared" si="53"/>
        <v>-9.999999999308784E-3</v>
      </c>
      <c r="AW87" s="43">
        <f t="shared" si="54"/>
        <v>0</v>
      </c>
      <c r="AX87" s="43">
        <f t="shared" si="55"/>
        <v>1.729999999999734</v>
      </c>
      <c r="AY87" s="43">
        <f>'Quarter demand'!B87</f>
        <v>44876.189999999995</v>
      </c>
      <c r="AZ87" s="43">
        <f>'Quarter demand'!C87</f>
        <v>1336.24</v>
      </c>
      <c r="BA87" s="43">
        <f>'Quarter demand'!D87</f>
        <v>202.58999999999997</v>
      </c>
      <c r="BB87" s="43">
        <f>'Quarter demand'!E87</f>
        <v>15782.279999999999</v>
      </c>
      <c r="BC87" s="43">
        <f>'Quarter demand'!F87</f>
        <v>3696.59</v>
      </c>
      <c r="BD87" s="43">
        <f>'Quarter demand'!G87</f>
        <v>14713.580000000002</v>
      </c>
      <c r="BE87" s="43">
        <f>'Quarter demand'!H87</f>
        <v>3731.7</v>
      </c>
      <c r="BF87" s="43">
        <f>'Quarter demand'!I87</f>
        <v>4972.03</v>
      </c>
      <c r="BG87" s="54">
        <f>'Quarter demand'!J87</f>
        <v>441.18000000000029</v>
      </c>
    </row>
    <row r="88" spans="1:59" ht="15.5" x14ac:dyDescent="0.35">
      <c r="A88" s="50" t="s">
        <v>253</v>
      </c>
      <c r="B88" s="43">
        <f t="shared" si="56"/>
        <v>29722.129999999997</v>
      </c>
      <c r="C88" s="52">
        <v>482.57</v>
      </c>
      <c r="D88" s="52">
        <v>12649.16</v>
      </c>
      <c r="E88" s="52">
        <v>8931.68</v>
      </c>
      <c r="F88" s="52">
        <v>2561.0100000000002</v>
      </c>
      <c r="G88" s="52">
        <v>5097.71</v>
      </c>
      <c r="H88" s="43">
        <f t="shared" si="58"/>
        <v>35039.240000000005</v>
      </c>
      <c r="I88" s="52">
        <v>1484.43</v>
      </c>
      <c r="J88" s="52">
        <v>127.89</v>
      </c>
      <c r="K88" s="52">
        <v>14984.85</v>
      </c>
      <c r="L88" s="52">
        <v>9713.64</v>
      </c>
      <c r="M88" s="52">
        <v>6953.9</v>
      </c>
      <c r="N88" s="52">
        <v>1308.6600000000001</v>
      </c>
      <c r="O88" s="52">
        <v>465.87</v>
      </c>
      <c r="P88" s="43">
        <f t="shared" si="59"/>
        <v>-21658.349999999995</v>
      </c>
      <c r="Q88" s="52">
        <v>-106.9</v>
      </c>
      <c r="R88" s="52">
        <v>-2.93</v>
      </c>
      <c r="S88" s="52">
        <v>-11063.05</v>
      </c>
      <c r="T88" s="52">
        <v>-6521.07</v>
      </c>
      <c r="U88" s="52">
        <v>-3817.63</v>
      </c>
      <c r="V88" s="52">
        <v>-104.67</v>
      </c>
      <c r="W88" s="52">
        <v>-42.1</v>
      </c>
      <c r="X88" s="43">
        <f t="shared" si="60"/>
        <v>-757.25</v>
      </c>
      <c r="Y88" s="52">
        <v>-757.25</v>
      </c>
      <c r="Z88" s="43">
        <f t="shared" si="61"/>
        <v>26.729999999999947</v>
      </c>
      <c r="AA88" s="52">
        <v>-435.24</v>
      </c>
      <c r="AB88" s="52">
        <v>-18.84</v>
      </c>
      <c r="AC88" s="52">
        <v>874.43</v>
      </c>
      <c r="AD88" s="52">
        <v>-166.8</v>
      </c>
      <c r="AE88" s="52">
        <v>-224.49</v>
      </c>
      <c r="AF88" s="52">
        <v>-2.33</v>
      </c>
      <c r="AG88" s="43">
        <f t="shared" si="62"/>
        <v>42372.5</v>
      </c>
      <c r="AH88" s="43">
        <f t="shared" si="40"/>
        <v>1424.86</v>
      </c>
      <c r="AI88" s="43">
        <f t="shared" si="41"/>
        <v>106.11999999999999</v>
      </c>
      <c r="AJ88" s="43">
        <f t="shared" si="42"/>
        <v>17445.390000000003</v>
      </c>
      <c r="AK88" s="43">
        <f t="shared" si="43"/>
        <v>2268.5199999999995</v>
      </c>
      <c r="AL88" s="43">
        <f t="shared" si="44"/>
        <v>11843.460000000001</v>
      </c>
      <c r="AM88" s="43">
        <f t="shared" si="45"/>
        <v>3762.67</v>
      </c>
      <c r="AN88" s="43">
        <f t="shared" si="57"/>
        <v>5097.71</v>
      </c>
      <c r="AO88" s="43">
        <f t="shared" si="46"/>
        <v>423.77</v>
      </c>
      <c r="AP88" s="43">
        <f t="shared" si="47"/>
        <v>-199.61000000000786</v>
      </c>
      <c r="AQ88" s="43">
        <f t="shared" si="48"/>
        <v>-3.4600000000002638</v>
      </c>
      <c r="AR88" s="43">
        <f t="shared" si="49"/>
        <v>-0.88999999999995794</v>
      </c>
      <c r="AS88" s="43">
        <f t="shared" si="50"/>
        <v>-0.30999999999767169</v>
      </c>
      <c r="AT88" s="43">
        <f t="shared" si="51"/>
        <v>-12.020000000004984</v>
      </c>
      <c r="AU88" s="43">
        <f t="shared" si="52"/>
        <v>-185.6200000000008</v>
      </c>
      <c r="AV88" s="43">
        <f t="shared" si="53"/>
        <v>2.0000000000436557E-2</v>
      </c>
      <c r="AW88" s="43">
        <f t="shared" si="54"/>
        <v>0</v>
      </c>
      <c r="AX88" s="43">
        <f t="shared" si="55"/>
        <v>2.6700000000005275</v>
      </c>
      <c r="AY88" s="43">
        <f>'Quarter demand'!B88</f>
        <v>42572.110000000008</v>
      </c>
      <c r="AZ88" s="43">
        <f>'Quarter demand'!C88</f>
        <v>1428.3200000000002</v>
      </c>
      <c r="BA88" s="43">
        <f>'Quarter demand'!D88</f>
        <v>107.00999999999995</v>
      </c>
      <c r="BB88" s="43">
        <f>'Quarter demand'!E88</f>
        <v>17445.7</v>
      </c>
      <c r="BC88" s="43">
        <f>'Quarter demand'!F88</f>
        <v>2280.5400000000045</v>
      </c>
      <c r="BD88" s="43">
        <f>'Quarter demand'!G88</f>
        <v>12029.080000000002</v>
      </c>
      <c r="BE88" s="43">
        <f>'Quarter demand'!H88</f>
        <v>3762.6499999999996</v>
      </c>
      <c r="BF88" s="43">
        <f>'Quarter demand'!I88</f>
        <v>5097.71</v>
      </c>
      <c r="BG88" s="54">
        <f>'Quarter demand'!J88</f>
        <v>421.09999999999945</v>
      </c>
    </row>
    <row r="89" spans="1:59" ht="15.5" x14ac:dyDescent="0.35">
      <c r="A89" s="50" t="s">
        <v>254</v>
      </c>
      <c r="B89" s="43">
        <f t="shared" si="56"/>
        <v>33519.219999999994</v>
      </c>
      <c r="C89" s="52">
        <v>484.74</v>
      </c>
      <c r="D89" s="52">
        <v>14763.97</v>
      </c>
      <c r="E89" s="52">
        <v>9918.35</v>
      </c>
      <c r="F89" s="52">
        <v>3299.6</v>
      </c>
      <c r="G89" s="52">
        <v>5052.5600000000004</v>
      </c>
      <c r="H89" s="43">
        <f t="shared" si="58"/>
        <v>40881.979999999996</v>
      </c>
      <c r="I89" s="52">
        <v>1996.22</v>
      </c>
      <c r="J89" s="52">
        <v>114.21</v>
      </c>
      <c r="K89" s="52">
        <v>15316.18</v>
      </c>
      <c r="L89" s="52">
        <v>8944.39</v>
      </c>
      <c r="M89" s="52">
        <v>12870.59</v>
      </c>
      <c r="N89" s="52">
        <v>1249.06</v>
      </c>
      <c r="O89" s="52">
        <v>391.33</v>
      </c>
      <c r="P89" s="43">
        <f t="shared" si="59"/>
        <v>-20400.260000000002</v>
      </c>
      <c r="Q89" s="52">
        <v>-145.97</v>
      </c>
      <c r="R89" s="52">
        <v>-2.86</v>
      </c>
      <c r="S89" s="52">
        <v>-13287.12</v>
      </c>
      <c r="T89" s="52">
        <v>-5941.57</v>
      </c>
      <c r="U89" s="52">
        <v>-837.02</v>
      </c>
      <c r="V89" s="52">
        <v>-108.43</v>
      </c>
      <c r="W89" s="52">
        <v>-77.290000000000006</v>
      </c>
      <c r="X89" s="43">
        <f t="shared" si="60"/>
        <v>-611.65</v>
      </c>
      <c r="Y89" s="52">
        <v>-611.65</v>
      </c>
      <c r="Z89" s="43">
        <f t="shared" si="61"/>
        <v>-672.13</v>
      </c>
      <c r="AA89" s="52">
        <v>-172.38</v>
      </c>
      <c r="AB89" s="52">
        <v>28.57</v>
      </c>
      <c r="AC89" s="52">
        <v>100.6</v>
      </c>
      <c r="AD89" s="52">
        <v>18.54</v>
      </c>
      <c r="AE89" s="52">
        <v>-645.13</v>
      </c>
      <c r="AF89" s="52">
        <v>-2.33</v>
      </c>
      <c r="AG89" s="43">
        <f t="shared" si="62"/>
        <v>52717.159999999996</v>
      </c>
      <c r="AH89" s="43">
        <f t="shared" si="40"/>
        <v>2162.61</v>
      </c>
      <c r="AI89" s="43">
        <f t="shared" si="41"/>
        <v>139.91999999999999</v>
      </c>
      <c r="AJ89" s="43">
        <f t="shared" si="42"/>
        <v>16893.629999999997</v>
      </c>
      <c r="AK89" s="43">
        <f t="shared" si="43"/>
        <v>2409.7099999999996</v>
      </c>
      <c r="AL89" s="43">
        <f t="shared" si="44"/>
        <v>21306.79</v>
      </c>
      <c r="AM89" s="43">
        <f t="shared" si="45"/>
        <v>4437.8999999999996</v>
      </c>
      <c r="AN89" s="43">
        <f t="shared" si="57"/>
        <v>5052.5600000000004</v>
      </c>
      <c r="AO89" s="43">
        <f t="shared" si="46"/>
        <v>314.03999999999996</v>
      </c>
      <c r="AP89" s="43">
        <f t="shared" si="47"/>
        <v>83.180000000000291</v>
      </c>
      <c r="AQ89" s="43">
        <f t="shared" si="48"/>
        <v>14.620000000000346</v>
      </c>
      <c r="AR89" s="43">
        <f t="shared" si="49"/>
        <v>-0.73000000000004661</v>
      </c>
      <c r="AS89" s="43">
        <f t="shared" si="50"/>
        <v>-11.400000000005093</v>
      </c>
      <c r="AT89" s="43">
        <f t="shared" si="51"/>
        <v>22.549999999997908</v>
      </c>
      <c r="AU89" s="43">
        <f t="shared" si="52"/>
        <v>62.470000000001164</v>
      </c>
      <c r="AV89" s="43">
        <f t="shared" si="53"/>
        <v>9.999999999308784E-3</v>
      </c>
      <c r="AW89" s="43">
        <f t="shared" si="54"/>
        <v>0</v>
      </c>
      <c r="AX89" s="43">
        <f t="shared" si="55"/>
        <v>-4.3400000000001455</v>
      </c>
      <c r="AY89" s="43">
        <f>'Quarter demand'!B89</f>
        <v>52633.979999999996</v>
      </c>
      <c r="AZ89" s="43">
        <f>'Quarter demand'!C89</f>
        <v>2147.9899999999998</v>
      </c>
      <c r="BA89" s="43">
        <f>'Quarter demand'!D89</f>
        <v>140.65000000000003</v>
      </c>
      <c r="BB89" s="43">
        <f>'Quarter demand'!E89</f>
        <v>16905.030000000002</v>
      </c>
      <c r="BC89" s="43">
        <f>'Quarter demand'!F89</f>
        <v>2387.1600000000017</v>
      </c>
      <c r="BD89" s="43">
        <f>'Quarter demand'!G89</f>
        <v>21244.32</v>
      </c>
      <c r="BE89" s="43">
        <f>'Quarter demand'!H89</f>
        <v>4437.8900000000003</v>
      </c>
      <c r="BF89" s="43">
        <f>'Quarter demand'!I89</f>
        <v>5052.5599999999995</v>
      </c>
      <c r="BG89" s="54">
        <f>'Quarter demand'!J89</f>
        <v>318.38000000000011</v>
      </c>
    </row>
    <row r="90" spans="1:59" ht="15.5" x14ac:dyDescent="0.35">
      <c r="A90" s="50" t="s">
        <v>255</v>
      </c>
      <c r="B90" s="43">
        <f t="shared" si="56"/>
        <v>33371.82</v>
      </c>
      <c r="C90" s="52">
        <v>492.35</v>
      </c>
      <c r="D90" s="52">
        <v>15092.61</v>
      </c>
      <c r="E90" s="52">
        <v>9645.4599999999991</v>
      </c>
      <c r="F90" s="52">
        <v>3236.79</v>
      </c>
      <c r="G90" s="52">
        <v>4904.6099999999997</v>
      </c>
      <c r="H90" s="43">
        <f t="shared" si="58"/>
        <v>40017.47</v>
      </c>
      <c r="I90" s="52">
        <v>1710.95</v>
      </c>
      <c r="J90" s="52">
        <v>165.7</v>
      </c>
      <c r="K90" s="52">
        <v>14206.44</v>
      </c>
      <c r="L90" s="52">
        <v>7875.98</v>
      </c>
      <c r="M90" s="52">
        <v>14260.33</v>
      </c>
      <c r="N90" s="52">
        <v>1215.1400000000001</v>
      </c>
      <c r="O90" s="52">
        <v>582.92999999999995</v>
      </c>
      <c r="P90" s="43">
        <f t="shared" si="59"/>
        <v>-19201.77</v>
      </c>
      <c r="Q90" s="52">
        <v>-131.41999999999999</v>
      </c>
      <c r="R90" s="52">
        <v>-1.24</v>
      </c>
      <c r="S90" s="52">
        <v>-12231.43</v>
      </c>
      <c r="T90" s="52">
        <v>-5802.82</v>
      </c>
      <c r="U90" s="52">
        <v>-889.86</v>
      </c>
      <c r="V90" s="52">
        <v>-82.25</v>
      </c>
      <c r="W90" s="52">
        <v>-62.75</v>
      </c>
      <c r="X90" s="43">
        <f t="shared" si="60"/>
        <v>-550.11</v>
      </c>
      <c r="Y90" s="52">
        <v>-550.11</v>
      </c>
      <c r="Z90" s="43">
        <f t="shared" si="61"/>
        <v>365.10000000000019</v>
      </c>
      <c r="AA90" s="52">
        <v>-396.92</v>
      </c>
      <c r="AB90" s="52">
        <v>39.979999999999997</v>
      </c>
      <c r="AC90" s="52">
        <v>-615.15</v>
      </c>
      <c r="AD90" s="52">
        <v>279.60000000000002</v>
      </c>
      <c r="AE90" s="52">
        <v>1057.6600000000001</v>
      </c>
      <c r="AF90" s="52">
        <v>-7.0000000000000007E-2</v>
      </c>
      <c r="AG90" s="43">
        <f t="shared" si="62"/>
        <v>54002.51</v>
      </c>
      <c r="AH90" s="43">
        <f t="shared" si="40"/>
        <v>1674.96</v>
      </c>
      <c r="AI90" s="43">
        <f t="shared" si="41"/>
        <v>204.43999999999997</v>
      </c>
      <c r="AJ90" s="43">
        <f t="shared" si="42"/>
        <v>16452.47</v>
      </c>
      <c r="AK90" s="43">
        <f t="shared" si="43"/>
        <v>1802.6499999999996</v>
      </c>
      <c r="AL90" s="43">
        <f t="shared" si="44"/>
        <v>24073.59</v>
      </c>
      <c r="AM90" s="43">
        <f t="shared" si="45"/>
        <v>4369.6100000000006</v>
      </c>
      <c r="AN90" s="43">
        <f t="shared" si="57"/>
        <v>4904.6099999999997</v>
      </c>
      <c r="AO90" s="43">
        <f t="shared" si="46"/>
        <v>520.17999999999995</v>
      </c>
      <c r="AP90" s="43">
        <f t="shared" si="47"/>
        <v>-305.68000000000029</v>
      </c>
      <c r="AQ90" s="43">
        <f t="shared" si="48"/>
        <v>-5.5899999999999181</v>
      </c>
      <c r="AR90" s="43">
        <f t="shared" si="49"/>
        <v>1.0399999999999068</v>
      </c>
      <c r="AS90" s="43">
        <f t="shared" si="50"/>
        <v>7.1000000000021828</v>
      </c>
      <c r="AT90" s="43">
        <f t="shared" si="51"/>
        <v>8.5299999999951979</v>
      </c>
      <c r="AU90" s="43">
        <f t="shared" si="52"/>
        <v>-293.93999999999869</v>
      </c>
      <c r="AV90" s="43">
        <f t="shared" si="53"/>
        <v>1.0000000000218279E-2</v>
      </c>
      <c r="AW90" s="43">
        <f t="shared" si="54"/>
        <v>0</v>
      </c>
      <c r="AX90" s="43">
        <f t="shared" si="55"/>
        <v>-22.830000000001178</v>
      </c>
      <c r="AY90" s="43">
        <f>'Quarter demand'!B90</f>
        <v>54308.19</v>
      </c>
      <c r="AZ90" s="43">
        <f>'Quarter demand'!C90</f>
        <v>1680.55</v>
      </c>
      <c r="BA90" s="43">
        <f>'Quarter demand'!D90</f>
        <v>203.40000000000006</v>
      </c>
      <c r="BB90" s="43">
        <f>'Quarter demand'!E90</f>
        <v>16445.37</v>
      </c>
      <c r="BC90" s="43">
        <f>'Quarter demand'!F90</f>
        <v>1794.1200000000044</v>
      </c>
      <c r="BD90" s="43">
        <f>'Quarter demand'!G90</f>
        <v>24367.53</v>
      </c>
      <c r="BE90" s="43">
        <f>'Quarter demand'!H90</f>
        <v>4369.6000000000004</v>
      </c>
      <c r="BF90" s="43">
        <f>'Quarter demand'!I90</f>
        <v>4904.6099999999997</v>
      </c>
      <c r="BG90" s="54">
        <f>'Quarter demand'!J90</f>
        <v>543.01000000000113</v>
      </c>
    </row>
    <row r="91" spans="1:59" ht="15.5" x14ac:dyDescent="0.35">
      <c r="A91" s="50" t="s">
        <v>256</v>
      </c>
      <c r="B91" s="43">
        <f t="shared" si="56"/>
        <v>30863.62</v>
      </c>
      <c r="C91" s="52">
        <v>432.32</v>
      </c>
      <c r="D91" s="52">
        <v>14338.29</v>
      </c>
      <c r="E91" s="52">
        <v>9108.27</v>
      </c>
      <c r="F91" s="52">
        <v>2673.71</v>
      </c>
      <c r="G91" s="52">
        <v>4311.03</v>
      </c>
      <c r="H91" s="43">
        <f t="shared" si="58"/>
        <v>37037.500000000007</v>
      </c>
      <c r="I91" s="52">
        <v>793.59</v>
      </c>
      <c r="J91" s="52">
        <v>165.06</v>
      </c>
      <c r="K91" s="52">
        <v>14290.51</v>
      </c>
      <c r="L91" s="52">
        <v>9635.41</v>
      </c>
      <c r="M91" s="52">
        <v>10229.34</v>
      </c>
      <c r="N91" s="52">
        <v>1396.83</v>
      </c>
      <c r="O91" s="52">
        <v>526.76</v>
      </c>
      <c r="P91" s="43">
        <f t="shared" si="59"/>
        <v>-22026.97</v>
      </c>
      <c r="Q91" s="52">
        <v>-89.67</v>
      </c>
      <c r="R91" s="52">
        <v>-1.66</v>
      </c>
      <c r="S91" s="52">
        <v>-13127.92</v>
      </c>
      <c r="T91" s="52">
        <v>-5232.6899999999996</v>
      </c>
      <c r="U91" s="52">
        <v>-3448.65</v>
      </c>
      <c r="V91" s="52">
        <v>-83.16</v>
      </c>
      <c r="W91" s="52">
        <v>-43.22</v>
      </c>
      <c r="X91" s="43">
        <f t="shared" si="60"/>
        <v>-661.44</v>
      </c>
      <c r="Y91" s="52">
        <v>-661.44</v>
      </c>
      <c r="Z91" s="43">
        <f t="shared" si="61"/>
        <v>-515.94000000000005</v>
      </c>
      <c r="AA91" s="52">
        <v>-98.11</v>
      </c>
      <c r="AB91" s="52">
        <v>62.68</v>
      </c>
      <c r="AC91" s="52">
        <v>5.56</v>
      </c>
      <c r="AD91" s="52">
        <v>-73.83</v>
      </c>
      <c r="AE91" s="52">
        <v>-412.17</v>
      </c>
      <c r="AF91" s="52">
        <v>-7.0000000000000007E-2</v>
      </c>
      <c r="AG91" s="43">
        <f t="shared" si="62"/>
        <v>44696.77</v>
      </c>
      <c r="AH91" s="43">
        <f t="shared" si="40"/>
        <v>1038.1300000000001</v>
      </c>
      <c r="AI91" s="43">
        <f t="shared" si="41"/>
        <v>226.08</v>
      </c>
      <c r="AJ91" s="43">
        <f t="shared" si="42"/>
        <v>15506.440000000002</v>
      </c>
      <c r="AK91" s="43">
        <f t="shared" si="43"/>
        <v>3667.4500000000003</v>
      </c>
      <c r="AL91" s="43">
        <f t="shared" si="44"/>
        <v>15476.79</v>
      </c>
      <c r="AM91" s="43">
        <f t="shared" si="45"/>
        <v>3987.31</v>
      </c>
      <c r="AN91" s="43">
        <f t="shared" si="57"/>
        <v>4311.03</v>
      </c>
      <c r="AO91" s="43">
        <f t="shared" si="46"/>
        <v>483.53999999999996</v>
      </c>
      <c r="AP91" s="43">
        <f t="shared" si="47"/>
        <v>-207.83000000000902</v>
      </c>
      <c r="AQ91" s="43">
        <f t="shared" si="48"/>
        <v>-8.7899999999999636</v>
      </c>
      <c r="AR91" s="43">
        <f t="shared" si="49"/>
        <v>1.0400000000000205</v>
      </c>
      <c r="AS91" s="43">
        <f t="shared" si="50"/>
        <v>10.090000000001965</v>
      </c>
      <c r="AT91" s="43">
        <f t="shared" si="51"/>
        <v>-15.949999999997544</v>
      </c>
      <c r="AU91" s="43">
        <f t="shared" si="52"/>
        <v>-187.22999999999956</v>
      </c>
      <c r="AV91" s="43">
        <f t="shared" si="53"/>
        <v>9.9999999997635314E-3</v>
      </c>
      <c r="AW91" s="43">
        <f t="shared" si="54"/>
        <v>9.999999999308784E-3</v>
      </c>
      <c r="AX91" s="43">
        <f t="shared" si="55"/>
        <v>-7.0100000000002183</v>
      </c>
      <c r="AY91" s="43">
        <f>'Quarter demand'!B91</f>
        <v>44904.600000000006</v>
      </c>
      <c r="AZ91" s="43">
        <f>'Quarter demand'!C91</f>
        <v>1046.92</v>
      </c>
      <c r="BA91" s="43">
        <f>'Quarter demand'!D91</f>
        <v>225.04</v>
      </c>
      <c r="BB91" s="43">
        <f>'Quarter demand'!E91</f>
        <v>15496.35</v>
      </c>
      <c r="BC91" s="43">
        <f>'Quarter demand'!F91</f>
        <v>3683.3999999999978</v>
      </c>
      <c r="BD91" s="43">
        <f>'Quarter demand'!G91</f>
        <v>15664.02</v>
      </c>
      <c r="BE91" s="43">
        <f>'Quarter demand'!H91</f>
        <v>3987.3</v>
      </c>
      <c r="BF91" s="43">
        <f>'Quarter demand'!I91</f>
        <v>4311.0200000000004</v>
      </c>
      <c r="BG91" s="54">
        <f>'Quarter demand'!J91</f>
        <v>490.55000000000018</v>
      </c>
    </row>
    <row r="92" spans="1:59" ht="15.5" x14ac:dyDescent="0.35">
      <c r="A92" s="50" t="s">
        <v>257</v>
      </c>
      <c r="B92" s="43">
        <f t="shared" si="56"/>
        <v>29547.440000000002</v>
      </c>
      <c r="C92" s="52">
        <v>439.36</v>
      </c>
      <c r="D92" s="52">
        <v>13648.85</v>
      </c>
      <c r="E92" s="52">
        <v>8369.41</v>
      </c>
      <c r="F92" s="52">
        <v>2456.02</v>
      </c>
      <c r="G92" s="52">
        <v>4633.8</v>
      </c>
      <c r="H92" s="43">
        <f t="shared" si="58"/>
        <v>30850.38</v>
      </c>
      <c r="I92" s="52">
        <v>874.59</v>
      </c>
      <c r="J92" s="52">
        <v>146.62</v>
      </c>
      <c r="K92" s="52">
        <v>13620.08</v>
      </c>
      <c r="L92" s="52">
        <v>8722.9599999999991</v>
      </c>
      <c r="M92" s="52">
        <v>5557.97</v>
      </c>
      <c r="N92" s="52">
        <v>1453.5</v>
      </c>
      <c r="O92" s="52">
        <v>474.66</v>
      </c>
      <c r="P92" s="43">
        <f t="shared" si="59"/>
        <v>-19837.04</v>
      </c>
      <c r="Q92" s="52">
        <v>-115.94</v>
      </c>
      <c r="R92" s="52">
        <v>-2.65</v>
      </c>
      <c r="S92" s="52">
        <v>-12082.62</v>
      </c>
      <c r="T92" s="52">
        <v>-5256.36</v>
      </c>
      <c r="U92" s="52">
        <v>-2215.5100000000002</v>
      </c>
      <c r="V92" s="52">
        <v>-71.91</v>
      </c>
      <c r="W92" s="52">
        <v>-92.05</v>
      </c>
      <c r="X92" s="43">
        <f t="shared" si="60"/>
        <v>-630.62</v>
      </c>
      <c r="Y92" s="52">
        <v>-630.62</v>
      </c>
      <c r="Z92" s="43">
        <f t="shared" si="61"/>
        <v>-284.0499999999999</v>
      </c>
      <c r="AA92" s="52">
        <v>-83.83</v>
      </c>
      <c r="AB92" s="52">
        <v>-9.31</v>
      </c>
      <c r="AC92" s="52">
        <v>694.96</v>
      </c>
      <c r="AD92" s="52">
        <v>-290.26</v>
      </c>
      <c r="AE92" s="52">
        <v>-595.54</v>
      </c>
      <c r="AF92" s="52">
        <v>-7.0000000000000007E-2</v>
      </c>
      <c r="AG92" s="43">
        <f t="shared" si="62"/>
        <v>39646.110000000008</v>
      </c>
      <c r="AH92" s="43">
        <f t="shared" si="40"/>
        <v>1114.18</v>
      </c>
      <c r="AI92" s="43">
        <f t="shared" si="41"/>
        <v>134.66</v>
      </c>
      <c r="AJ92" s="43">
        <f t="shared" si="42"/>
        <v>15881.27</v>
      </c>
      <c r="AK92" s="43">
        <f t="shared" si="43"/>
        <v>2545.7199999999993</v>
      </c>
      <c r="AL92" s="43">
        <f t="shared" si="44"/>
        <v>11116.330000000002</v>
      </c>
      <c r="AM92" s="43">
        <f t="shared" si="45"/>
        <v>3837.54</v>
      </c>
      <c r="AN92" s="43">
        <f t="shared" si="57"/>
        <v>4633.8</v>
      </c>
      <c r="AO92" s="43">
        <f t="shared" si="46"/>
        <v>382.61</v>
      </c>
      <c r="AP92" s="43">
        <f t="shared" si="47"/>
        <v>-297.15999999999622</v>
      </c>
      <c r="AQ92" s="43">
        <f t="shared" si="48"/>
        <v>-8.2200000000000273</v>
      </c>
      <c r="AR92" s="43">
        <f t="shared" si="49"/>
        <v>1.0199999999999534</v>
      </c>
      <c r="AS92" s="43">
        <f t="shared" si="50"/>
        <v>4.569999999999709</v>
      </c>
      <c r="AT92" s="43">
        <f t="shared" si="51"/>
        <v>27.380000000001019</v>
      </c>
      <c r="AU92" s="43">
        <f t="shared" si="52"/>
        <v>-352.33999999999651</v>
      </c>
      <c r="AV92" s="43">
        <f t="shared" si="53"/>
        <v>0</v>
      </c>
      <c r="AW92" s="43">
        <f t="shared" si="54"/>
        <v>0</v>
      </c>
      <c r="AX92" s="43">
        <f t="shared" si="55"/>
        <v>30.429999999999723</v>
      </c>
      <c r="AY92" s="43">
        <f>'Quarter demand'!B92</f>
        <v>39943.270000000004</v>
      </c>
      <c r="AZ92" s="43">
        <f>'Quarter demand'!C92</f>
        <v>1122.4000000000001</v>
      </c>
      <c r="BA92" s="43">
        <f>'Quarter demand'!D92</f>
        <v>133.64000000000004</v>
      </c>
      <c r="BB92" s="43">
        <f>'Quarter demand'!E92</f>
        <v>15876.7</v>
      </c>
      <c r="BC92" s="43">
        <f>'Quarter demand'!F92</f>
        <v>2518.3399999999983</v>
      </c>
      <c r="BD92" s="43">
        <f>'Quarter demand'!G92</f>
        <v>11468.669999999998</v>
      </c>
      <c r="BE92" s="43">
        <f>'Quarter demand'!H92</f>
        <v>3837.54</v>
      </c>
      <c r="BF92" s="43">
        <f>'Quarter demand'!I92</f>
        <v>4633.8</v>
      </c>
      <c r="BG92" s="54">
        <f>'Quarter demand'!J92</f>
        <v>352.18000000000029</v>
      </c>
    </row>
    <row r="93" spans="1:59" ht="15.5" x14ac:dyDescent="0.35">
      <c r="A93" s="50" t="s">
        <v>258</v>
      </c>
      <c r="B93" s="43">
        <f t="shared" si="56"/>
        <v>33910.080000000002</v>
      </c>
      <c r="C93" s="52">
        <v>420.62</v>
      </c>
      <c r="D93" s="52">
        <v>14420.77</v>
      </c>
      <c r="E93" s="52">
        <v>10414.780000000001</v>
      </c>
      <c r="F93" s="52">
        <v>3348.52</v>
      </c>
      <c r="G93" s="52">
        <v>5305.39</v>
      </c>
      <c r="H93" s="43">
        <f t="shared" si="58"/>
        <v>39029.959999999992</v>
      </c>
      <c r="I93" s="52">
        <v>857.09</v>
      </c>
      <c r="J93" s="52">
        <v>145.36000000000001</v>
      </c>
      <c r="K93" s="52">
        <v>14274.65</v>
      </c>
      <c r="L93" s="52">
        <v>8452.2099999999991</v>
      </c>
      <c r="M93" s="52">
        <v>13256.09</v>
      </c>
      <c r="N93" s="52">
        <v>1517.5</v>
      </c>
      <c r="O93" s="52">
        <v>527.05999999999995</v>
      </c>
      <c r="P93" s="43">
        <f t="shared" si="59"/>
        <v>-19698.5</v>
      </c>
      <c r="Q93" s="52">
        <v>-155.75</v>
      </c>
      <c r="R93" s="52">
        <v>-2.3199999999999998</v>
      </c>
      <c r="S93" s="52">
        <v>-11695.09</v>
      </c>
      <c r="T93" s="52">
        <v>-6348.48</v>
      </c>
      <c r="U93" s="52">
        <v>-1338.85</v>
      </c>
      <c r="V93" s="52">
        <v>-64.95</v>
      </c>
      <c r="W93" s="52">
        <v>-93.06</v>
      </c>
      <c r="X93" s="43">
        <f t="shared" si="60"/>
        <v>-594.61</v>
      </c>
      <c r="Y93" s="52">
        <v>-594.61</v>
      </c>
      <c r="Z93" s="43">
        <f t="shared" si="61"/>
        <v>159.08000000000001</v>
      </c>
      <c r="AA93" s="52">
        <v>496.25</v>
      </c>
      <c r="AB93" s="52">
        <v>19.02</v>
      </c>
      <c r="AC93" s="52">
        <v>-182.29</v>
      </c>
      <c r="AD93" s="52">
        <v>-196.05</v>
      </c>
      <c r="AE93" s="52">
        <v>22.22</v>
      </c>
      <c r="AF93" s="52">
        <v>-7.0000000000000007E-2</v>
      </c>
      <c r="AG93" s="43">
        <f t="shared" si="62"/>
        <v>52806.01</v>
      </c>
      <c r="AH93" s="43">
        <f t="shared" si="40"/>
        <v>1618.21</v>
      </c>
      <c r="AI93" s="43">
        <f t="shared" si="41"/>
        <v>162.06000000000003</v>
      </c>
      <c r="AJ93" s="43">
        <f t="shared" si="42"/>
        <v>16818.039999999997</v>
      </c>
      <c r="AK93" s="43">
        <f t="shared" si="43"/>
        <v>1313.0699999999995</v>
      </c>
      <c r="AL93" s="43">
        <f t="shared" si="44"/>
        <v>22354.240000000005</v>
      </c>
      <c r="AM93" s="43">
        <f t="shared" si="45"/>
        <v>4801.0000000000009</v>
      </c>
      <c r="AN93" s="43">
        <f t="shared" si="57"/>
        <v>5305.39</v>
      </c>
      <c r="AO93" s="43">
        <f t="shared" si="46"/>
        <v>433.99999999999994</v>
      </c>
      <c r="AP93" s="43">
        <f t="shared" si="47"/>
        <v>-82.249999999992724</v>
      </c>
      <c r="AQ93" s="43">
        <f t="shared" si="48"/>
        <v>-8.2999999999999545</v>
      </c>
      <c r="AR93" s="43">
        <f t="shared" si="49"/>
        <v>0.98000000000001819</v>
      </c>
      <c r="AS93" s="43">
        <f t="shared" si="50"/>
        <v>7.2599999999947613</v>
      </c>
      <c r="AT93" s="43">
        <f t="shared" si="51"/>
        <v>-34.229999999996153</v>
      </c>
      <c r="AU93" s="43">
        <f t="shared" si="52"/>
        <v>-44.419999999994616</v>
      </c>
      <c r="AV93" s="43">
        <f t="shared" si="53"/>
        <v>1.0000000001127773E-2</v>
      </c>
      <c r="AW93" s="43">
        <f t="shared" si="54"/>
        <v>0</v>
      </c>
      <c r="AX93" s="43">
        <f t="shared" si="55"/>
        <v>-3.5499999999993292</v>
      </c>
      <c r="AY93" s="43">
        <f>'Quarter demand'!B93</f>
        <v>52888.259999999995</v>
      </c>
      <c r="AZ93" s="43">
        <f>'Quarter demand'!C93</f>
        <v>1626.51</v>
      </c>
      <c r="BA93" s="43">
        <f>'Quarter demand'!D93</f>
        <v>161.08000000000001</v>
      </c>
      <c r="BB93" s="43">
        <f>'Quarter demand'!E93</f>
        <v>16810.780000000002</v>
      </c>
      <c r="BC93" s="43">
        <f>'Quarter demand'!F93</f>
        <v>1347.2999999999956</v>
      </c>
      <c r="BD93" s="43">
        <f>'Quarter demand'!G93</f>
        <v>22398.66</v>
      </c>
      <c r="BE93" s="43">
        <f>'Quarter demand'!H93</f>
        <v>4800.99</v>
      </c>
      <c r="BF93" s="43">
        <f>'Quarter demand'!I93</f>
        <v>5305.3899999999994</v>
      </c>
      <c r="BG93" s="54">
        <f>'Quarter demand'!J93</f>
        <v>437.54999999999927</v>
      </c>
    </row>
    <row r="94" spans="1:59" ht="15.5" x14ac:dyDescent="0.35">
      <c r="A94" s="50" t="s">
        <v>259</v>
      </c>
      <c r="B94" s="43">
        <f t="shared" si="56"/>
        <v>33723.179999999993</v>
      </c>
      <c r="C94" s="52">
        <v>386.15</v>
      </c>
      <c r="D94" s="52">
        <v>14365.29</v>
      </c>
      <c r="E94" s="52">
        <v>9957.48</v>
      </c>
      <c r="F94" s="52">
        <v>3594.69</v>
      </c>
      <c r="G94" s="52">
        <v>5419.57</v>
      </c>
      <c r="H94" s="43">
        <f t="shared" si="58"/>
        <v>37314.68</v>
      </c>
      <c r="I94" s="52">
        <v>732.71</v>
      </c>
      <c r="J94" s="52">
        <v>219.56</v>
      </c>
      <c r="K94" s="52">
        <v>12770.65</v>
      </c>
      <c r="L94" s="52">
        <v>8846.5400000000009</v>
      </c>
      <c r="M94" s="52">
        <v>12679.73</v>
      </c>
      <c r="N94" s="52">
        <v>1491.09</v>
      </c>
      <c r="O94" s="52">
        <v>574.4</v>
      </c>
      <c r="P94" s="43">
        <f t="shared" si="59"/>
        <v>-18715.759999999998</v>
      </c>
      <c r="Q94" s="52">
        <v>-140.28</v>
      </c>
      <c r="R94" s="52">
        <v>-1.75</v>
      </c>
      <c r="S94" s="52">
        <v>-11679.23</v>
      </c>
      <c r="T94" s="52">
        <v>-5453.33</v>
      </c>
      <c r="U94" s="52">
        <v>-1244.57</v>
      </c>
      <c r="V94" s="52">
        <v>-121.05</v>
      </c>
      <c r="W94" s="52">
        <v>-75.55</v>
      </c>
      <c r="X94" s="43">
        <f t="shared" si="60"/>
        <v>-482.07</v>
      </c>
      <c r="Y94" s="52">
        <v>-482.07</v>
      </c>
      <c r="Z94" s="43">
        <f t="shared" si="61"/>
        <v>1714.06</v>
      </c>
      <c r="AA94" s="52">
        <v>741.62</v>
      </c>
      <c r="AB94" s="52">
        <v>-11.34</v>
      </c>
      <c r="AC94" s="52">
        <v>-53.62</v>
      </c>
      <c r="AD94" s="52">
        <v>-240.3</v>
      </c>
      <c r="AE94" s="52">
        <v>1280.6400000000001</v>
      </c>
      <c r="AF94" s="52">
        <v>-2.94</v>
      </c>
      <c r="AG94" s="43">
        <f t="shared" si="62"/>
        <v>53554.090000000004</v>
      </c>
      <c r="AH94" s="43">
        <f t="shared" si="40"/>
        <v>1720.2000000000003</v>
      </c>
      <c r="AI94" s="43">
        <f t="shared" si="41"/>
        <v>206.47</v>
      </c>
      <c r="AJ94" s="43">
        <f t="shared" si="42"/>
        <v>15403.090000000002</v>
      </c>
      <c r="AK94" s="43">
        <f t="shared" si="43"/>
        <v>2670.8400000000006</v>
      </c>
      <c r="AL94" s="43">
        <f t="shared" si="44"/>
        <v>22673.279999999999</v>
      </c>
      <c r="AM94" s="43">
        <f t="shared" si="45"/>
        <v>4961.79</v>
      </c>
      <c r="AN94" s="43">
        <f t="shared" si="57"/>
        <v>5419.57</v>
      </c>
      <c r="AO94" s="43">
        <f t="shared" si="46"/>
        <v>498.84999999999997</v>
      </c>
      <c r="AP94" s="43">
        <f t="shared" si="47"/>
        <v>99.019999999996799</v>
      </c>
      <c r="AQ94" s="43">
        <f t="shared" si="48"/>
        <v>2.3800000000005639</v>
      </c>
      <c r="AR94" s="43">
        <f t="shared" si="49"/>
        <v>0.83999999999997499</v>
      </c>
      <c r="AS94" s="43">
        <f t="shared" si="50"/>
        <v>-16.569999999999709</v>
      </c>
      <c r="AT94" s="43">
        <f t="shared" si="51"/>
        <v>25.209999999999582</v>
      </c>
      <c r="AU94" s="43">
        <f t="shared" si="52"/>
        <v>91.360000000000582</v>
      </c>
      <c r="AV94" s="43">
        <f t="shared" si="53"/>
        <v>0</v>
      </c>
      <c r="AW94" s="43">
        <f t="shared" si="54"/>
        <v>-1.0000000000218279E-2</v>
      </c>
      <c r="AX94" s="43">
        <f t="shared" si="55"/>
        <v>-4.1899999999999977</v>
      </c>
      <c r="AY94" s="43">
        <f>'Quarter demand'!B94</f>
        <v>53455.070000000007</v>
      </c>
      <c r="AZ94" s="43">
        <f>'Quarter demand'!C94</f>
        <v>1717.8199999999997</v>
      </c>
      <c r="BA94" s="43">
        <f>'Quarter demand'!D94</f>
        <v>205.63000000000002</v>
      </c>
      <c r="BB94" s="43">
        <f>'Quarter demand'!E94</f>
        <v>15419.660000000002</v>
      </c>
      <c r="BC94" s="43">
        <f>'Quarter demand'!F94</f>
        <v>2645.630000000001</v>
      </c>
      <c r="BD94" s="43">
        <f>'Quarter demand'!G94</f>
        <v>22581.919999999998</v>
      </c>
      <c r="BE94" s="43">
        <f>'Quarter demand'!H94</f>
        <v>4961.7900000000009</v>
      </c>
      <c r="BF94" s="43">
        <f>'Quarter demand'!I94</f>
        <v>5419.58</v>
      </c>
      <c r="BG94" s="54">
        <f>'Quarter demand'!J94</f>
        <v>503.03999999999996</v>
      </c>
    </row>
    <row r="95" spans="1:59" ht="15.5" x14ac:dyDescent="0.35">
      <c r="A95" s="50" t="s">
        <v>260</v>
      </c>
      <c r="B95" s="43">
        <f t="shared" si="56"/>
        <v>31367.550000000003</v>
      </c>
      <c r="C95" s="52">
        <v>296.66000000000003</v>
      </c>
      <c r="D95" s="52">
        <v>14181.76</v>
      </c>
      <c r="E95" s="52">
        <v>9984.33</v>
      </c>
      <c r="F95" s="52">
        <v>2679.22</v>
      </c>
      <c r="G95" s="52">
        <v>4225.58</v>
      </c>
      <c r="H95" s="43">
        <f t="shared" si="58"/>
        <v>25170.809999999998</v>
      </c>
      <c r="I95" s="52">
        <v>544.04999999999995</v>
      </c>
      <c r="J95" s="52">
        <v>259.92</v>
      </c>
      <c r="K95" s="52">
        <v>8590.4500000000007</v>
      </c>
      <c r="L95" s="52">
        <v>5694.73</v>
      </c>
      <c r="M95" s="52">
        <v>8200.02</v>
      </c>
      <c r="N95" s="52">
        <v>1402.37</v>
      </c>
      <c r="O95" s="52">
        <v>479.27</v>
      </c>
      <c r="P95" s="43">
        <f t="shared" si="59"/>
        <v>-20844.490000000002</v>
      </c>
      <c r="Q95" s="52">
        <v>-200.37</v>
      </c>
      <c r="R95" s="52">
        <v>-1.62</v>
      </c>
      <c r="S95" s="52">
        <v>-10886.27</v>
      </c>
      <c r="T95" s="52">
        <v>-5345.99</v>
      </c>
      <c r="U95" s="52">
        <v>-4201.58</v>
      </c>
      <c r="V95" s="52">
        <v>-112.98</v>
      </c>
      <c r="W95" s="52">
        <v>-95.68</v>
      </c>
      <c r="X95" s="43">
        <f t="shared" si="60"/>
        <v>-479.26</v>
      </c>
      <c r="Y95" s="52">
        <v>-479.26</v>
      </c>
      <c r="Z95" s="43">
        <f t="shared" si="61"/>
        <v>-1808.3400000000001</v>
      </c>
      <c r="AA95" s="52">
        <v>259.51</v>
      </c>
      <c r="AB95" s="52">
        <v>-57.76</v>
      </c>
      <c r="AC95" s="52">
        <v>-461.81</v>
      </c>
      <c r="AD95" s="52">
        <v>-481.15</v>
      </c>
      <c r="AE95" s="52">
        <v>-1064.19</v>
      </c>
      <c r="AF95" s="52">
        <v>-2.94</v>
      </c>
      <c r="AG95" s="43">
        <f t="shared" ref="AG95:AG101" si="63">SUM(AH95:AO95)</f>
        <v>33406.26999999999</v>
      </c>
      <c r="AH95" s="43">
        <f t="shared" si="40"/>
        <v>899.85</v>
      </c>
      <c r="AI95" s="43">
        <f t="shared" si="41"/>
        <v>200.54000000000002</v>
      </c>
      <c r="AJ95" s="43">
        <f t="shared" si="42"/>
        <v>11424.13</v>
      </c>
      <c r="AK95" s="43">
        <f t="shared" si="43"/>
        <v>-611.67000000000019</v>
      </c>
      <c r="AL95" s="43">
        <f t="shared" si="44"/>
        <v>12918.579999999998</v>
      </c>
      <c r="AM95" s="43">
        <f t="shared" si="45"/>
        <v>3965.6699999999996</v>
      </c>
      <c r="AN95" s="43">
        <f t="shared" si="57"/>
        <v>4225.58</v>
      </c>
      <c r="AO95" s="43">
        <f t="shared" si="46"/>
        <v>383.59</v>
      </c>
      <c r="AP95" s="43">
        <f t="shared" si="47"/>
        <v>34.019999999989523</v>
      </c>
      <c r="AQ95" s="43">
        <f t="shared" si="48"/>
        <v>-7.5499999999999545</v>
      </c>
      <c r="AR95" s="43">
        <f t="shared" si="49"/>
        <v>-0.90000000000000568</v>
      </c>
      <c r="AS95" s="43">
        <f t="shared" si="50"/>
        <v>16.269999999998618</v>
      </c>
      <c r="AT95" s="43">
        <f t="shared" si="51"/>
        <v>27.080000000001633</v>
      </c>
      <c r="AU95" s="43">
        <f t="shared" si="52"/>
        <v>-3.7100000000027649</v>
      </c>
      <c r="AV95" s="43">
        <f t="shared" si="53"/>
        <v>0</v>
      </c>
      <c r="AW95" s="43">
        <f t="shared" si="54"/>
        <v>0</v>
      </c>
      <c r="AX95" s="43">
        <f t="shared" si="55"/>
        <v>2.8299999999997567</v>
      </c>
      <c r="AY95" s="43">
        <f>'Quarter demand'!B95</f>
        <v>33372.25</v>
      </c>
      <c r="AZ95" s="43">
        <f>'Quarter demand'!C95</f>
        <v>907.4</v>
      </c>
      <c r="BA95" s="43">
        <f>'Quarter demand'!D95</f>
        <v>201.44000000000003</v>
      </c>
      <c r="BB95" s="43">
        <f>'Quarter demand'!E95</f>
        <v>11407.86</v>
      </c>
      <c r="BC95" s="43">
        <f>'Quarter demand'!F95</f>
        <v>-638.75000000000182</v>
      </c>
      <c r="BD95" s="43">
        <f>'Quarter demand'!G95</f>
        <v>12922.29</v>
      </c>
      <c r="BE95" s="43">
        <f>'Quarter demand'!H95</f>
        <v>3965.67</v>
      </c>
      <c r="BF95" s="43">
        <f>'Quarter demand'!I95</f>
        <v>4225.58</v>
      </c>
      <c r="BG95" s="54">
        <f>'Quarter demand'!J95</f>
        <v>380.76000000000022</v>
      </c>
    </row>
    <row r="96" spans="1:59" ht="15.5" x14ac:dyDescent="0.35">
      <c r="A96" s="50" t="s">
        <v>261</v>
      </c>
      <c r="B96" s="43">
        <f t="shared" si="56"/>
        <v>27321.230000000003</v>
      </c>
      <c r="C96" s="52">
        <v>273.94</v>
      </c>
      <c r="D96" s="52">
        <v>12072.12</v>
      </c>
      <c r="E96" s="52">
        <v>8402.25</v>
      </c>
      <c r="F96" s="52">
        <v>2496.54</v>
      </c>
      <c r="G96" s="52">
        <v>4076.38</v>
      </c>
      <c r="H96" s="43">
        <f t="shared" si="58"/>
        <v>26236.94</v>
      </c>
      <c r="I96" s="52">
        <v>779.05</v>
      </c>
      <c r="J96" s="52">
        <v>156.4</v>
      </c>
      <c r="K96" s="52">
        <v>10748.84</v>
      </c>
      <c r="L96" s="52">
        <v>6521.6</v>
      </c>
      <c r="M96" s="52">
        <v>6228.28</v>
      </c>
      <c r="N96" s="52">
        <v>1459.44</v>
      </c>
      <c r="O96" s="52">
        <v>343.33</v>
      </c>
      <c r="P96" s="43">
        <f t="shared" si="59"/>
        <v>-17991.609999999997</v>
      </c>
      <c r="Q96" s="52">
        <v>-241.4</v>
      </c>
      <c r="R96" s="52">
        <v>-2.0099999999999998</v>
      </c>
      <c r="S96" s="52">
        <v>-10545.73</v>
      </c>
      <c r="T96" s="52">
        <v>-4357.8599999999997</v>
      </c>
      <c r="U96" s="52">
        <v>-2585.9299999999998</v>
      </c>
      <c r="V96" s="52">
        <v>-116.51</v>
      </c>
      <c r="W96" s="52">
        <v>-142.16999999999999</v>
      </c>
      <c r="X96" s="43">
        <f t="shared" si="60"/>
        <v>-517.79</v>
      </c>
      <c r="Y96" s="52">
        <v>-517.79</v>
      </c>
      <c r="Z96" s="43">
        <f t="shared" ref="Z96:Z103" si="64">SUM(AA96:AF96)</f>
        <v>1309.1099999999999</v>
      </c>
      <c r="AA96" s="52">
        <v>175.7</v>
      </c>
      <c r="AB96" s="52">
        <v>31.36</v>
      </c>
      <c r="AC96" s="52">
        <v>665.16</v>
      </c>
      <c r="AD96" s="52">
        <v>287.74</v>
      </c>
      <c r="AE96" s="52">
        <v>152.09</v>
      </c>
      <c r="AF96" s="52">
        <v>-2.94</v>
      </c>
      <c r="AG96" s="43">
        <f t="shared" si="63"/>
        <v>36357.879999999997</v>
      </c>
      <c r="AH96" s="43">
        <f t="shared" si="40"/>
        <v>987.29</v>
      </c>
      <c r="AI96" s="43">
        <f t="shared" si="41"/>
        <v>185.75</v>
      </c>
      <c r="AJ96" s="43">
        <f t="shared" si="42"/>
        <v>12940.39</v>
      </c>
      <c r="AK96" s="43">
        <f t="shared" si="43"/>
        <v>1933.6900000000007</v>
      </c>
      <c r="AL96" s="43">
        <f t="shared" si="44"/>
        <v>12196.689999999999</v>
      </c>
      <c r="AM96" s="43">
        <f t="shared" si="45"/>
        <v>3836.5299999999997</v>
      </c>
      <c r="AN96" s="43">
        <f t="shared" si="57"/>
        <v>4076.38</v>
      </c>
      <c r="AO96" s="43">
        <f t="shared" si="46"/>
        <v>201.16</v>
      </c>
      <c r="AP96" s="43">
        <f t="shared" si="47"/>
        <v>145.3099999999904</v>
      </c>
      <c r="AQ96" s="43">
        <f t="shared" si="48"/>
        <v>-3.6400000000001</v>
      </c>
      <c r="AR96" s="43">
        <f t="shared" si="49"/>
        <v>0.74000000000000909</v>
      </c>
      <c r="AS96" s="43">
        <f t="shared" si="50"/>
        <v>-1.2300000000013824</v>
      </c>
      <c r="AT96" s="43">
        <f t="shared" si="51"/>
        <v>34.200000000000955</v>
      </c>
      <c r="AU96" s="43">
        <f t="shared" si="52"/>
        <v>88.319999999996071</v>
      </c>
      <c r="AV96" s="43">
        <f t="shared" si="53"/>
        <v>-9.9999999997635314E-3</v>
      </c>
      <c r="AW96" s="43">
        <f t="shared" si="54"/>
        <v>-1.0000000000218279E-2</v>
      </c>
      <c r="AX96" s="43">
        <f t="shared" si="55"/>
        <v>26.940000000000651</v>
      </c>
      <c r="AY96" s="43">
        <f>'Quarter demand'!B96</f>
        <v>36212.570000000007</v>
      </c>
      <c r="AZ96" s="43">
        <f>'Quarter demand'!C96</f>
        <v>990.93000000000006</v>
      </c>
      <c r="BA96" s="43">
        <f>'Quarter demand'!D96</f>
        <v>185.01</v>
      </c>
      <c r="BB96" s="43">
        <f>'Quarter demand'!E96</f>
        <v>12941.62</v>
      </c>
      <c r="BC96" s="43">
        <f>'Quarter demand'!F96</f>
        <v>1899.4899999999998</v>
      </c>
      <c r="BD96" s="43">
        <f>'Quarter demand'!G96</f>
        <v>12108.370000000003</v>
      </c>
      <c r="BE96" s="43">
        <f>'Quarter demand'!H96</f>
        <v>3836.5399999999995</v>
      </c>
      <c r="BF96" s="43">
        <f>'Quarter demand'!I96</f>
        <v>4076.3900000000003</v>
      </c>
      <c r="BG96" s="54">
        <f>'Quarter demand'!J96</f>
        <v>174.21999999999935</v>
      </c>
    </row>
    <row r="97" spans="1:59" ht="15.5" x14ac:dyDescent="0.35">
      <c r="A97" s="50" t="s">
        <v>262</v>
      </c>
      <c r="B97" s="43">
        <f t="shared" si="56"/>
        <v>31224.859999999997</v>
      </c>
      <c r="C97" s="52">
        <v>201.06</v>
      </c>
      <c r="D97" s="52">
        <v>13028.44</v>
      </c>
      <c r="E97" s="52">
        <v>9462.1299999999992</v>
      </c>
      <c r="F97" s="52">
        <v>3369.48</v>
      </c>
      <c r="G97" s="52">
        <v>5163.75</v>
      </c>
      <c r="H97" s="43">
        <f t="shared" si="58"/>
        <v>35254.03</v>
      </c>
      <c r="I97" s="52">
        <v>1085.46</v>
      </c>
      <c r="J97" s="52">
        <v>176.42</v>
      </c>
      <c r="K97" s="52">
        <v>11197.08</v>
      </c>
      <c r="L97" s="52">
        <v>6773.89</v>
      </c>
      <c r="M97" s="52">
        <v>14008.73</v>
      </c>
      <c r="N97" s="52">
        <v>1484.2</v>
      </c>
      <c r="O97" s="52">
        <v>528.25</v>
      </c>
      <c r="P97" s="43">
        <f t="shared" si="59"/>
        <v>-17124.43</v>
      </c>
      <c r="Q97" s="52">
        <v>-279.62</v>
      </c>
      <c r="R97" s="52">
        <v>-2.82</v>
      </c>
      <c r="S97" s="52">
        <v>-10481.379999999999</v>
      </c>
      <c r="T97" s="52">
        <v>-5083.8</v>
      </c>
      <c r="U97" s="52">
        <v>-1084.8800000000001</v>
      </c>
      <c r="V97" s="52">
        <v>-120.04</v>
      </c>
      <c r="W97" s="52">
        <v>-71.89</v>
      </c>
      <c r="X97" s="43">
        <f t="shared" si="60"/>
        <v>-530.45000000000005</v>
      </c>
      <c r="Y97" s="52">
        <v>-530.45000000000005</v>
      </c>
      <c r="Z97" s="43">
        <f t="shared" si="64"/>
        <v>-386.81</v>
      </c>
      <c r="AA97" s="52">
        <v>191.01</v>
      </c>
      <c r="AB97" s="52">
        <v>42.8</v>
      </c>
      <c r="AC97" s="52">
        <v>26.9</v>
      </c>
      <c r="AD97" s="52">
        <v>-261.27</v>
      </c>
      <c r="AE97" s="52">
        <v>-383.31</v>
      </c>
      <c r="AF97" s="52">
        <v>-2.94</v>
      </c>
      <c r="AG97" s="43">
        <f t="shared" si="63"/>
        <v>48437.2</v>
      </c>
      <c r="AH97" s="43">
        <f t="shared" si="40"/>
        <v>1197.9099999999999</v>
      </c>
      <c r="AI97" s="43">
        <f t="shared" si="41"/>
        <v>216.39999999999998</v>
      </c>
      <c r="AJ97" s="43">
        <f t="shared" si="42"/>
        <v>13771.04</v>
      </c>
      <c r="AK97" s="43">
        <f t="shared" si="43"/>
        <v>898.37000000000012</v>
      </c>
      <c r="AL97" s="43">
        <f t="shared" si="44"/>
        <v>22002.67</v>
      </c>
      <c r="AM97" s="43">
        <f t="shared" si="45"/>
        <v>4730.7000000000007</v>
      </c>
      <c r="AN97" s="43">
        <f t="shared" si="57"/>
        <v>5163.75</v>
      </c>
      <c r="AO97" s="43">
        <f t="shared" si="46"/>
        <v>456.36</v>
      </c>
      <c r="AP97" s="43">
        <f t="shared" si="47"/>
        <v>-93.570000000006985</v>
      </c>
      <c r="AQ97" s="43">
        <f t="shared" si="48"/>
        <v>-19.710000000000036</v>
      </c>
      <c r="AR97" s="43">
        <f t="shared" si="49"/>
        <v>0.76999999999998181</v>
      </c>
      <c r="AS97" s="43">
        <f t="shared" si="50"/>
        <v>-16.599999999998545</v>
      </c>
      <c r="AT97" s="43">
        <f t="shared" si="51"/>
        <v>3.2599999999995362</v>
      </c>
      <c r="AU97" s="43">
        <f t="shared" si="52"/>
        <v>-44.600000000002183</v>
      </c>
      <c r="AV97" s="43">
        <f t="shared" si="53"/>
        <v>1.0000000000218279E-2</v>
      </c>
      <c r="AW97" s="43">
        <f t="shared" si="54"/>
        <v>0</v>
      </c>
      <c r="AX97" s="43">
        <f t="shared" si="55"/>
        <v>-16.700000000000387</v>
      </c>
      <c r="AY97" s="43">
        <f>'Quarter demand'!B97</f>
        <v>48530.770000000004</v>
      </c>
      <c r="AZ97" s="43">
        <f>'Quarter demand'!C97</f>
        <v>1217.6199999999999</v>
      </c>
      <c r="BA97" s="43">
        <f>'Quarter demand'!D97</f>
        <v>215.63</v>
      </c>
      <c r="BB97" s="43">
        <f>'Quarter demand'!E97</f>
        <v>13787.64</v>
      </c>
      <c r="BC97" s="43">
        <f>'Quarter demand'!F97</f>
        <v>895.11000000000058</v>
      </c>
      <c r="BD97" s="43">
        <f>'Quarter demand'!G97</f>
        <v>22047.27</v>
      </c>
      <c r="BE97" s="43">
        <f>'Quarter demand'!H97</f>
        <v>4730.6900000000005</v>
      </c>
      <c r="BF97" s="43">
        <f>'Quarter demand'!I97</f>
        <v>5163.75</v>
      </c>
      <c r="BG97" s="54">
        <f>'Quarter demand'!J97</f>
        <v>473.0600000000004</v>
      </c>
    </row>
    <row r="98" spans="1:59" ht="15.5" x14ac:dyDescent="0.35">
      <c r="A98" s="50" t="s">
        <v>263</v>
      </c>
      <c r="B98" s="43">
        <f t="shared" ref="B98:B103" si="65">SUM(C98:G98)</f>
        <v>29989.519999999997</v>
      </c>
      <c r="C98" s="52">
        <v>184.2</v>
      </c>
      <c r="D98" s="52">
        <v>12713.97</v>
      </c>
      <c r="E98" s="52">
        <v>8591.7900000000009</v>
      </c>
      <c r="F98" s="52">
        <v>3879.53</v>
      </c>
      <c r="G98" s="52">
        <v>4620.03</v>
      </c>
      <c r="H98" s="43">
        <f t="shared" si="58"/>
        <v>33859.310000000005</v>
      </c>
      <c r="I98" s="52">
        <v>770.96</v>
      </c>
      <c r="J98" s="52">
        <v>120.98</v>
      </c>
      <c r="K98" s="52">
        <v>8022.68</v>
      </c>
      <c r="L98" s="52">
        <v>5822.2</v>
      </c>
      <c r="M98" s="52">
        <v>17194.150000000001</v>
      </c>
      <c r="N98" s="52">
        <v>1325.4</v>
      </c>
      <c r="O98" s="52">
        <v>602.94000000000005</v>
      </c>
      <c r="P98" s="43">
        <f t="shared" si="59"/>
        <v>-16068.190000000002</v>
      </c>
      <c r="Q98" s="52">
        <v>-297.95999999999998</v>
      </c>
      <c r="R98" s="52">
        <v>-1.27</v>
      </c>
      <c r="S98" s="52">
        <v>-10124.67</v>
      </c>
      <c r="T98" s="52">
        <v>-4310.3</v>
      </c>
      <c r="U98" s="52">
        <v>-1174.02</v>
      </c>
      <c r="V98" s="52">
        <v>-99.7</v>
      </c>
      <c r="W98" s="52">
        <v>-60.27</v>
      </c>
      <c r="X98" s="43">
        <f t="shared" si="60"/>
        <v>-441.37</v>
      </c>
      <c r="Y98" s="52">
        <v>-441.37</v>
      </c>
      <c r="Z98" s="43">
        <f t="shared" si="64"/>
        <v>2866.04</v>
      </c>
      <c r="AA98" s="52">
        <v>761.78</v>
      </c>
      <c r="AB98" s="52">
        <v>83.38</v>
      </c>
      <c r="AC98" s="52">
        <v>150.26</v>
      </c>
      <c r="AD98" s="52">
        <v>1014.7</v>
      </c>
      <c r="AE98" s="52">
        <v>856.3</v>
      </c>
      <c r="AF98" s="52">
        <v>-0.38</v>
      </c>
      <c r="AG98" s="43">
        <f t="shared" si="63"/>
        <v>50205.31</v>
      </c>
      <c r="AH98" s="43">
        <f t="shared" si="40"/>
        <v>1418.98</v>
      </c>
      <c r="AI98" s="43">
        <f t="shared" si="41"/>
        <v>203.09</v>
      </c>
      <c r="AJ98" s="43">
        <f t="shared" si="42"/>
        <v>10762.240000000002</v>
      </c>
      <c r="AK98" s="43">
        <f t="shared" si="43"/>
        <v>2085.2299999999996</v>
      </c>
      <c r="AL98" s="43">
        <f t="shared" si="44"/>
        <v>25468.22</v>
      </c>
      <c r="AM98" s="43">
        <f t="shared" si="45"/>
        <v>5104.8500000000004</v>
      </c>
      <c r="AN98" s="43">
        <f t="shared" si="57"/>
        <v>4620.03</v>
      </c>
      <c r="AO98" s="43">
        <f t="shared" si="46"/>
        <v>542.67000000000007</v>
      </c>
      <c r="AP98" s="43">
        <f t="shared" si="47"/>
        <v>177.73999999999796</v>
      </c>
      <c r="AQ98" s="43">
        <f t="shared" si="48"/>
        <v>-12.950000000000045</v>
      </c>
      <c r="AR98" s="43">
        <f t="shared" si="49"/>
        <v>-0.9299999999999784</v>
      </c>
      <c r="AS98" s="43">
        <f t="shared" si="50"/>
        <v>-12.849999999998545</v>
      </c>
      <c r="AT98" s="43">
        <f t="shared" si="51"/>
        <v>12.140000000001237</v>
      </c>
      <c r="AU98" s="43">
        <f t="shared" si="52"/>
        <v>217.15999999999985</v>
      </c>
      <c r="AV98" s="43">
        <f t="shared" si="53"/>
        <v>1.0000000000218279E-2</v>
      </c>
      <c r="AW98" s="43">
        <f t="shared" si="54"/>
        <v>-1.0000000000218279E-2</v>
      </c>
      <c r="AX98" s="43">
        <f t="shared" si="55"/>
        <v>-24.829999999999927</v>
      </c>
      <c r="AY98" s="43">
        <f>'Quarter demand'!B98</f>
        <v>50027.57</v>
      </c>
      <c r="AZ98" s="43">
        <f>'Quarter demand'!C98</f>
        <v>1431.93</v>
      </c>
      <c r="BA98" s="43">
        <f>'Quarter demand'!D98</f>
        <v>204.01999999999998</v>
      </c>
      <c r="BB98" s="43">
        <f>'Quarter demand'!E98</f>
        <v>10775.09</v>
      </c>
      <c r="BC98" s="43">
        <f>'Quarter demand'!F98</f>
        <v>2073.0899999999983</v>
      </c>
      <c r="BD98" s="43">
        <f>'Quarter demand'!G98</f>
        <v>25251.06</v>
      </c>
      <c r="BE98" s="43">
        <f>'Quarter demand'!H98</f>
        <v>5104.84</v>
      </c>
      <c r="BF98" s="43">
        <f>'Quarter demand'!I98</f>
        <v>4620.04</v>
      </c>
      <c r="BG98" s="54">
        <f>'Quarter demand'!J98</f>
        <v>567.5</v>
      </c>
    </row>
    <row r="99" spans="1:59" ht="15.5" x14ac:dyDescent="0.35">
      <c r="A99" s="50" t="s">
        <v>264</v>
      </c>
      <c r="B99" s="43">
        <f t="shared" si="65"/>
        <v>22786.989999999998</v>
      </c>
      <c r="C99" s="52">
        <v>253.62</v>
      </c>
      <c r="D99" s="52">
        <v>9640.17</v>
      </c>
      <c r="E99" s="52">
        <v>5946.05</v>
      </c>
      <c r="F99" s="52">
        <v>2972.39</v>
      </c>
      <c r="G99" s="52">
        <v>3974.76</v>
      </c>
      <c r="H99" s="43">
        <f t="shared" si="58"/>
        <v>32090.62</v>
      </c>
      <c r="I99" s="52">
        <v>699.82</v>
      </c>
      <c r="J99" s="52">
        <v>158.47999999999999</v>
      </c>
      <c r="K99" s="52">
        <v>11826.1</v>
      </c>
      <c r="L99" s="52">
        <v>6598.17</v>
      </c>
      <c r="M99" s="52">
        <v>10761.75</v>
      </c>
      <c r="N99" s="52">
        <v>1442.54</v>
      </c>
      <c r="O99" s="52">
        <v>603.76</v>
      </c>
      <c r="P99" s="43">
        <f t="shared" si="59"/>
        <v>-14146.889999999998</v>
      </c>
      <c r="Q99" s="52">
        <v>-109.69</v>
      </c>
      <c r="R99" s="52">
        <v>-1.92</v>
      </c>
      <c r="S99" s="52">
        <v>-8260.56</v>
      </c>
      <c r="T99" s="52">
        <v>-4565.79</v>
      </c>
      <c r="U99" s="52">
        <v>-1028.6199999999999</v>
      </c>
      <c r="V99" s="52">
        <v>-99.92</v>
      </c>
      <c r="W99" s="52">
        <v>-80.39</v>
      </c>
      <c r="X99" s="43">
        <f t="shared" si="60"/>
        <v>-532.77</v>
      </c>
      <c r="Y99" s="52">
        <v>-532.77</v>
      </c>
      <c r="Z99" s="43">
        <f t="shared" si="64"/>
        <v>676.79000000000008</v>
      </c>
      <c r="AA99" s="52">
        <v>218.25</v>
      </c>
      <c r="AB99" s="52">
        <v>67.3</v>
      </c>
      <c r="AC99" s="52">
        <v>-159.02000000000001</v>
      </c>
      <c r="AD99" s="52">
        <v>289.85000000000002</v>
      </c>
      <c r="AE99" s="52">
        <v>260.79000000000002</v>
      </c>
      <c r="AF99" s="52">
        <v>-0.38</v>
      </c>
      <c r="AG99" s="43">
        <f t="shared" si="63"/>
        <v>40874.740000000005</v>
      </c>
      <c r="AH99" s="43">
        <f t="shared" si="40"/>
        <v>1062</v>
      </c>
      <c r="AI99" s="43">
        <f t="shared" si="41"/>
        <v>223.86</v>
      </c>
      <c r="AJ99" s="43">
        <f t="shared" si="42"/>
        <v>13046.69</v>
      </c>
      <c r="AK99" s="43">
        <f t="shared" si="43"/>
        <v>1789.46</v>
      </c>
      <c r="AL99" s="43">
        <f t="shared" si="44"/>
        <v>15939.970000000001</v>
      </c>
      <c r="AM99" s="43">
        <f t="shared" ref="AM99:AM104" si="66">F99+N99+V99+AF99</f>
        <v>4314.63</v>
      </c>
      <c r="AN99" s="43">
        <f t="shared" si="57"/>
        <v>3974.76</v>
      </c>
      <c r="AO99" s="43">
        <f t="shared" si="46"/>
        <v>523.37</v>
      </c>
      <c r="AP99" s="43">
        <f t="shared" si="47"/>
        <v>-18.459999999991851</v>
      </c>
      <c r="AQ99" s="43">
        <f t="shared" si="48"/>
        <v>-11.819999999999709</v>
      </c>
      <c r="AR99" s="43">
        <f t="shared" si="49"/>
        <v>0.47999999999996135</v>
      </c>
      <c r="AS99" s="43">
        <f t="shared" si="50"/>
        <v>0.97999999999956344</v>
      </c>
      <c r="AT99" s="43">
        <f t="shared" si="51"/>
        <v>27.749999999999091</v>
      </c>
      <c r="AU99" s="43">
        <f t="shared" si="52"/>
        <v>-29.399999999997817</v>
      </c>
      <c r="AV99" s="43">
        <f t="shared" si="53"/>
        <v>-9.999999999308784E-3</v>
      </c>
      <c r="AW99" s="43">
        <f t="shared" si="54"/>
        <v>0</v>
      </c>
      <c r="AX99" s="43">
        <f t="shared" si="55"/>
        <v>-6.4400000000003956</v>
      </c>
      <c r="AY99" s="43">
        <f>'Quarter demand'!B99</f>
        <v>40893.199999999997</v>
      </c>
      <c r="AZ99" s="43">
        <f>'Quarter demand'!C99</f>
        <v>1073.8199999999997</v>
      </c>
      <c r="BA99" s="43">
        <f>'Quarter demand'!D99</f>
        <v>223.38000000000005</v>
      </c>
      <c r="BB99" s="43">
        <f>'Quarter demand'!E99</f>
        <v>13045.710000000001</v>
      </c>
      <c r="BC99" s="43">
        <f>'Quarter demand'!F99</f>
        <v>1761.7100000000009</v>
      </c>
      <c r="BD99" s="43">
        <f>'Quarter demand'!G99</f>
        <v>15969.369999999999</v>
      </c>
      <c r="BE99" s="43">
        <f>'Quarter demand'!H99</f>
        <v>4314.6399999999994</v>
      </c>
      <c r="BF99" s="43">
        <f>'Quarter demand'!I99</f>
        <v>3974.7599999999998</v>
      </c>
      <c r="BG99" s="54">
        <f>'Quarter demand'!J99</f>
        <v>529.8100000000004</v>
      </c>
    </row>
    <row r="100" spans="1:59" ht="15.5" x14ac:dyDescent="0.35">
      <c r="A100" s="50" t="s">
        <v>488</v>
      </c>
      <c r="B100" s="43">
        <f t="shared" si="65"/>
        <v>25041.239999999998</v>
      </c>
      <c r="C100" s="52">
        <v>171.71</v>
      </c>
      <c r="D100" s="52">
        <v>11169.46</v>
      </c>
      <c r="E100" s="52">
        <v>7485.91</v>
      </c>
      <c r="F100" s="52">
        <v>2623.88</v>
      </c>
      <c r="G100" s="52">
        <v>3590.28</v>
      </c>
      <c r="H100" s="43">
        <f t="shared" si="58"/>
        <v>28881.439999999999</v>
      </c>
      <c r="I100" s="52">
        <v>860.84</v>
      </c>
      <c r="J100" s="52">
        <v>220.56</v>
      </c>
      <c r="K100" s="52">
        <v>12357.38</v>
      </c>
      <c r="L100" s="52">
        <v>6897.54</v>
      </c>
      <c r="M100" s="52">
        <v>6373.39</v>
      </c>
      <c r="N100" s="52">
        <v>1435.05</v>
      </c>
      <c r="O100" s="52">
        <v>736.68</v>
      </c>
      <c r="P100" s="43">
        <f t="shared" ref="P100" si="67">SUM(Q100:W100)</f>
        <v>-16582.849999999999</v>
      </c>
      <c r="Q100" s="52">
        <v>-147.44</v>
      </c>
      <c r="R100" s="52">
        <v>-2.2599999999999998</v>
      </c>
      <c r="S100" s="52">
        <v>-9266.31</v>
      </c>
      <c r="T100" s="52">
        <v>-5482.79</v>
      </c>
      <c r="U100" s="52">
        <v>-1507.38</v>
      </c>
      <c r="V100" s="52">
        <v>-102.05</v>
      </c>
      <c r="W100" s="52">
        <v>-74.62</v>
      </c>
      <c r="X100" s="43">
        <f t="shared" ref="X100" si="68">Y100</f>
        <v>-586.74</v>
      </c>
      <c r="Y100" s="52">
        <v>-586.74</v>
      </c>
      <c r="Z100" s="43">
        <f t="shared" si="64"/>
        <v>-143.13999999999999</v>
      </c>
      <c r="AA100" s="52">
        <v>226.07</v>
      </c>
      <c r="AB100" s="52">
        <v>17.37</v>
      </c>
      <c r="AC100" s="52">
        <v>342.48</v>
      </c>
      <c r="AD100" s="52">
        <v>191.8</v>
      </c>
      <c r="AE100" s="52">
        <v>-920.48</v>
      </c>
      <c r="AF100" s="52">
        <v>-0.38</v>
      </c>
      <c r="AG100" s="43">
        <f t="shared" ref="AG100" si="69">SUM(AH100:AO100)</f>
        <v>36609.949999999997</v>
      </c>
      <c r="AH100" s="43">
        <f t="shared" si="40"/>
        <v>1111.1799999999998</v>
      </c>
      <c r="AI100" s="43">
        <f t="shared" si="41"/>
        <v>235.67000000000002</v>
      </c>
      <c r="AJ100" s="43">
        <f t="shared" si="42"/>
        <v>14603.009999999997</v>
      </c>
      <c r="AK100" s="43">
        <f t="shared" si="43"/>
        <v>1019.81</v>
      </c>
      <c r="AL100" s="43">
        <f t="shared" si="44"/>
        <v>11431.439999999999</v>
      </c>
      <c r="AM100" s="43">
        <f t="shared" si="66"/>
        <v>3956.5</v>
      </c>
      <c r="AN100" s="43">
        <f t="shared" si="57"/>
        <v>3590.28</v>
      </c>
      <c r="AO100" s="43">
        <f t="shared" si="46"/>
        <v>662.06</v>
      </c>
      <c r="AP100" s="43">
        <f t="shared" si="47"/>
        <v>67.489999999997963</v>
      </c>
      <c r="AQ100" s="43">
        <f t="shared" si="48"/>
        <v>-2.3700000000003456</v>
      </c>
      <c r="AR100" s="43">
        <f t="shared" si="49"/>
        <v>-1.5</v>
      </c>
      <c r="AS100" s="43">
        <f t="shared" si="50"/>
        <v>7.3799999999973807</v>
      </c>
      <c r="AT100" s="43">
        <f t="shared" si="51"/>
        <v>23.070000000000164</v>
      </c>
      <c r="AU100" s="43">
        <f t="shared" si="52"/>
        <v>28.329999999998108</v>
      </c>
      <c r="AV100" s="43">
        <f t="shared" si="53"/>
        <v>0</v>
      </c>
      <c r="AW100" s="43">
        <f t="shared" si="54"/>
        <v>9.9999999997635314E-3</v>
      </c>
      <c r="AX100" s="43">
        <f t="shared" si="55"/>
        <v>12.570000000001073</v>
      </c>
      <c r="AY100" s="43">
        <f>'Quarter demand'!B100</f>
        <v>36542.46</v>
      </c>
      <c r="AZ100" s="43">
        <f>'Quarter demand'!C100</f>
        <v>1113.5500000000002</v>
      </c>
      <c r="BA100" s="43">
        <f>'Quarter demand'!D100</f>
        <v>237.17000000000002</v>
      </c>
      <c r="BB100" s="43">
        <f>'Quarter demand'!E100</f>
        <v>14595.63</v>
      </c>
      <c r="BC100" s="43">
        <f>'Quarter demand'!F100</f>
        <v>996.73999999999978</v>
      </c>
      <c r="BD100" s="43">
        <f>'Quarter demand'!G100</f>
        <v>11403.11</v>
      </c>
      <c r="BE100" s="43">
        <f>'Quarter demand'!H100</f>
        <v>3956.5</v>
      </c>
      <c r="BF100" s="43">
        <f>'Quarter demand'!I100</f>
        <v>3590.2700000000004</v>
      </c>
      <c r="BG100" s="54">
        <f>'Quarter demand'!J100</f>
        <v>649.48999999999887</v>
      </c>
    </row>
    <row r="101" spans="1:59" ht="15.5" x14ac:dyDescent="0.35">
      <c r="A101" s="50" t="s">
        <v>489</v>
      </c>
      <c r="B101" s="43">
        <f t="shared" si="65"/>
        <v>29167.26</v>
      </c>
      <c r="C101" s="52">
        <v>126.65</v>
      </c>
      <c r="D101" s="52">
        <v>11216.17</v>
      </c>
      <c r="E101" s="52">
        <v>9299.24</v>
      </c>
      <c r="F101" s="52">
        <v>3672.73</v>
      </c>
      <c r="G101" s="52">
        <v>4852.47</v>
      </c>
      <c r="H101" s="43">
        <f t="shared" si="58"/>
        <v>38820.51</v>
      </c>
      <c r="I101" s="52">
        <v>864.96</v>
      </c>
      <c r="J101" s="52">
        <v>280.39999999999998</v>
      </c>
      <c r="K101" s="52">
        <v>13454.45</v>
      </c>
      <c r="L101" s="52">
        <v>8280.75</v>
      </c>
      <c r="M101" s="52">
        <v>13894.63</v>
      </c>
      <c r="N101" s="52">
        <v>1510.74</v>
      </c>
      <c r="O101" s="52">
        <v>534.58000000000004</v>
      </c>
      <c r="P101" s="43">
        <f t="shared" si="59"/>
        <v>-19089.490000000002</v>
      </c>
      <c r="Q101" s="52">
        <v>-187.84</v>
      </c>
      <c r="R101" s="52">
        <v>-2.4300000000000002</v>
      </c>
      <c r="S101" s="52">
        <v>-10233.36</v>
      </c>
      <c r="T101" s="52">
        <v>-5615.85</v>
      </c>
      <c r="U101" s="52">
        <v>-2797.44</v>
      </c>
      <c r="V101" s="52">
        <v>-107.21</v>
      </c>
      <c r="W101" s="52">
        <v>-145.36000000000001</v>
      </c>
      <c r="X101" s="43">
        <f t="shared" si="60"/>
        <v>-510.31</v>
      </c>
      <c r="Y101" s="52">
        <v>-510.31</v>
      </c>
      <c r="Z101" s="43">
        <f t="shared" si="64"/>
        <v>197.03000000000003</v>
      </c>
      <c r="AA101" s="52">
        <v>422.62</v>
      </c>
      <c r="AB101" s="52">
        <v>-17.059999999999999</v>
      </c>
      <c r="AC101" s="52">
        <v>-173.73</v>
      </c>
      <c r="AD101" s="52">
        <v>-5.54</v>
      </c>
      <c r="AE101" s="52">
        <v>-28.88</v>
      </c>
      <c r="AF101" s="52">
        <v>-0.38</v>
      </c>
      <c r="AG101" s="43">
        <f t="shared" si="63"/>
        <v>48585</v>
      </c>
      <c r="AH101" s="43">
        <f t="shared" ref="AH101" si="70">C101+I101+Q101+AA101</f>
        <v>1226.3899999999999</v>
      </c>
      <c r="AI101" s="43">
        <f t="shared" ref="AI101" si="71">J101+R101+AB101</f>
        <v>260.90999999999997</v>
      </c>
      <c r="AJ101" s="43">
        <f t="shared" ref="AJ101" si="72">D101+K101+S101+AC101</f>
        <v>14263.530000000002</v>
      </c>
      <c r="AK101" s="43">
        <f t="shared" ref="AK101" si="73">L101+T101+Y101+AD101</f>
        <v>2149.0499999999997</v>
      </c>
      <c r="AL101" s="43">
        <f t="shared" ref="AL101" si="74">E101+M101+U101+AE101</f>
        <v>20367.55</v>
      </c>
      <c r="AM101" s="43">
        <f t="shared" si="66"/>
        <v>5075.88</v>
      </c>
      <c r="AN101" s="43">
        <f t="shared" ref="AN101" si="75">G101</f>
        <v>4852.47</v>
      </c>
      <c r="AO101" s="43">
        <f t="shared" ref="AO101" si="76">O101+W101</f>
        <v>389.22</v>
      </c>
      <c r="AP101" s="43">
        <f t="shared" ref="AP101" si="77">AG101-AY101</f>
        <v>-149.09000000000378</v>
      </c>
      <c r="AQ101" s="43">
        <f t="shared" ref="AQ101" si="78">AH101-AZ101</f>
        <v>1.2999999999999545</v>
      </c>
      <c r="AR101" s="43">
        <f t="shared" ref="AR101" si="79">AI101-BA101</f>
        <v>0.87000000000000455</v>
      </c>
      <c r="AS101" s="43">
        <f t="shared" ref="AS101" si="80">AJ101-BB101</f>
        <v>-124.62999999999738</v>
      </c>
      <c r="AT101" s="43">
        <f t="shared" ref="AT101" si="81">AK101-BC101</f>
        <v>-23.530000000003838</v>
      </c>
      <c r="AU101" s="43">
        <f t="shared" ref="AU101" si="82">AL101-BD101</f>
        <v>-2.430000000000291</v>
      </c>
      <c r="AV101" s="43">
        <f t="shared" ref="AV101" si="83">AM101-BE101</f>
        <v>-9.999999999308784E-3</v>
      </c>
      <c r="AW101" s="43">
        <f t="shared" ref="AW101" si="84">AN101-BF101</f>
        <v>0</v>
      </c>
      <c r="AX101" s="43">
        <f t="shared" ref="AX101" si="85">AO101-BG101</f>
        <v>-0.65999999999917236</v>
      </c>
      <c r="AY101" s="43">
        <f>'Quarter demand'!B101</f>
        <v>48734.090000000004</v>
      </c>
      <c r="AZ101" s="43">
        <f>'Quarter demand'!C101</f>
        <v>1225.0899999999999</v>
      </c>
      <c r="BA101" s="43">
        <f>'Quarter demand'!D101</f>
        <v>260.03999999999996</v>
      </c>
      <c r="BB101" s="43">
        <f>'Quarter demand'!E101</f>
        <v>14388.16</v>
      </c>
      <c r="BC101" s="43">
        <f>'Quarter demand'!F101</f>
        <v>2172.5800000000036</v>
      </c>
      <c r="BD101" s="43">
        <f>'Quarter demand'!G101</f>
        <v>20369.98</v>
      </c>
      <c r="BE101" s="43">
        <f>'Quarter demand'!H101</f>
        <v>5075.8899999999994</v>
      </c>
      <c r="BF101" s="43">
        <f>'Quarter demand'!I101</f>
        <v>4852.47</v>
      </c>
      <c r="BG101" s="54">
        <f>'Quarter demand'!J101</f>
        <v>389.8799999999992</v>
      </c>
    </row>
    <row r="102" spans="1:59" ht="15.5" x14ac:dyDescent="0.35">
      <c r="A102" s="50" t="s">
        <v>492</v>
      </c>
      <c r="B102" s="43">
        <f t="shared" si="65"/>
        <v>29655.350000000002</v>
      </c>
      <c r="C102" s="52">
        <v>136.74</v>
      </c>
      <c r="D102" s="52">
        <v>11346.09</v>
      </c>
      <c r="E102" s="52">
        <v>9048.58</v>
      </c>
      <c r="F102" s="52">
        <v>3978.4</v>
      </c>
      <c r="G102" s="52">
        <v>5145.54</v>
      </c>
      <c r="H102" s="43">
        <f t="shared" si="58"/>
        <v>37786.920000000006</v>
      </c>
      <c r="I102" s="52">
        <v>1033.6500000000001</v>
      </c>
      <c r="J102" s="52">
        <v>214.73</v>
      </c>
      <c r="K102" s="52">
        <v>13025.54</v>
      </c>
      <c r="L102" s="52">
        <v>6242.13</v>
      </c>
      <c r="M102" s="52">
        <v>15337.37</v>
      </c>
      <c r="N102" s="52">
        <v>1364.3</v>
      </c>
      <c r="O102" s="52">
        <v>569.20000000000005</v>
      </c>
      <c r="P102" s="43">
        <f t="shared" si="59"/>
        <v>-18525.789999999997</v>
      </c>
      <c r="Q102" s="52">
        <v>-131.47</v>
      </c>
      <c r="R102" s="52">
        <v>-2.2200000000000002</v>
      </c>
      <c r="S102" s="52">
        <v>-9432.15</v>
      </c>
      <c r="T102" s="52">
        <v>-5834.3</v>
      </c>
      <c r="U102" s="52">
        <v>-2870.98</v>
      </c>
      <c r="V102" s="52">
        <v>-113.07</v>
      </c>
      <c r="W102" s="52">
        <v>-141.6</v>
      </c>
      <c r="X102" s="43">
        <f t="shared" si="60"/>
        <v>-417.51</v>
      </c>
      <c r="Y102" s="52">
        <v>-417.51</v>
      </c>
      <c r="Z102" s="43">
        <f t="shared" si="64"/>
        <v>1269.0900000000001</v>
      </c>
      <c r="AA102" s="52">
        <v>328.93</v>
      </c>
      <c r="AB102" s="52">
        <v>-22.91</v>
      </c>
      <c r="AC102" s="52">
        <v>-10.78</v>
      </c>
      <c r="AD102" s="52">
        <v>562.49</v>
      </c>
      <c r="AE102" s="52">
        <v>412.96</v>
      </c>
      <c r="AF102" s="52">
        <v>-1.6</v>
      </c>
      <c r="AG102" s="43">
        <f t="shared" ref="AG102" si="86">SUM(AH102:AO102)</f>
        <v>49768.06</v>
      </c>
      <c r="AH102" s="43">
        <f t="shared" ref="AH102" si="87">C102+I102+Q102+AA102</f>
        <v>1367.8500000000001</v>
      </c>
      <c r="AI102" s="43">
        <f t="shared" ref="AI102" si="88">J102+R102+AB102</f>
        <v>189.6</v>
      </c>
      <c r="AJ102" s="43">
        <f t="shared" ref="AJ102" si="89">D102+K102+S102+AC102</f>
        <v>14928.7</v>
      </c>
      <c r="AK102" s="43">
        <f t="shared" ref="AK102" si="90">L102+T102+Y102+AD102</f>
        <v>552.80999999999995</v>
      </c>
      <c r="AL102" s="43">
        <f t="shared" ref="AL102" si="91">E102+M102+U102+AE102</f>
        <v>21927.93</v>
      </c>
      <c r="AM102" s="43">
        <f t="shared" si="66"/>
        <v>5228.03</v>
      </c>
      <c r="AN102" s="43">
        <f t="shared" ref="AN102" si="92">G102</f>
        <v>5145.54</v>
      </c>
      <c r="AO102" s="43">
        <f t="shared" ref="AO102" si="93">O102+W102</f>
        <v>427.6</v>
      </c>
      <c r="AP102" s="43">
        <f t="shared" ref="AP102" si="94">AG102-AY102</f>
        <v>-24.27000000001135</v>
      </c>
      <c r="AQ102" s="43">
        <f t="shared" ref="AQ102" si="95">AH102-AZ102</f>
        <v>2.7000000000000455</v>
      </c>
      <c r="AR102" s="43">
        <f t="shared" ref="AR102" si="96">AI102-BA102</f>
        <v>-1.2299999999999898</v>
      </c>
      <c r="AS102" s="43">
        <f t="shared" ref="AS102" si="97">AJ102-BB102</f>
        <v>-4.5599999999976717</v>
      </c>
      <c r="AT102" s="43">
        <f t="shared" ref="AT102" si="98">AK102-BC102</f>
        <v>-33.599999999999909</v>
      </c>
      <c r="AU102" s="43">
        <f t="shared" ref="AU102" si="99">AL102-BD102</f>
        <v>35.080000000001746</v>
      </c>
      <c r="AV102" s="43">
        <f t="shared" ref="AV102" si="100">AM102-BE102</f>
        <v>9.999999999308784E-3</v>
      </c>
      <c r="AW102" s="43">
        <f t="shared" ref="AW102" si="101">AN102-BF102</f>
        <v>0</v>
      </c>
      <c r="AX102" s="43">
        <f t="shared" ref="AX102" si="102">AO102-BG102</f>
        <v>-22.670000000001323</v>
      </c>
      <c r="AY102" s="43">
        <f>'Quarter demand'!B102</f>
        <v>49792.330000000009</v>
      </c>
      <c r="AZ102" s="43">
        <f>'Quarter demand'!C102</f>
        <v>1365.15</v>
      </c>
      <c r="BA102" s="43">
        <f>'Quarter demand'!D102</f>
        <v>190.82999999999998</v>
      </c>
      <c r="BB102" s="43">
        <f>'Quarter demand'!E102</f>
        <v>14933.259999999998</v>
      </c>
      <c r="BC102" s="43">
        <f>'Quarter demand'!F102</f>
        <v>586.40999999999985</v>
      </c>
      <c r="BD102" s="43">
        <f>'Quarter demand'!G102</f>
        <v>21892.85</v>
      </c>
      <c r="BE102" s="43">
        <f>'Quarter demand'!H102</f>
        <v>5228.0200000000004</v>
      </c>
      <c r="BF102" s="43">
        <f>'Quarter demand'!I102</f>
        <v>5145.54</v>
      </c>
      <c r="BG102" s="54">
        <f>'Quarter demand'!J102</f>
        <v>450.27000000000135</v>
      </c>
    </row>
    <row r="103" spans="1:59" ht="15.5" x14ac:dyDescent="0.35">
      <c r="A103" s="50" t="s">
        <v>493</v>
      </c>
      <c r="B103" s="43">
        <f t="shared" si="65"/>
        <v>27526.21</v>
      </c>
      <c r="C103" s="52">
        <v>132</v>
      </c>
      <c r="D103" s="52">
        <v>10530.36</v>
      </c>
      <c r="E103" s="52">
        <v>9195.59</v>
      </c>
      <c r="F103" s="52">
        <v>2945.94</v>
      </c>
      <c r="G103" s="52">
        <v>4722.32</v>
      </c>
      <c r="H103" s="43">
        <f t="shared" si="58"/>
        <v>35261.950000000004</v>
      </c>
      <c r="I103" s="52">
        <v>916.63</v>
      </c>
      <c r="J103" s="52">
        <v>269.05</v>
      </c>
      <c r="K103" s="52">
        <v>12252.76</v>
      </c>
      <c r="L103" s="52">
        <v>7762.15</v>
      </c>
      <c r="M103" s="52">
        <v>12551.67</v>
      </c>
      <c r="N103" s="52">
        <v>1314.18</v>
      </c>
      <c r="O103" s="52">
        <v>195.51</v>
      </c>
      <c r="P103" s="43">
        <f t="shared" si="59"/>
        <v>-21494.76</v>
      </c>
      <c r="Q103" s="52">
        <v>-82.41</v>
      </c>
      <c r="R103" s="52">
        <v>-1.91</v>
      </c>
      <c r="S103" s="52">
        <v>-8040.29</v>
      </c>
      <c r="T103" s="52">
        <v>-5757.18</v>
      </c>
      <c r="U103" s="52">
        <v>-6958.6</v>
      </c>
      <c r="V103" s="52">
        <v>-118.42</v>
      </c>
      <c r="W103" s="52">
        <v>-535.95000000000005</v>
      </c>
      <c r="X103" s="43">
        <f t="shared" si="60"/>
        <v>-586.92999999999995</v>
      </c>
      <c r="Y103" s="52">
        <v>-586.92999999999995</v>
      </c>
      <c r="Z103" s="43">
        <f t="shared" si="64"/>
        <v>-414.81</v>
      </c>
      <c r="AA103" s="52">
        <v>-113.17</v>
      </c>
      <c r="AB103" s="52">
        <v>67.180000000000007</v>
      </c>
      <c r="AC103" s="52">
        <v>474.42</v>
      </c>
      <c r="AD103" s="52">
        <v>-328.52</v>
      </c>
      <c r="AE103" s="52">
        <v>-513.12</v>
      </c>
      <c r="AF103" s="52">
        <v>-1.6</v>
      </c>
      <c r="AG103" s="43">
        <f t="shared" ref="AG103" si="103">SUM(AH103:AO103)</f>
        <v>40291.660000000003</v>
      </c>
      <c r="AH103" s="43">
        <f t="shared" ref="AH103" si="104">C103+I103+Q103+AA103</f>
        <v>853.05000000000018</v>
      </c>
      <c r="AI103" s="43">
        <f t="shared" ref="AI103" si="105">J103+R103+AB103</f>
        <v>334.32</v>
      </c>
      <c r="AJ103" s="43">
        <f t="shared" ref="AJ103" si="106">D103+K103+S103+AC103</f>
        <v>15217.250000000002</v>
      </c>
      <c r="AK103" s="43">
        <f t="shared" ref="AK103" si="107">L103+T103+Y103+AD103</f>
        <v>1089.5199999999995</v>
      </c>
      <c r="AL103" s="43">
        <f t="shared" ref="AL103" si="108">E103+M103+U103+AE103</f>
        <v>14275.54</v>
      </c>
      <c r="AM103" s="43">
        <f t="shared" si="66"/>
        <v>4140.0999999999995</v>
      </c>
      <c r="AN103" s="43">
        <f t="shared" ref="AN103" si="109">G103</f>
        <v>4722.32</v>
      </c>
      <c r="AO103" s="43">
        <f t="shared" ref="AO103" si="110">O103+W103</f>
        <v>-340.44000000000005</v>
      </c>
      <c r="AP103" s="43">
        <f t="shared" ref="AP103" si="111">AG103-AY103</f>
        <v>43.540000000000873</v>
      </c>
      <c r="AQ103" s="43">
        <f t="shared" ref="AQ103" si="112">AH103-AZ103</f>
        <v>-10.929999999999836</v>
      </c>
      <c r="AR103" s="43">
        <f t="shared" ref="AR103" si="113">AI103-BA103</f>
        <v>-0.29000000000002046</v>
      </c>
      <c r="AS103" s="43">
        <f t="shared" ref="AS103" si="114">AJ103-BB103</f>
        <v>17.550000000001091</v>
      </c>
      <c r="AT103" s="43">
        <f t="shared" ref="AT103" si="115">AK103-BC103</f>
        <v>-0.1999999999998181</v>
      </c>
      <c r="AU103" s="43">
        <f t="shared" ref="AU103" si="116">AL103-BD103</f>
        <v>44.139999999999418</v>
      </c>
      <c r="AV103" s="43">
        <f t="shared" ref="AV103" si="117">AM103-BE103</f>
        <v>2.9999999999745341E-2</v>
      </c>
      <c r="AW103" s="43">
        <f t="shared" ref="AW103" si="118">AN103-BF103</f>
        <v>0</v>
      </c>
      <c r="AX103" s="43">
        <f t="shared" ref="AX103" si="119">AO103-BG103</f>
        <v>-6.760000000000673</v>
      </c>
      <c r="AY103" s="43">
        <f>'Quarter demand'!B103</f>
        <v>40248.120000000003</v>
      </c>
      <c r="AZ103" s="43">
        <f>'Quarter demand'!C103</f>
        <v>863.98</v>
      </c>
      <c r="BA103" s="43">
        <f>'Quarter demand'!D103</f>
        <v>334.61</v>
      </c>
      <c r="BB103" s="43">
        <f>'Quarter demand'!E103</f>
        <v>15199.7</v>
      </c>
      <c r="BC103" s="43">
        <f>'Quarter demand'!F103</f>
        <v>1089.7199999999993</v>
      </c>
      <c r="BD103" s="43">
        <f>'Quarter demand'!G103</f>
        <v>14231.400000000001</v>
      </c>
      <c r="BE103" s="43">
        <f>'Quarter demand'!H103</f>
        <v>4140.07</v>
      </c>
      <c r="BF103" s="43">
        <f>'Quarter demand'!I103</f>
        <v>4722.32</v>
      </c>
      <c r="BG103" s="54">
        <f>'Quarter demand'!J103</f>
        <v>-333.67999999999938</v>
      </c>
    </row>
    <row r="104" spans="1:59" ht="15.5" x14ac:dyDescent="0.35">
      <c r="A104" s="50" t="s">
        <v>496</v>
      </c>
      <c r="B104" s="43">
        <f t="shared" ref="B104:B105" si="120">SUM(C104:G104)</f>
        <v>25168.370000000003</v>
      </c>
      <c r="C104" s="52">
        <v>96.95</v>
      </c>
      <c r="D104" s="52">
        <v>9380.33</v>
      </c>
      <c r="E104" s="52">
        <v>8732.9500000000007</v>
      </c>
      <c r="F104" s="52">
        <v>2980.59</v>
      </c>
      <c r="G104" s="52">
        <v>3977.55</v>
      </c>
      <c r="H104" s="43">
        <f t="shared" ref="H104:H117" si="121">SUM(I104:O104)</f>
        <v>34809.19</v>
      </c>
      <c r="I104" s="52">
        <v>1183.74</v>
      </c>
      <c r="J104" s="52">
        <v>256.79000000000002</v>
      </c>
      <c r="K104" s="52">
        <v>13058.63</v>
      </c>
      <c r="L104" s="52">
        <v>8516.89</v>
      </c>
      <c r="M104" s="52">
        <v>10177.49</v>
      </c>
      <c r="N104" s="52">
        <v>1400.39</v>
      </c>
      <c r="O104" s="52">
        <v>215.26</v>
      </c>
      <c r="P104" s="43">
        <f t="shared" ref="P104:P117" si="122">SUM(Q104:W104)</f>
        <v>-21036.25</v>
      </c>
      <c r="Q104" s="52">
        <v>-83.8</v>
      </c>
      <c r="R104" s="52">
        <v>-6.1</v>
      </c>
      <c r="S104" s="52">
        <v>-7265.47</v>
      </c>
      <c r="T104" s="52">
        <v>-5845.44</v>
      </c>
      <c r="U104" s="52">
        <v>-7073.17</v>
      </c>
      <c r="V104" s="52">
        <v>-129.72</v>
      </c>
      <c r="W104" s="52">
        <v>-632.54999999999995</v>
      </c>
      <c r="X104" s="43">
        <f t="shared" ref="X104:X117" si="123">Y104</f>
        <v>-622.44000000000005</v>
      </c>
      <c r="Y104" s="52">
        <v>-622.44000000000005</v>
      </c>
      <c r="Z104" s="43">
        <f t="shared" ref="Z104:Z117" si="124">SUM(AA104:AF104)</f>
        <v>-845.5100000000001</v>
      </c>
      <c r="AA104" s="52">
        <v>-223.38</v>
      </c>
      <c r="AB104" s="52">
        <v>69.239999999999995</v>
      </c>
      <c r="AC104" s="52">
        <v>-703.32</v>
      </c>
      <c r="AD104" s="52">
        <v>-45.83</v>
      </c>
      <c r="AE104" s="52">
        <v>59.38</v>
      </c>
      <c r="AF104" s="52">
        <v>-1.6</v>
      </c>
      <c r="AG104" s="43">
        <f t="shared" ref="AG104" si="125">SUM(AH104:AO104)</f>
        <v>37473.360000000001</v>
      </c>
      <c r="AH104" s="43">
        <f t="shared" ref="AH104" si="126">C104+I104+Q104+AA104</f>
        <v>973.5100000000001</v>
      </c>
      <c r="AI104" s="43">
        <f t="shared" ref="AI104" si="127">J104+R104+AB104</f>
        <v>319.93</v>
      </c>
      <c r="AJ104" s="43">
        <f t="shared" ref="AJ104" si="128">D104+K104+S104+AC104</f>
        <v>14470.169999999998</v>
      </c>
      <c r="AK104" s="43">
        <f t="shared" ref="AK104" si="129">L104+T104+Y104+AD104</f>
        <v>2003.1799999999998</v>
      </c>
      <c r="AL104" s="43">
        <f t="shared" ref="AL104" si="130">E104+M104+U104+AE104</f>
        <v>11896.650000000001</v>
      </c>
      <c r="AM104" s="43">
        <f t="shared" si="66"/>
        <v>4249.66</v>
      </c>
      <c r="AN104" s="43">
        <f t="shared" ref="AN104" si="131">G104</f>
        <v>3977.55</v>
      </c>
      <c r="AO104" s="43">
        <f t="shared" ref="AO104" si="132">O104+W104</f>
        <v>-417.28999999999996</v>
      </c>
      <c r="AP104" s="43">
        <f t="shared" ref="AP104" si="133">AG104-AY104</f>
        <v>11.69999999999709</v>
      </c>
      <c r="AQ104" s="43">
        <f t="shared" ref="AQ104" si="134">AH104-AZ104</f>
        <v>-9.5799999999998136</v>
      </c>
      <c r="AR104" s="43">
        <f t="shared" ref="AR104" si="135">AI104-BA104</f>
        <v>-1.3899999999999864</v>
      </c>
      <c r="AS104" s="43">
        <f t="shared" ref="AS104" si="136">AJ104-BB104</f>
        <v>-21.31000000000131</v>
      </c>
      <c r="AT104" s="43">
        <f t="shared" ref="AT104" si="137">AK104-BC104</f>
        <v>29.049999999998818</v>
      </c>
      <c r="AU104" s="43">
        <f t="shared" ref="AU104" si="138">AL104-BD104</f>
        <v>12.020000000000437</v>
      </c>
      <c r="AV104" s="43">
        <f t="shared" ref="AV104" si="139">AM104-BE104</f>
        <v>2.0000000000436557E-2</v>
      </c>
      <c r="AW104" s="43">
        <f t="shared" ref="AW104" si="140">AN104-BF104</f>
        <v>0</v>
      </c>
      <c r="AX104" s="43">
        <f t="shared" ref="AX104" si="141">AO104-BG104</f>
        <v>2.8900000000012369</v>
      </c>
      <c r="AY104" s="43">
        <f>'Quarter demand'!B104</f>
        <v>37461.660000000003</v>
      </c>
      <c r="AZ104" s="43">
        <f>'Quarter demand'!C104</f>
        <v>983.08999999999992</v>
      </c>
      <c r="BA104" s="43">
        <f>'Quarter demand'!D104</f>
        <v>321.32</v>
      </c>
      <c r="BB104" s="43">
        <f>'Quarter demand'!E104</f>
        <v>14491.48</v>
      </c>
      <c r="BC104" s="43">
        <f>'Quarter demand'!F104</f>
        <v>1974.130000000001</v>
      </c>
      <c r="BD104" s="43">
        <f>'Quarter demand'!G104</f>
        <v>11884.630000000001</v>
      </c>
      <c r="BE104" s="43">
        <f>'Quarter demand'!H104</f>
        <v>4249.6399999999994</v>
      </c>
      <c r="BF104" s="43">
        <f>'Quarter demand'!I104</f>
        <v>3977.55</v>
      </c>
      <c r="BG104" s="54">
        <f>'Quarter demand'!J104</f>
        <v>-420.1800000000012</v>
      </c>
    </row>
    <row r="105" spans="1:59" ht="15.5" x14ac:dyDescent="0.35">
      <c r="A105" s="50" t="s">
        <v>498</v>
      </c>
      <c r="B105" s="43">
        <f t="shared" si="120"/>
        <v>28457.010000000006</v>
      </c>
      <c r="C105" s="52">
        <v>86.28</v>
      </c>
      <c r="D105" s="52">
        <v>10537.47</v>
      </c>
      <c r="E105" s="52">
        <v>9440.3700000000008</v>
      </c>
      <c r="F105" s="52">
        <v>3414.26</v>
      </c>
      <c r="G105" s="52">
        <v>4978.63</v>
      </c>
      <c r="H105" s="43">
        <f t="shared" si="121"/>
        <v>38655.14</v>
      </c>
      <c r="I105" s="52">
        <v>1129.47</v>
      </c>
      <c r="J105" s="52">
        <v>135.91</v>
      </c>
      <c r="K105" s="52">
        <v>12483.22</v>
      </c>
      <c r="L105" s="52">
        <v>8094.9</v>
      </c>
      <c r="M105" s="52">
        <v>15096.94</v>
      </c>
      <c r="N105" s="52">
        <v>1361.36</v>
      </c>
      <c r="O105" s="52">
        <v>353.34</v>
      </c>
      <c r="P105" s="43">
        <f t="shared" si="122"/>
        <v>-20970.650000000001</v>
      </c>
      <c r="Q105" s="52">
        <v>-97.5</v>
      </c>
      <c r="R105" s="52">
        <v>-2.2599999999999998</v>
      </c>
      <c r="S105" s="52">
        <v>-9071.85</v>
      </c>
      <c r="T105" s="52">
        <v>-5703.77</v>
      </c>
      <c r="U105" s="52">
        <v>-5473.99</v>
      </c>
      <c r="V105" s="52">
        <v>-141.53</v>
      </c>
      <c r="W105" s="52">
        <v>-479.75</v>
      </c>
      <c r="X105" s="43">
        <f t="shared" si="123"/>
        <v>-467.48</v>
      </c>
      <c r="Y105" s="52">
        <v>-467.48</v>
      </c>
      <c r="Z105" s="43">
        <f t="shared" si="124"/>
        <v>94.039999999999992</v>
      </c>
      <c r="AA105" s="52">
        <v>-178.8</v>
      </c>
      <c r="AB105" s="52">
        <v>156.99</v>
      </c>
      <c r="AC105" s="52">
        <v>354.19</v>
      </c>
      <c r="AD105" s="52">
        <v>72.02</v>
      </c>
      <c r="AE105" s="52">
        <v>-308.76</v>
      </c>
      <c r="AF105" s="52">
        <v>-1.6</v>
      </c>
      <c r="AG105" s="43">
        <f t="shared" ref="AG105" si="142">SUM(AH105:AO105)</f>
        <v>45768.05999999999</v>
      </c>
      <c r="AH105" s="43">
        <f t="shared" ref="AH105" si="143">C105+I105+Q105+AA105</f>
        <v>939.45</v>
      </c>
      <c r="AI105" s="43">
        <f t="shared" ref="AI105" si="144">J105+R105+AB105</f>
        <v>290.64</v>
      </c>
      <c r="AJ105" s="43">
        <f t="shared" ref="AJ105" si="145">D105+K105+S105+AC105</f>
        <v>14303.029999999999</v>
      </c>
      <c r="AK105" s="43">
        <f t="shared" ref="AK105" si="146">L105+T105+Y105+AD105</f>
        <v>1995.6699999999992</v>
      </c>
      <c r="AL105" s="43">
        <f t="shared" ref="AL105" si="147">E105+M105+U105+AE105</f>
        <v>18754.560000000001</v>
      </c>
      <c r="AM105" s="43">
        <f t="shared" ref="AM105" si="148">F105+N105+V105+AF105</f>
        <v>4632.49</v>
      </c>
      <c r="AN105" s="43">
        <f t="shared" ref="AN105" si="149">G105</f>
        <v>4978.63</v>
      </c>
      <c r="AO105" s="43">
        <f t="shared" ref="AO105" si="150">O105+W105</f>
        <v>-126.41000000000003</v>
      </c>
      <c r="AP105" s="43">
        <f t="shared" ref="AP105" si="151">AG105-AY105</f>
        <v>-78.260000000016589</v>
      </c>
      <c r="AQ105" s="43">
        <f t="shared" ref="AQ105" si="152">AH105-AZ105</f>
        <v>-14.03999999999985</v>
      </c>
      <c r="AR105" s="43">
        <f t="shared" ref="AR105" si="153">AI105-BA105</f>
        <v>-0.31000000000000227</v>
      </c>
      <c r="AS105" s="43">
        <f t="shared" ref="AS105" si="154">AJ105-BB105</f>
        <v>10.669999999998254</v>
      </c>
      <c r="AT105" s="43">
        <f t="shared" ref="AT105" si="155">AK105-BC105</f>
        <v>-36.900000000000546</v>
      </c>
      <c r="AU105" s="43">
        <f t="shared" ref="AU105" si="156">AL105-BD105</f>
        <v>-46.720000000001164</v>
      </c>
      <c r="AV105" s="43">
        <f t="shared" ref="AV105" si="157">AM105-BE105</f>
        <v>1.9999999999527063E-2</v>
      </c>
      <c r="AW105" s="43">
        <f t="shared" ref="AW105" si="158">AN105-BF105</f>
        <v>0</v>
      </c>
      <c r="AX105" s="43">
        <f t="shared" ref="AX105" si="159">AO105-BG105</f>
        <v>9.020000000000266</v>
      </c>
      <c r="AY105" s="43">
        <f>'Quarter demand'!B105</f>
        <v>45846.320000000007</v>
      </c>
      <c r="AZ105" s="43">
        <f>'Quarter demand'!C105</f>
        <v>953.4899999999999</v>
      </c>
      <c r="BA105" s="43">
        <f>'Quarter demand'!D105</f>
        <v>290.95</v>
      </c>
      <c r="BB105" s="43">
        <f>'Quarter demand'!E105</f>
        <v>14292.36</v>
      </c>
      <c r="BC105" s="43">
        <f>'Quarter demand'!F105</f>
        <v>2032.5699999999997</v>
      </c>
      <c r="BD105" s="43">
        <f>'Quarter demand'!G105</f>
        <v>18801.280000000002</v>
      </c>
      <c r="BE105" s="43">
        <f>'Quarter demand'!H105</f>
        <v>4632.47</v>
      </c>
      <c r="BF105" s="43">
        <f>'Quarter demand'!I105</f>
        <v>4978.63</v>
      </c>
      <c r="BG105" s="54">
        <f>'Quarter demand'!J105</f>
        <v>-135.43000000000029</v>
      </c>
    </row>
    <row r="106" spans="1:59" ht="15.5" x14ac:dyDescent="0.35">
      <c r="A106" s="50" t="s">
        <v>501</v>
      </c>
      <c r="B106" s="43">
        <f t="shared" ref="B106:B110" si="160">SUM(C106:G106)</f>
        <v>27711.53</v>
      </c>
      <c r="C106" s="52">
        <v>65.27</v>
      </c>
      <c r="D106" s="52">
        <v>9973.8799999999992</v>
      </c>
      <c r="E106" s="52">
        <v>8925.8799999999992</v>
      </c>
      <c r="F106" s="52">
        <v>4137.3999999999996</v>
      </c>
      <c r="G106" s="52">
        <v>4609.1000000000004</v>
      </c>
      <c r="H106" s="43">
        <f t="shared" si="121"/>
        <v>38605.31</v>
      </c>
      <c r="I106" s="52">
        <v>842.9</v>
      </c>
      <c r="J106" s="52">
        <v>193.21</v>
      </c>
      <c r="K106" s="52">
        <v>12478.3</v>
      </c>
      <c r="L106" s="52">
        <v>7651.96</v>
      </c>
      <c r="M106" s="52">
        <v>15304.15</v>
      </c>
      <c r="N106" s="52">
        <v>1345.39</v>
      </c>
      <c r="O106" s="52">
        <v>789.4</v>
      </c>
      <c r="P106" s="43">
        <f t="shared" si="122"/>
        <v>-17928.380000000005</v>
      </c>
      <c r="Q106" s="52">
        <v>-136.41999999999999</v>
      </c>
      <c r="R106" s="52">
        <v>-0.92</v>
      </c>
      <c r="S106" s="52">
        <v>-7842.09</v>
      </c>
      <c r="T106" s="52">
        <v>-5591.91</v>
      </c>
      <c r="U106" s="52">
        <v>-4023.4</v>
      </c>
      <c r="V106" s="52">
        <v>-165.33</v>
      </c>
      <c r="W106" s="52">
        <v>-168.31</v>
      </c>
      <c r="X106" s="43">
        <f t="shared" si="123"/>
        <v>-449.55</v>
      </c>
      <c r="Y106" s="52">
        <v>-449.55</v>
      </c>
      <c r="Z106" s="43">
        <f t="shared" si="124"/>
        <v>665.97</v>
      </c>
      <c r="AA106" s="52">
        <v>138.06</v>
      </c>
      <c r="AB106" s="52">
        <v>124.66</v>
      </c>
      <c r="AC106" s="52">
        <v>-2.19</v>
      </c>
      <c r="AD106" s="52">
        <v>-98.9</v>
      </c>
      <c r="AE106" s="52">
        <v>503.89</v>
      </c>
      <c r="AF106" s="52">
        <v>0.45</v>
      </c>
      <c r="AG106" s="43">
        <f t="shared" ref="AG106" si="161">SUM(AH106:AO106)</f>
        <v>48604.88</v>
      </c>
      <c r="AH106" s="43">
        <f t="shared" ref="AH106" si="162">C106+I106+Q106+AA106</f>
        <v>909.81</v>
      </c>
      <c r="AI106" s="43">
        <f t="shared" ref="AI106" si="163">J106+R106+AB106</f>
        <v>316.95000000000005</v>
      </c>
      <c r="AJ106" s="43">
        <f t="shared" ref="AJ106" si="164">D106+K106+S106+AC106</f>
        <v>14607.9</v>
      </c>
      <c r="AK106" s="43">
        <f t="shared" ref="AK106" si="165">L106+T106+Y106+AD106</f>
        <v>1511.6000000000001</v>
      </c>
      <c r="AL106" s="43">
        <f t="shared" ref="AL106" si="166">E106+M106+U106+AE106</f>
        <v>20710.519999999997</v>
      </c>
      <c r="AM106" s="43">
        <f t="shared" ref="AM106" si="167">F106+N106+V106+AF106</f>
        <v>5317.91</v>
      </c>
      <c r="AN106" s="43">
        <f t="shared" ref="AN106" si="168">G106</f>
        <v>4609.1000000000004</v>
      </c>
      <c r="AO106" s="43">
        <f t="shared" ref="AO106" si="169">O106+W106</f>
        <v>621.08999999999992</v>
      </c>
      <c r="AP106" s="43">
        <f t="shared" ref="AP106" si="170">AG106-AY106</f>
        <v>-8.7100000000064028</v>
      </c>
      <c r="AQ106" s="43">
        <f t="shared" ref="AQ106" si="171">AH106-AZ106</f>
        <v>-3.3400000000000318</v>
      </c>
      <c r="AR106" s="43">
        <f t="shared" ref="AR106" si="172">AI106-BA106</f>
        <v>3.0000000000029559E-2</v>
      </c>
      <c r="AS106" s="43">
        <f t="shared" ref="AS106" si="173">AJ106-BB106</f>
        <v>-2.3500000000021828</v>
      </c>
      <c r="AT106" s="43">
        <f t="shared" ref="AT106" si="174">AK106-BC106</f>
        <v>-6.8600000000008095</v>
      </c>
      <c r="AU106" s="43">
        <f t="shared" ref="AU106" si="175">AL106-BD106</f>
        <v>-8.3300000000017462</v>
      </c>
      <c r="AV106" s="43">
        <f t="shared" ref="AV106" si="176">AM106-BE106</f>
        <v>1.0000000000218279E-2</v>
      </c>
      <c r="AW106" s="43">
        <f t="shared" ref="AW106" si="177">AN106-BF106</f>
        <v>0</v>
      </c>
      <c r="AX106" s="43">
        <f t="shared" ref="AX106" si="178">AO106-BG106</f>
        <v>12.129999999999882</v>
      </c>
      <c r="AY106" s="43">
        <f>'Quarter demand'!B106</f>
        <v>48613.590000000004</v>
      </c>
      <c r="AZ106" s="43">
        <f>'Quarter demand'!C106</f>
        <v>913.15</v>
      </c>
      <c r="BA106" s="43">
        <f>'Quarter demand'!D106</f>
        <v>316.92</v>
      </c>
      <c r="BB106" s="43">
        <f>'Quarter demand'!E106</f>
        <v>14610.250000000002</v>
      </c>
      <c r="BC106" s="43">
        <f>'Quarter demand'!F106</f>
        <v>1518.4600000000009</v>
      </c>
      <c r="BD106" s="43">
        <f>'Quarter demand'!G106</f>
        <v>20718.849999999999</v>
      </c>
      <c r="BE106" s="43">
        <f>'Quarter demand'!H106</f>
        <v>5317.9</v>
      </c>
      <c r="BF106" s="43">
        <f>'Quarter demand'!I106</f>
        <v>4609.1000000000004</v>
      </c>
      <c r="BG106" s="54">
        <f>'Quarter demand'!J106</f>
        <v>608.96</v>
      </c>
    </row>
    <row r="107" spans="1:59" ht="15.5" x14ac:dyDescent="0.35">
      <c r="A107" s="50" t="s">
        <v>503</v>
      </c>
      <c r="B107" s="43">
        <f t="shared" si="160"/>
        <v>24606.329999999994</v>
      </c>
      <c r="C107" s="52">
        <v>83.46</v>
      </c>
      <c r="D107" s="52">
        <v>9199.4</v>
      </c>
      <c r="E107" s="52">
        <v>8394.0499999999993</v>
      </c>
      <c r="F107" s="52">
        <v>3000.99</v>
      </c>
      <c r="G107" s="52">
        <v>3928.43</v>
      </c>
      <c r="H107" s="43">
        <f t="shared" si="121"/>
        <v>32488.010000000002</v>
      </c>
      <c r="I107" s="52">
        <v>490.42</v>
      </c>
      <c r="J107" s="52">
        <v>375.67</v>
      </c>
      <c r="K107" s="52">
        <v>11948.18</v>
      </c>
      <c r="L107" s="52">
        <v>7972.02</v>
      </c>
      <c r="M107" s="52">
        <v>9669.2999999999993</v>
      </c>
      <c r="N107" s="52">
        <v>1236.18</v>
      </c>
      <c r="O107" s="52">
        <v>796.24</v>
      </c>
      <c r="P107" s="43">
        <f t="shared" si="122"/>
        <v>-18210.340000000004</v>
      </c>
      <c r="Q107" s="52">
        <v>-120.35</v>
      </c>
      <c r="R107" s="52">
        <v>0</v>
      </c>
      <c r="S107" s="52">
        <v>-7211.99</v>
      </c>
      <c r="T107" s="52">
        <v>-4989.58</v>
      </c>
      <c r="U107" s="52">
        <v>-5588.3</v>
      </c>
      <c r="V107" s="52">
        <v>-156.58000000000001</v>
      </c>
      <c r="W107" s="52">
        <v>-143.54</v>
      </c>
      <c r="X107" s="43">
        <f t="shared" si="123"/>
        <v>-554.75</v>
      </c>
      <c r="Y107" s="52">
        <v>-554.75</v>
      </c>
      <c r="Z107" s="43">
        <f t="shared" si="124"/>
        <v>289.99000000000007</v>
      </c>
      <c r="AA107" s="52">
        <v>212.63</v>
      </c>
      <c r="AB107" s="52">
        <v>10.47</v>
      </c>
      <c r="AC107" s="52">
        <v>21.9</v>
      </c>
      <c r="AD107" s="52">
        <v>281.16000000000003</v>
      </c>
      <c r="AE107" s="52">
        <v>-236.62</v>
      </c>
      <c r="AF107" s="52">
        <v>0.45</v>
      </c>
      <c r="AG107" s="43">
        <f t="shared" ref="AG107" si="179">SUM(AH107:AO107)</f>
        <v>38619.24</v>
      </c>
      <c r="AH107" s="43">
        <f t="shared" ref="AH107" si="180">C107+I107+Q107+AA107</f>
        <v>666.16</v>
      </c>
      <c r="AI107" s="43">
        <f t="shared" ref="AI107" si="181">J107+R107+AB107</f>
        <v>386.14000000000004</v>
      </c>
      <c r="AJ107" s="43">
        <f t="shared" ref="AJ107" si="182">D107+K107+S107+AC107</f>
        <v>13957.490000000002</v>
      </c>
      <c r="AK107" s="43">
        <f t="shared" ref="AK107" si="183">L107+T107+Y107+AD107</f>
        <v>2708.8500000000004</v>
      </c>
      <c r="AL107" s="43">
        <f t="shared" ref="AL107" si="184">E107+M107+U107+AE107</f>
        <v>12238.429999999998</v>
      </c>
      <c r="AM107" s="43">
        <f t="shared" ref="AM107" si="185">F107+N107+V107+AF107</f>
        <v>4081.04</v>
      </c>
      <c r="AN107" s="43">
        <f t="shared" ref="AN107" si="186">G107</f>
        <v>3928.43</v>
      </c>
      <c r="AO107" s="43">
        <f t="shared" ref="AO107" si="187">O107+W107</f>
        <v>652.70000000000005</v>
      </c>
      <c r="AP107" s="43">
        <f t="shared" ref="AP107" si="188">AG107-AY107</f>
        <v>-111.34999999999854</v>
      </c>
      <c r="AQ107" s="43">
        <f t="shared" ref="AQ107" si="189">AH107-AZ107</f>
        <v>-3.2800000000000864</v>
      </c>
      <c r="AR107" s="43">
        <f t="shared" ref="AR107" si="190">AI107-BA107</f>
        <v>-1.1499999999999204</v>
      </c>
      <c r="AS107" s="43">
        <f t="shared" ref="AS107" si="191">AJ107-BB107</f>
        <v>-10.369999999997162</v>
      </c>
      <c r="AT107" s="43">
        <f t="shared" ref="AT107" si="192">AK107-BC107</f>
        <v>-40.429999999998472</v>
      </c>
      <c r="AU107" s="43">
        <f t="shared" ref="AU107" si="193">AL107-BD107</f>
        <v>-70.6200000000008</v>
      </c>
      <c r="AV107" s="43">
        <f t="shared" ref="AV107" si="194">AM107-BE107</f>
        <v>0</v>
      </c>
      <c r="AW107" s="43">
        <f t="shared" ref="AW107" si="195">AN107-BF107</f>
        <v>0</v>
      </c>
      <c r="AX107" s="43">
        <f t="shared" ref="AX107" si="196">AO107-BG107</f>
        <v>14.499999999999318</v>
      </c>
      <c r="AY107" s="43">
        <f>'Quarter demand'!B107</f>
        <v>38730.589999999997</v>
      </c>
      <c r="AZ107" s="43">
        <f>'Quarter demand'!C107</f>
        <v>669.44</v>
      </c>
      <c r="BA107" s="43">
        <f>'Quarter demand'!D107</f>
        <v>387.28999999999996</v>
      </c>
      <c r="BB107" s="43">
        <f>'Quarter demand'!E107</f>
        <v>13967.859999999999</v>
      </c>
      <c r="BC107" s="43">
        <f>'Quarter demand'!F107</f>
        <v>2749.2799999999988</v>
      </c>
      <c r="BD107" s="43">
        <f>'Quarter demand'!G107</f>
        <v>12309.05</v>
      </c>
      <c r="BE107" s="43">
        <f>'Quarter demand'!H107</f>
        <v>4081.04</v>
      </c>
      <c r="BF107" s="43">
        <f>'Quarter demand'!I107</f>
        <v>3928.4300000000003</v>
      </c>
      <c r="BG107" s="54">
        <f>'Quarter demand'!J107</f>
        <v>638.20000000000073</v>
      </c>
    </row>
    <row r="108" spans="1:59" ht="15.5" x14ac:dyDescent="0.35">
      <c r="A108" s="50" t="s">
        <v>507</v>
      </c>
      <c r="B108" s="43">
        <f t="shared" si="160"/>
        <v>23375.52</v>
      </c>
      <c r="C108" s="52">
        <v>104.67</v>
      </c>
      <c r="D108" s="52">
        <v>8452.7000000000007</v>
      </c>
      <c r="E108" s="52">
        <v>7598.62</v>
      </c>
      <c r="F108" s="52">
        <v>2999.87</v>
      </c>
      <c r="G108" s="52">
        <v>4219.66</v>
      </c>
      <c r="H108" s="43">
        <f t="shared" si="121"/>
        <v>29757.769999999997</v>
      </c>
      <c r="I108" s="52">
        <v>402.11</v>
      </c>
      <c r="J108" s="52">
        <v>242.59</v>
      </c>
      <c r="K108" s="52">
        <v>13132.67</v>
      </c>
      <c r="L108" s="52">
        <v>8644.91</v>
      </c>
      <c r="M108" s="52">
        <v>5536.85</v>
      </c>
      <c r="N108" s="52">
        <v>1180.51</v>
      </c>
      <c r="O108" s="52">
        <v>618.13</v>
      </c>
      <c r="P108" s="43">
        <f t="shared" si="122"/>
        <v>-16243.2</v>
      </c>
      <c r="Q108" s="52">
        <v>-88.93</v>
      </c>
      <c r="R108" s="52">
        <v>-1.96</v>
      </c>
      <c r="S108" s="52">
        <v>-7469.68</v>
      </c>
      <c r="T108" s="52">
        <v>-5221.7700000000004</v>
      </c>
      <c r="U108" s="52">
        <v>-3022.17</v>
      </c>
      <c r="V108" s="52">
        <v>-153.37</v>
      </c>
      <c r="W108" s="52">
        <v>-285.32</v>
      </c>
      <c r="X108" s="43">
        <f t="shared" si="123"/>
        <v>-608.32000000000005</v>
      </c>
      <c r="Y108" s="52">
        <v>-608.32000000000005</v>
      </c>
      <c r="Z108" s="43">
        <f t="shared" si="124"/>
        <v>-734.86999999999989</v>
      </c>
      <c r="AA108" s="52">
        <v>253.9</v>
      </c>
      <c r="AB108" s="52">
        <v>146.77000000000001</v>
      </c>
      <c r="AC108" s="52">
        <v>-183.14</v>
      </c>
      <c r="AD108" s="52">
        <v>-383.64</v>
      </c>
      <c r="AE108" s="52">
        <v>-569.21</v>
      </c>
      <c r="AF108" s="52">
        <v>0.45</v>
      </c>
      <c r="AG108" s="43">
        <f t="shared" ref="AG108" si="197">SUM(AH108:AO108)</f>
        <v>35546.899999999994</v>
      </c>
      <c r="AH108" s="43">
        <f t="shared" ref="AH108" si="198">C108+I108+Q108+AA108</f>
        <v>671.75</v>
      </c>
      <c r="AI108" s="43">
        <f t="shared" ref="AI108" si="199">J108+R108+AB108</f>
        <v>387.4</v>
      </c>
      <c r="AJ108" s="43">
        <f t="shared" ref="AJ108" si="200">D108+K108+S108+AC108</f>
        <v>13932.550000000003</v>
      </c>
      <c r="AK108" s="43">
        <f t="shared" ref="AK108" si="201">L108+T108+Y108+AD108</f>
        <v>2431.1799999999994</v>
      </c>
      <c r="AL108" s="43">
        <f t="shared" ref="AL108" si="202">E108+M108+U108+AE108</f>
        <v>9544.09</v>
      </c>
      <c r="AM108" s="43">
        <f t="shared" ref="AM108" si="203">F108+N108+V108+AF108</f>
        <v>4027.46</v>
      </c>
      <c r="AN108" s="43">
        <f t="shared" ref="AN108" si="204">G108</f>
        <v>4219.66</v>
      </c>
      <c r="AO108" s="43">
        <f t="shared" ref="AO108" si="205">O108+W108</f>
        <v>332.81</v>
      </c>
      <c r="AP108" s="43">
        <f t="shared" ref="AP108" si="206">AG108-AY108</f>
        <v>-17.450000000004366</v>
      </c>
      <c r="AQ108" s="43">
        <f t="shared" ref="AQ108" si="207">AH108-AZ108</f>
        <v>-3.6999999999999318</v>
      </c>
      <c r="AR108" s="43">
        <f t="shared" ref="AR108" si="208">AI108-BA108</f>
        <v>-0.18999999999999773</v>
      </c>
      <c r="AS108" s="43">
        <f t="shared" ref="AS108" si="209">AJ108-BB108</f>
        <v>-9.2599999999965803</v>
      </c>
      <c r="AT108" s="43">
        <f t="shared" ref="AT108" si="210">AK108-BC108</f>
        <v>-18.620000000003529</v>
      </c>
      <c r="AU108" s="43">
        <f t="shared" ref="AU108" si="211">AL108-BD108</f>
        <v>4.9700000000011642</v>
      </c>
      <c r="AV108" s="43">
        <f t="shared" ref="AV108" si="212">AM108-BE108</f>
        <v>0</v>
      </c>
      <c r="AW108" s="43">
        <f t="shared" ref="AW108" si="213">AN108-BF108</f>
        <v>-1.0000000000218279E-2</v>
      </c>
      <c r="AX108" s="43">
        <f t="shared" ref="AX108" si="214">AO108-BG108</f>
        <v>9.3600000000010937</v>
      </c>
      <c r="AY108" s="43">
        <f>'Quarter demand'!B108</f>
        <v>35564.35</v>
      </c>
      <c r="AZ108" s="43">
        <f>'Quarter demand'!C108</f>
        <v>675.44999999999993</v>
      </c>
      <c r="BA108" s="43">
        <f>'Quarter demand'!D108</f>
        <v>387.59</v>
      </c>
      <c r="BB108" s="43">
        <f>'Quarter demand'!E108</f>
        <v>13941.81</v>
      </c>
      <c r="BC108" s="43">
        <f>'Quarter demand'!F108</f>
        <v>2449.8000000000029</v>
      </c>
      <c r="BD108" s="43">
        <f>'Quarter demand'!G108</f>
        <v>9539.119999999999</v>
      </c>
      <c r="BE108" s="43">
        <f>'Quarter demand'!H108</f>
        <v>4027.46</v>
      </c>
      <c r="BF108" s="43">
        <f>'Quarter demand'!I108</f>
        <v>4219.67</v>
      </c>
      <c r="BG108" s="54">
        <f>'Quarter demand'!J108</f>
        <v>323.44999999999891</v>
      </c>
    </row>
    <row r="109" spans="1:59" ht="15.5" x14ac:dyDescent="0.35">
      <c r="A109" s="50" t="s">
        <v>508</v>
      </c>
      <c r="B109" s="43">
        <f t="shared" si="160"/>
        <v>25727.25</v>
      </c>
      <c r="C109" s="52">
        <v>104.48</v>
      </c>
      <c r="D109" s="52">
        <v>8899.7800000000007</v>
      </c>
      <c r="E109" s="52">
        <v>8032.32</v>
      </c>
      <c r="F109" s="52">
        <v>3864.59</v>
      </c>
      <c r="G109" s="52">
        <v>4826.08</v>
      </c>
      <c r="H109" s="43">
        <f t="shared" si="121"/>
        <v>35675.49</v>
      </c>
      <c r="I109" s="52">
        <v>647.28</v>
      </c>
      <c r="J109" s="52">
        <v>353.95</v>
      </c>
      <c r="K109" s="52">
        <v>11702.43</v>
      </c>
      <c r="L109" s="52">
        <v>8758.07</v>
      </c>
      <c r="M109" s="52">
        <v>12045.05</v>
      </c>
      <c r="N109" s="52">
        <v>1507.54</v>
      </c>
      <c r="O109" s="52">
        <v>661.17</v>
      </c>
      <c r="P109" s="43">
        <f t="shared" si="122"/>
        <v>-15444.28</v>
      </c>
      <c r="Q109" s="52">
        <v>-132.84</v>
      </c>
      <c r="R109" s="52">
        <v>-1.8</v>
      </c>
      <c r="S109" s="52">
        <v>-7520.4</v>
      </c>
      <c r="T109" s="52">
        <v>-4941.21</v>
      </c>
      <c r="U109" s="52">
        <v>-2464.2199999999998</v>
      </c>
      <c r="V109" s="52">
        <v>-165.36</v>
      </c>
      <c r="W109" s="52">
        <v>-218.45</v>
      </c>
      <c r="X109" s="43">
        <f t="shared" si="123"/>
        <v>-473.76</v>
      </c>
      <c r="Y109" s="52">
        <v>-473.76</v>
      </c>
      <c r="Z109" s="43">
        <f t="shared" si="124"/>
        <v>-12.720000000000017</v>
      </c>
      <c r="AA109" s="52">
        <v>174.89</v>
      </c>
      <c r="AB109" s="52">
        <v>30.4</v>
      </c>
      <c r="AC109" s="52">
        <v>-114.69</v>
      </c>
      <c r="AD109" s="52">
        <v>171.64</v>
      </c>
      <c r="AE109" s="52">
        <v>-275.41000000000003</v>
      </c>
      <c r="AF109" s="52">
        <v>0.45</v>
      </c>
      <c r="AG109" s="43">
        <f t="shared" ref="AG109" si="215">SUM(AH109:AO109)</f>
        <v>45471.979999999996</v>
      </c>
      <c r="AH109" s="43">
        <f t="shared" ref="AH109" si="216">C109+I109+Q109+AA109</f>
        <v>793.81</v>
      </c>
      <c r="AI109" s="43">
        <f t="shared" ref="AI109" si="217">J109+R109+AB109</f>
        <v>382.54999999999995</v>
      </c>
      <c r="AJ109" s="43">
        <f t="shared" ref="AJ109" si="218">D109+K109+S109+AC109</f>
        <v>12967.119999999999</v>
      </c>
      <c r="AK109" s="43">
        <f t="shared" ref="AK109" si="219">L109+T109+Y109+AD109</f>
        <v>3514.7399999999993</v>
      </c>
      <c r="AL109" s="43">
        <f t="shared" ref="AL109" si="220">E109+M109+U109+AE109</f>
        <v>17337.739999999998</v>
      </c>
      <c r="AM109" s="43">
        <f t="shared" ref="AM109" si="221">F109+N109+V109+AF109</f>
        <v>5207.22</v>
      </c>
      <c r="AN109" s="43">
        <f t="shared" ref="AN109" si="222">G109</f>
        <v>4826.08</v>
      </c>
      <c r="AO109" s="43">
        <f t="shared" ref="AO109" si="223">O109+W109</f>
        <v>442.71999999999997</v>
      </c>
      <c r="AP109" s="43">
        <f t="shared" ref="AP109" si="224">AG109-AY109</f>
        <v>-66.260000000002037</v>
      </c>
      <c r="AQ109" s="43">
        <f t="shared" ref="AQ109" si="225">AH109-AZ109</f>
        <v>-11.200000000000045</v>
      </c>
      <c r="AR109" s="43">
        <f t="shared" ref="AR109" si="226">AI109-BA109</f>
        <v>-0.73000000000001819</v>
      </c>
      <c r="AS109" s="43">
        <f t="shared" ref="AS109" si="227">AJ109-BB109</f>
        <v>18.109999999998763</v>
      </c>
      <c r="AT109" s="43">
        <f t="shared" ref="AT109" si="228">AK109-BC109</f>
        <v>-19.8400000000006</v>
      </c>
      <c r="AU109" s="43">
        <f t="shared" ref="AU109" si="229">AL109-BD109</f>
        <v>-69.780000000002474</v>
      </c>
      <c r="AV109" s="43">
        <f t="shared" ref="AV109" si="230">AM109-BE109</f>
        <v>0</v>
      </c>
      <c r="AW109" s="43">
        <f t="shared" ref="AW109" si="231">AN109-BF109</f>
        <v>0</v>
      </c>
      <c r="AX109" s="43">
        <f t="shared" ref="AX109" si="232">AO109-BG109</f>
        <v>17.180000000000007</v>
      </c>
      <c r="AY109" s="43">
        <f>'Quarter demand'!B109</f>
        <v>45538.239999999998</v>
      </c>
      <c r="AZ109" s="43">
        <f>'Quarter demand'!C109</f>
        <v>805.01</v>
      </c>
      <c r="BA109" s="43">
        <f>'Quarter demand'!D109</f>
        <v>383.28</v>
      </c>
      <c r="BB109" s="43">
        <f>'Quarter demand'!E109</f>
        <v>12949.01</v>
      </c>
      <c r="BC109" s="43">
        <f>'Quarter demand'!F109</f>
        <v>3534.58</v>
      </c>
      <c r="BD109" s="43">
        <f>'Quarter demand'!G109</f>
        <v>17407.52</v>
      </c>
      <c r="BE109" s="43">
        <f>'Quarter demand'!H109</f>
        <v>5207.2199999999993</v>
      </c>
      <c r="BF109" s="43">
        <f>'Quarter demand'!I109</f>
        <v>4826.08</v>
      </c>
      <c r="BG109" s="54">
        <f>'Quarter demand'!J109</f>
        <v>425.53999999999996</v>
      </c>
    </row>
    <row r="110" spans="1:59" ht="15.5" x14ac:dyDescent="0.35">
      <c r="A110" s="50" t="s">
        <v>509</v>
      </c>
      <c r="B110" s="43">
        <f t="shared" si="160"/>
        <v>25442.13</v>
      </c>
      <c r="C110" s="52">
        <v>14.6</v>
      </c>
      <c r="D110" s="52">
        <v>8734.8799999999992</v>
      </c>
      <c r="E110" s="52">
        <v>8305.5</v>
      </c>
      <c r="F110" s="52">
        <v>3997.43</v>
      </c>
      <c r="G110" s="52">
        <v>4389.72</v>
      </c>
      <c r="H110" s="43">
        <f t="shared" si="121"/>
        <v>35774.129999999997</v>
      </c>
      <c r="I110" s="52">
        <v>279.44</v>
      </c>
      <c r="J110" s="52">
        <v>286.12</v>
      </c>
      <c r="K110" s="52">
        <v>12038.56</v>
      </c>
      <c r="L110" s="52">
        <v>8266.33</v>
      </c>
      <c r="M110" s="52">
        <v>12360.48</v>
      </c>
      <c r="N110" s="52">
        <v>1580.62</v>
      </c>
      <c r="O110" s="52">
        <v>962.58</v>
      </c>
      <c r="P110" s="43">
        <f t="shared" si="122"/>
        <v>-14595.95</v>
      </c>
      <c r="Q110" s="52">
        <v>-146.03</v>
      </c>
      <c r="R110" s="52">
        <v>-0.21</v>
      </c>
      <c r="S110" s="52">
        <v>-7274.1</v>
      </c>
      <c r="T110" s="52">
        <v>-5481.95</v>
      </c>
      <c r="U110" s="52">
        <v>-1354.67</v>
      </c>
      <c r="V110" s="52">
        <v>-152.56</v>
      </c>
      <c r="W110" s="52">
        <v>-186.43</v>
      </c>
      <c r="X110" s="43">
        <f t="shared" si="123"/>
        <v>-419.84</v>
      </c>
      <c r="Y110" s="52">
        <v>-419.84</v>
      </c>
      <c r="Z110" s="43">
        <f t="shared" si="124"/>
        <v>1963.4</v>
      </c>
      <c r="AA110" s="52">
        <v>506.35</v>
      </c>
      <c r="AB110" s="52">
        <v>66.11</v>
      </c>
      <c r="AC110" s="52">
        <v>390.19</v>
      </c>
      <c r="AD110" s="52">
        <v>-58.24</v>
      </c>
      <c r="AE110" s="52">
        <v>1060.1099999999999</v>
      </c>
      <c r="AF110" s="52">
        <v>-1.1200000000000001</v>
      </c>
      <c r="AG110" s="43">
        <f t="shared" ref="AG110" si="233">SUM(AH110:AO110)</f>
        <v>48163.87</v>
      </c>
      <c r="AH110" s="43">
        <f t="shared" ref="AH110" si="234">C110+I110+Q110+AA110</f>
        <v>654.36</v>
      </c>
      <c r="AI110" s="43">
        <f t="shared" ref="AI110" si="235">J110+R110+AB110</f>
        <v>352.02000000000004</v>
      </c>
      <c r="AJ110" s="43">
        <f t="shared" ref="AJ110" si="236">D110+K110+S110+AC110</f>
        <v>13889.529999999999</v>
      </c>
      <c r="AK110" s="43">
        <f t="shared" ref="AK110" si="237">L110+T110+Y110+AD110</f>
        <v>2306.3000000000002</v>
      </c>
      <c r="AL110" s="43">
        <f t="shared" ref="AL110" si="238">E110+M110+U110+AE110</f>
        <v>20371.419999999998</v>
      </c>
      <c r="AM110" s="43">
        <f t="shared" ref="AM110" si="239">F110+N110+V110+AF110</f>
        <v>5424.369999999999</v>
      </c>
      <c r="AN110" s="43">
        <f t="shared" ref="AN110" si="240">G110</f>
        <v>4389.72</v>
      </c>
      <c r="AO110" s="43">
        <f t="shared" ref="AO110" si="241">O110+W110</f>
        <v>776.15000000000009</v>
      </c>
      <c r="AP110" s="43">
        <f t="shared" ref="AP110" si="242">AG110-AY110</f>
        <v>222.42000000001281</v>
      </c>
      <c r="AQ110" s="43">
        <f t="shared" ref="AQ110" si="243">AH110-AZ110</f>
        <v>-5.5799999999999272</v>
      </c>
      <c r="AR110" s="43">
        <f t="shared" ref="AR110" si="244">AI110-BA110</f>
        <v>0.76000000000004775</v>
      </c>
      <c r="AS110" s="43">
        <f t="shared" ref="AS110" si="245">AJ110-BB110</f>
        <v>-6.6900000000005093</v>
      </c>
      <c r="AT110" s="43">
        <f t="shared" ref="AT110" si="246">AK110-BC110</f>
        <v>26.910000000000764</v>
      </c>
      <c r="AU110" s="43">
        <f t="shared" ref="AU110" si="247">AL110-BD110</f>
        <v>194.25</v>
      </c>
      <c r="AV110" s="43">
        <f t="shared" ref="AV110" si="248">AM110-BE110</f>
        <v>-1.0000000000218279E-2</v>
      </c>
      <c r="AW110" s="43">
        <f t="shared" ref="AW110" si="249">AN110-BF110</f>
        <v>1.0000000000218279E-2</v>
      </c>
      <c r="AX110" s="43">
        <f t="shared" ref="AX110" si="250">AO110-BG110</f>
        <v>12.769999999999982</v>
      </c>
      <c r="AY110" s="43">
        <f>'Quarter demand'!B110</f>
        <v>47941.44999999999</v>
      </c>
      <c r="AZ110" s="43">
        <f>'Quarter demand'!C110</f>
        <v>659.93999999999994</v>
      </c>
      <c r="BA110" s="43">
        <f>'Quarter demand'!D110</f>
        <v>351.26</v>
      </c>
      <c r="BB110" s="43">
        <f>'Quarter demand'!E110</f>
        <v>13896.22</v>
      </c>
      <c r="BC110" s="43">
        <f>'Quarter demand'!F110</f>
        <v>2279.3899999999994</v>
      </c>
      <c r="BD110" s="43">
        <f>'Quarter demand'!G110</f>
        <v>20177.169999999998</v>
      </c>
      <c r="BE110" s="43">
        <f>'Quarter demand'!H110</f>
        <v>5424.3799999999992</v>
      </c>
      <c r="BF110" s="43">
        <f>'Quarter demand'!I110</f>
        <v>4389.71</v>
      </c>
      <c r="BG110" s="54">
        <f>'Quarter demand'!J110</f>
        <v>763.38000000000011</v>
      </c>
    </row>
    <row r="111" spans="1:59" ht="15.5" x14ac:dyDescent="0.35">
      <c r="A111" s="50" t="s">
        <v>511</v>
      </c>
      <c r="B111" s="43">
        <f t="shared" ref="B111:B117" si="251">SUM(C111:G111)</f>
        <v>22910</v>
      </c>
      <c r="C111" s="52">
        <v>13.54</v>
      </c>
      <c r="D111" s="52">
        <v>8300.4</v>
      </c>
      <c r="E111" s="52">
        <v>6900.07</v>
      </c>
      <c r="F111" s="52">
        <v>3164.21</v>
      </c>
      <c r="G111" s="52">
        <v>4531.78</v>
      </c>
      <c r="H111" s="43">
        <f t="shared" si="121"/>
        <v>33435.920000000006</v>
      </c>
      <c r="I111" s="52">
        <v>267.43</v>
      </c>
      <c r="J111" s="52">
        <v>380.02</v>
      </c>
      <c r="K111" s="52">
        <v>13621.41</v>
      </c>
      <c r="L111" s="52">
        <v>9105.4</v>
      </c>
      <c r="M111" s="52">
        <v>7370.16</v>
      </c>
      <c r="N111" s="52">
        <v>1647.59</v>
      </c>
      <c r="O111" s="52">
        <v>1043.9100000000001</v>
      </c>
      <c r="P111" s="43">
        <f t="shared" si="122"/>
        <v>-16948.47</v>
      </c>
      <c r="Q111" s="52">
        <v>-144.72999999999999</v>
      </c>
      <c r="R111" s="52">
        <v>-0.96</v>
      </c>
      <c r="S111" s="52">
        <v>-8347.82</v>
      </c>
      <c r="T111" s="52">
        <v>-5069.53</v>
      </c>
      <c r="U111" s="52">
        <v>-2990.79</v>
      </c>
      <c r="V111" s="52">
        <v>-143.35</v>
      </c>
      <c r="W111" s="52">
        <v>-251.29</v>
      </c>
      <c r="X111" s="43">
        <f t="shared" si="123"/>
        <v>-551.02</v>
      </c>
      <c r="Y111" s="52">
        <v>-551.02</v>
      </c>
      <c r="Z111" s="43">
        <f t="shared" si="124"/>
        <v>-171.15999999999997</v>
      </c>
      <c r="AA111" s="52">
        <v>203.03</v>
      </c>
      <c r="AB111" s="52">
        <v>22.68</v>
      </c>
      <c r="AC111" s="52">
        <v>242.3</v>
      </c>
      <c r="AD111" s="52">
        <v>-152.15</v>
      </c>
      <c r="AE111" s="52">
        <v>-485.9</v>
      </c>
      <c r="AF111" s="52">
        <v>-1.1200000000000001</v>
      </c>
      <c r="AG111" s="43">
        <f t="shared" ref="AG111" si="252">SUM(AH111:AO111)</f>
        <v>38675.269999999997</v>
      </c>
      <c r="AH111" s="43">
        <f t="shared" ref="AH111" si="253">C111+I111+Q111+AA111</f>
        <v>339.27000000000004</v>
      </c>
      <c r="AI111" s="43">
        <f t="shared" ref="AI111" si="254">J111+R111+AB111</f>
        <v>401.74</v>
      </c>
      <c r="AJ111" s="43">
        <f t="shared" ref="AJ111" si="255">D111+K111+S111+AC111</f>
        <v>13816.289999999997</v>
      </c>
      <c r="AK111" s="43">
        <f t="shared" ref="AK111" si="256">L111+T111+Y111+AD111</f>
        <v>3332.7</v>
      </c>
      <c r="AL111" s="43">
        <f t="shared" ref="AL111" si="257">E111+M111+U111+AE111</f>
        <v>10793.539999999999</v>
      </c>
      <c r="AM111" s="43">
        <f t="shared" ref="AM111" si="258">F111+N111+V111+AF111</f>
        <v>4667.33</v>
      </c>
      <c r="AN111" s="43">
        <f t="shared" ref="AN111" si="259">G111</f>
        <v>4531.78</v>
      </c>
      <c r="AO111" s="43">
        <f t="shared" ref="AO111" si="260">O111+W111</f>
        <v>792.62000000000012</v>
      </c>
      <c r="AP111" s="43">
        <f t="shared" ref="AP111" si="261">AG111-AY111</f>
        <v>-91.530000000006112</v>
      </c>
      <c r="AQ111" s="43">
        <f t="shared" ref="AQ111" si="262">AH111-AZ111</f>
        <v>8.9999999999974989E-2</v>
      </c>
      <c r="AR111" s="43">
        <f t="shared" ref="AR111" si="263">AI111-BA111</f>
        <v>-0.44999999999998863</v>
      </c>
      <c r="AS111" s="43">
        <f t="shared" ref="AS111" si="264">AJ111-BB111</f>
        <v>-21.370000000004438</v>
      </c>
      <c r="AT111" s="43">
        <f t="shared" ref="AT111" si="265">AK111-BC111</f>
        <v>2.6899999999995998</v>
      </c>
      <c r="AU111" s="43">
        <f t="shared" ref="AU111" si="266">AL111-BD111</f>
        <v>-65.140000000001237</v>
      </c>
      <c r="AV111" s="43">
        <f t="shared" ref="AV111" si="267">AM111-BE111</f>
        <v>1.0000000000218279E-2</v>
      </c>
      <c r="AW111" s="43">
        <f t="shared" ref="AW111" si="268">AN111-BF111</f>
        <v>0</v>
      </c>
      <c r="AX111" s="43">
        <f t="shared" ref="AX111" si="269">AO111-BG111</f>
        <v>-7.3599999999994452</v>
      </c>
      <c r="AY111" s="43">
        <f>'Quarter demand'!B111</f>
        <v>38766.800000000003</v>
      </c>
      <c r="AZ111" s="43">
        <f>'Quarter demand'!C111</f>
        <v>339.18000000000006</v>
      </c>
      <c r="BA111" s="43">
        <f>'Quarter demand'!D111</f>
        <v>402.19</v>
      </c>
      <c r="BB111" s="43">
        <f>'Quarter demand'!E111</f>
        <v>13837.660000000002</v>
      </c>
      <c r="BC111" s="43">
        <f>'Quarter demand'!F111</f>
        <v>3330.01</v>
      </c>
      <c r="BD111" s="43">
        <f>'Quarter demand'!G111</f>
        <v>10858.68</v>
      </c>
      <c r="BE111" s="43">
        <f>'Quarter demand'!H111</f>
        <v>4667.32</v>
      </c>
      <c r="BF111" s="43">
        <f>'Quarter demand'!I111</f>
        <v>4531.7800000000007</v>
      </c>
      <c r="BG111" s="54">
        <f>'Quarter demand'!J111</f>
        <v>799.97999999999956</v>
      </c>
    </row>
    <row r="112" spans="1:59" ht="15.5" x14ac:dyDescent="0.35">
      <c r="A112" s="50" t="s">
        <v>512</v>
      </c>
      <c r="B112" s="43">
        <f t="shared" si="251"/>
        <v>21739.98</v>
      </c>
      <c r="C112" s="52">
        <v>21.63</v>
      </c>
      <c r="D112" s="52">
        <v>7569.3</v>
      </c>
      <c r="E112" s="52">
        <v>6480.66</v>
      </c>
      <c r="F112" s="52">
        <v>3209.01</v>
      </c>
      <c r="G112" s="52">
        <v>4459.38</v>
      </c>
      <c r="H112" s="43">
        <f t="shared" si="121"/>
        <v>32566.520000000004</v>
      </c>
      <c r="I112" s="52">
        <v>418.45</v>
      </c>
      <c r="J112" s="52">
        <v>274.51</v>
      </c>
      <c r="K112" s="52">
        <v>12673.47</v>
      </c>
      <c r="L112" s="52">
        <v>9391.9699999999993</v>
      </c>
      <c r="M112" s="52">
        <v>7364.26</v>
      </c>
      <c r="N112" s="52">
        <v>1493.8</v>
      </c>
      <c r="O112" s="52">
        <v>950.06</v>
      </c>
      <c r="P112" s="43">
        <f t="shared" si="122"/>
        <v>-17099.170000000002</v>
      </c>
      <c r="Q112" s="52">
        <v>-280.83999999999997</v>
      </c>
      <c r="R112" s="52">
        <v>-1.81</v>
      </c>
      <c r="S112" s="52">
        <v>-6830.46</v>
      </c>
      <c r="T112" s="52">
        <v>-5280.27</v>
      </c>
      <c r="U112" s="52">
        <v>-4311.8500000000004</v>
      </c>
      <c r="V112" s="52">
        <v>-143.52000000000001</v>
      </c>
      <c r="W112" s="52">
        <v>-250.42</v>
      </c>
      <c r="X112" s="43">
        <f t="shared" si="123"/>
        <v>-614.19000000000005</v>
      </c>
      <c r="Y112" s="52">
        <v>-614.19000000000005</v>
      </c>
      <c r="Z112" s="43">
        <f t="shared" si="124"/>
        <v>-682.70999999999992</v>
      </c>
      <c r="AA112" s="52">
        <v>106.82</v>
      </c>
      <c r="AB112" s="52">
        <v>-27.38</v>
      </c>
      <c r="AC112" s="52">
        <v>146.80000000000001</v>
      </c>
      <c r="AD112" s="52">
        <v>-162.4</v>
      </c>
      <c r="AE112" s="52">
        <v>-745.43</v>
      </c>
      <c r="AF112" s="52">
        <v>-1.1200000000000001</v>
      </c>
      <c r="AG112" s="43">
        <f t="shared" ref="AG112" si="270">SUM(AH112:AO112)</f>
        <v>35910.429999999993</v>
      </c>
      <c r="AH112" s="43">
        <f t="shared" ref="AH112" si="271">C112+I112+Q112+AA112</f>
        <v>266.06</v>
      </c>
      <c r="AI112" s="43">
        <f t="shared" ref="AI112" si="272">J112+R112+AB112</f>
        <v>245.32</v>
      </c>
      <c r="AJ112" s="43">
        <f t="shared" ref="AJ112" si="273">D112+K112+S112+AC112</f>
        <v>13559.11</v>
      </c>
      <c r="AK112" s="43">
        <f t="shared" ref="AK112" si="274">L112+T112+Y112+AD112</f>
        <v>3335.1099999999988</v>
      </c>
      <c r="AL112" s="43">
        <f t="shared" ref="AL112" si="275">E112+M112+U112+AE112</f>
        <v>8787.64</v>
      </c>
      <c r="AM112" s="43">
        <f t="shared" ref="AM112" si="276">F112+N112+V112+AF112</f>
        <v>4558.17</v>
      </c>
      <c r="AN112" s="43">
        <f t="shared" ref="AN112" si="277">G112</f>
        <v>4459.38</v>
      </c>
      <c r="AO112" s="43">
        <f t="shared" ref="AO112" si="278">O112+W112</f>
        <v>699.64</v>
      </c>
      <c r="AP112" s="43">
        <f t="shared" ref="AP112" si="279">AG112-AY112</f>
        <v>10.459999999991851</v>
      </c>
      <c r="AQ112" s="43">
        <f t="shared" ref="AQ112" si="280">AH112-AZ112</f>
        <v>-2.3900000000000432</v>
      </c>
      <c r="AR112" s="43">
        <f t="shared" ref="AR112" si="281">AI112-BA112</f>
        <v>-0.14000000000001478</v>
      </c>
      <c r="AS112" s="43">
        <f t="shared" ref="AS112" si="282">AJ112-BB112</f>
        <v>-7.4600000000009459</v>
      </c>
      <c r="AT112" s="43">
        <f t="shared" ref="AT112" si="283">AK112-BC112</f>
        <v>-4.2600000000020373</v>
      </c>
      <c r="AU112" s="43">
        <f t="shared" ref="AU112" si="284">AL112-BD112</f>
        <v>15.639999999999418</v>
      </c>
      <c r="AV112" s="43">
        <f t="shared" ref="AV112" si="285">AM112-BE112</f>
        <v>2.9999999999745341E-2</v>
      </c>
      <c r="AW112" s="43">
        <f t="shared" ref="AW112" si="286">AN112-BF112</f>
        <v>0</v>
      </c>
      <c r="AX112" s="43">
        <f t="shared" ref="AX112" si="287">AO112-BG112</f>
        <v>9.0400000000005321</v>
      </c>
      <c r="AY112" s="43">
        <f>'Quarter demand'!B112</f>
        <v>35899.97</v>
      </c>
      <c r="AZ112" s="43">
        <f>'Quarter demand'!C112</f>
        <v>268.45000000000005</v>
      </c>
      <c r="BA112" s="43">
        <f>'Quarter demand'!D112</f>
        <v>245.46</v>
      </c>
      <c r="BB112" s="43">
        <f>'Quarter demand'!E112</f>
        <v>13566.570000000002</v>
      </c>
      <c r="BC112" s="43">
        <f>'Quarter demand'!F112</f>
        <v>3339.3700000000008</v>
      </c>
      <c r="BD112" s="43">
        <f>'Quarter demand'!G112</f>
        <v>8772</v>
      </c>
      <c r="BE112" s="43">
        <f>'Quarter demand'!H112</f>
        <v>4558.1400000000003</v>
      </c>
      <c r="BF112" s="43">
        <f>'Quarter demand'!I112</f>
        <v>4459.38</v>
      </c>
      <c r="BG112" s="54">
        <f>'Quarter demand'!J112</f>
        <v>690.59999999999945</v>
      </c>
    </row>
    <row r="113" spans="1:59" ht="15.5" x14ac:dyDescent="0.35">
      <c r="A113" s="50" t="s">
        <v>514</v>
      </c>
      <c r="B113" s="43">
        <f t="shared" si="251"/>
        <v>24807.86</v>
      </c>
      <c r="C113" s="52">
        <v>27.04</v>
      </c>
      <c r="D113" s="52">
        <v>8693.41</v>
      </c>
      <c r="E113" s="52">
        <v>7880.22</v>
      </c>
      <c r="F113" s="52">
        <v>3821.98</v>
      </c>
      <c r="G113" s="52">
        <v>4385.21</v>
      </c>
      <c r="H113" s="43">
        <f t="shared" si="121"/>
        <v>37143.4</v>
      </c>
      <c r="I113" s="52">
        <v>197.45</v>
      </c>
      <c r="J113" s="52">
        <v>26.79</v>
      </c>
      <c r="K113" s="52">
        <v>14073.36</v>
      </c>
      <c r="L113" s="52">
        <v>8301.52</v>
      </c>
      <c r="M113" s="52">
        <v>11881.96</v>
      </c>
      <c r="N113" s="52">
        <v>1858.52</v>
      </c>
      <c r="O113" s="52">
        <v>803.8</v>
      </c>
      <c r="P113" s="43">
        <f t="shared" si="122"/>
        <v>-15432.369999999997</v>
      </c>
      <c r="Q113" s="52">
        <v>-154.03</v>
      </c>
      <c r="R113" s="52">
        <v>-1.81</v>
      </c>
      <c r="S113" s="52">
        <v>-8491.4699999999993</v>
      </c>
      <c r="T113" s="52">
        <v>-4908.95</v>
      </c>
      <c r="U113" s="52">
        <v>-1525.62</v>
      </c>
      <c r="V113" s="52">
        <v>-150.82</v>
      </c>
      <c r="W113" s="52">
        <v>-199.67</v>
      </c>
      <c r="X113" s="43">
        <f t="shared" si="123"/>
        <v>-469.91</v>
      </c>
      <c r="Y113" s="52">
        <v>-469.91</v>
      </c>
      <c r="Z113" s="43">
        <f t="shared" si="124"/>
        <v>154.60999999999999</v>
      </c>
      <c r="AA113" s="52">
        <v>106.89</v>
      </c>
      <c r="AB113" s="52">
        <v>73.010000000000005</v>
      </c>
      <c r="AC113" s="52">
        <v>-189.18</v>
      </c>
      <c r="AD113" s="52">
        <v>-237.64</v>
      </c>
      <c r="AE113" s="52">
        <v>402.65</v>
      </c>
      <c r="AF113" s="52">
        <v>-1.1200000000000001</v>
      </c>
      <c r="AG113" s="43">
        <f t="shared" ref="AG113" si="288">SUM(AH113:AO113)</f>
        <v>46203.59</v>
      </c>
      <c r="AH113" s="43">
        <f t="shared" ref="AH113" si="289">C113+I113+Q113+AA113</f>
        <v>177.34999999999997</v>
      </c>
      <c r="AI113" s="43">
        <f t="shared" ref="AI113" si="290">J113+R113+AB113</f>
        <v>97.990000000000009</v>
      </c>
      <c r="AJ113" s="43">
        <f t="shared" ref="AJ113" si="291">D113+K113+S113+AC113</f>
        <v>14086.12</v>
      </c>
      <c r="AK113" s="43">
        <f t="shared" ref="AK113" si="292">L113+T113+Y113+AD113</f>
        <v>2685.0200000000009</v>
      </c>
      <c r="AL113" s="43">
        <f t="shared" ref="AL113" si="293">E113+M113+U113+AE113</f>
        <v>18639.210000000003</v>
      </c>
      <c r="AM113" s="43">
        <f t="shared" ref="AM113" si="294">F113+N113+V113+AF113</f>
        <v>5528.56</v>
      </c>
      <c r="AN113" s="43">
        <f t="shared" ref="AN113" si="295">G113</f>
        <v>4385.21</v>
      </c>
      <c r="AO113" s="43">
        <f t="shared" ref="AO113" si="296">O113+W113</f>
        <v>604.13</v>
      </c>
      <c r="AP113" s="43">
        <f t="shared" ref="AP113" si="297">AG113-AY113</f>
        <v>111.48999999999796</v>
      </c>
      <c r="AQ113" s="43">
        <f t="shared" ref="AQ113" si="298">AH113-AZ113</f>
        <v>-1.1299999999999955</v>
      </c>
      <c r="AR113" s="43">
        <f t="shared" ref="AR113" si="299">AI113-BA113</f>
        <v>1.0000000000019327E-2</v>
      </c>
      <c r="AS113" s="43">
        <f t="shared" ref="AS113" si="300">AJ113-BB113</f>
        <v>-25.93999999999869</v>
      </c>
      <c r="AT113" s="43">
        <f t="shared" ref="AT113" si="301">AK113-BC113</f>
        <v>-6.4400000000000546</v>
      </c>
      <c r="AU113" s="43">
        <f t="shared" ref="AU113" si="302">AL113-BD113</f>
        <v>154.44000000000233</v>
      </c>
      <c r="AV113" s="43">
        <f t="shared" ref="AV113" si="303">AM113-BE113</f>
        <v>0</v>
      </c>
      <c r="AW113" s="43">
        <f t="shared" ref="AW113" si="304">AN113-BF113</f>
        <v>0</v>
      </c>
      <c r="AX113" s="43">
        <f t="shared" ref="AX113" si="305">AO113-BG113</f>
        <v>-9.4499999999999318</v>
      </c>
      <c r="AY113" s="43">
        <f>'Quarter demand'!B113</f>
        <v>46092.1</v>
      </c>
      <c r="AZ113" s="43">
        <f>'Quarter demand'!C113</f>
        <v>178.47999999999996</v>
      </c>
      <c r="BA113" s="43">
        <f>'Quarter demand'!D113</f>
        <v>97.97999999999999</v>
      </c>
      <c r="BB113" s="43">
        <f>'Quarter demand'!E113</f>
        <v>14112.06</v>
      </c>
      <c r="BC113" s="43">
        <f>'Quarter demand'!F113</f>
        <v>2691.4600000000009</v>
      </c>
      <c r="BD113" s="43">
        <f>'Quarter demand'!G113</f>
        <v>18484.77</v>
      </c>
      <c r="BE113" s="43">
        <f>'Quarter demand'!H113</f>
        <v>5528.56</v>
      </c>
      <c r="BF113" s="43">
        <f>'Quarter demand'!I113</f>
        <v>4385.21</v>
      </c>
      <c r="BG113" s="54">
        <f>'Quarter demand'!J113</f>
        <v>613.57999999999993</v>
      </c>
    </row>
    <row r="114" spans="1:59" ht="15.5" x14ac:dyDescent="0.35">
      <c r="A114" s="50" t="s">
        <v>517</v>
      </c>
      <c r="B114" s="43">
        <f t="shared" si="251"/>
        <v>25203.09</v>
      </c>
      <c r="C114" s="52">
        <v>22.91</v>
      </c>
      <c r="D114" s="52">
        <v>9028.17</v>
      </c>
      <c r="E114" s="52">
        <v>7733.77</v>
      </c>
      <c r="F114" s="52">
        <v>4018.52</v>
      </c>
      <c r="G114" s="52">
        <v>4399.72</v>
      </c>
      <c r="H114" s="43">
        <f t="shared" si="121"/>
        <v>37804.980000000003</v>
      </c>
      <c r="I114" s="52">
        <v>289.27</v>
      </c>
      <c r="J114" s="52">
        <v>215.24</v>
      </c>
      <c r="K114" s="52">
        <v>11413.2</v>
      </c>
      <c r="L114" s="52">
        <v>8535.67</v>
      </c>
      <c r="M114" s="52">
        <v>14742.84</v>
      </c>
      <c r="N114" s="52">
        <v>1684.79</v>
      </c>
      <c r="O114" s="52">
        <v>923.97</v>
      </c>
      <c r="P114" s="43">
        <f t="shared" si="122"/>
        <v>-14795.279999999999</v>
      </c>
      <c r="Q114" s="52">
        <v>-79.75</v>
      </c>
      <c r="R114" s="52">
        <v>-0.21</v>
      </c>
      <c r="S114" s="52">
        <v>-7951.85</v>
      </c>
      <c r="T114" s="52">
        <v>-4994.95</v>
      </c>
      <c r="U114" s="52">
        <v>-1379.55</v>
      </c>
      <c r="V114" s="52">
        <v>-138.47999999999999</v>
      </c>
      <c r="W114" s="52">
        <v>-250.49</v>
      </c>
      <c r="X114" s="43">
        <f t="shared" si="123"/>
        <v>-443.5</v>
      </c>
      <c r="Y114" s="52">
        <v>-443.5</v>
      </c>
      <c r="Z114" s="43">
        <f t="shared" si="124"/>
        <v>1188.9100000000001</v>
      </c>
      <c r="AA114" s="52">
        <v>-46.71</v>
      </c>
      <c r="AB114" s="52">
        <v>-56.46</v>
      </c>
      <c r="AC114" s="52">
        <v>123.87</v>
      </c>
      <c r="AD114" s="52">
        <v>320.47000000000003</v>
      </c>
      <c r="AE114" s="52">
        <v>848.86</v>
      </c>
      <c r="AF114" s="52">
        <v>-1.1200000000000001</v>
      </c>
      <c r="AG114" s="43">
        <f t="shared" ref="AG114" si="306">SUM(AH114:AO114)</f>
        <v>48958.200000000012</v>
      </c>
      <c r="AH114" s="43">
        <f t="shared" ref="AH114" si="307">C114+I114+Q114+AA114</f>
        <v>185.72</v>
      </c>
      <c r="AI114" s="43">
        <f t="shared" ref="AI114" si="308">J114+R114+AB114</f>
        <v>158.57</v>
      </c>
      <c r="AJ114" s="43">
        <f t="shared" ref="AJ114" si="309">D114+K114+S114+AC114</f>
        <v>12613.390000000003</v>
      </c>
      <c r="AK114" s="43">
        <f t="shared" ref="AK114" si="310">L114+T114+Y114+AD114</f>
        <v>3417.6900000000005</v>
      </c>
      <c r="AL114" s="43">
        <f t="shared" ref="AL114" si="311">E114+M114+U114+AE114</f>
        <v>21945.920000000002</v>
      </c>
      <c r="AM114" s="43">
        <f t="shared" ref="AM114" si="312">F114+N114+V114+AF114</f>
        <v>5563.71</v>
      </c>
      <c r="AN114" s="43">
        <f t="shared" ref="AN114" si="313">G114</f>
        <v>4399.72</v>
      </c>
      <c r="AO114" s="43">
        <f t="shared" ref="AO114" si="314">O114+W114</f>
        <v>673.48</v>
      </c>
      <c r="AP114" s="43">
        <f t="shared" ref="AP114" si="315">AG114-AY114</f>
        <v>319.34000000001106</v>
      </c>
      <c r="AQ114" s="43">
        <f t="shared" ref="AQ114" si="316">AH114-AZ114</f>
        <v>-2.8300000000000125</v>
      </c>
      <c r="AR114" s="43">
        <f t="shared" ref="AR114" si="317">AI114-BA114</f>
        <v>-0.18999999999999773</v>
      </c>
      <c r="AS114" s="43">
        <f t="shared" ref="AS114" si="318">AJ114-BB114</f>
        <v>10.030000000004293</v>
      </c>
      <c r="AT114" s="43">
        <f t="shared" ref="AT114" si="319">AK114-BC114</f>
        <v>6.4200000000018917</v>
      </c>
      <c r="AU114" s="43">
        <f t="shared" ref="AU114" si="320">AL114-BD114</f>
        <v>294.78000000000247</v>
      </c>
      <c r="AV114" s="43">
        <f t="shared" ref="AV114" si="321">AM114-BE114</f>
        <v>-9.999999999308784E-3</v>
      </c>
      <c r="AW114" s="43">
        <f t="shared" ref="AW114" si="322">AN114-BF114</f>
        <v>0</v>
      </c>
      <c r="AX114" s="43">
        <f t="shared" ref="AX114" si="323">AO114-BG114</f>
        <v>11.139999999999873</v>
      </c>
      <c r="AY114" s="43">
        <f>'Quarter demand'!B114</f>
        <v>48638.86</v>
      </c>
      <c r="AZ114" s="43">
        <f>'Quarter demand'!C114</f>
        <v>188.55</v>
      </c>
      <c r="BA114" s="43">
        <f>'Quarter demand'!D114</f>
        <v>158.76</v>
      </c>
      <c r="BB114" s="43">
        <f>'Quarter demand'!E114</f>
        <v>12603.359999999999</v>
      </c>
      <c r="BC114" s="43">
        <f>'Quarter demand'!F114</f>
        <v>3411.2699999999986</v>
      </c>
      <c r="BD114" s="43">
        <f>'Quarter demand'!G114</f>
        <v>21651.14</v>
      </c>
      <c r="BE114" s="43">
        <f>'Quarter demand'!H114</f>
        <v>5563.7199999999993</v>
      </c>
      <c r="BF114" s="43">
        <f>'Quarter demand'!I114</f>
        <v>4399.7199999999993</v>
      </c>
      <c r="BG114" s="54">
        <f>'Quarter demand'!J114</f>
        <v>662.34000000000015</v>
      </c>
    </row>
    <row r="115" spans="1:59" ht="15.5" x14ac:dyDescent="0.35">
      <c r="A115" s="50" t="s">
        <v>520</v>
      </c>
      <c r="B115" s="43">
        <f t="shared" si="251"/>
        <v>23287.09</v>
      </c>
      <c r="C115" s="52">
        <v>20.99</v>
      </c>
      <c r="D115" s="52">
        <v>8669.98</v>
      </c>
      <c r="E115" s="52">
        <v>7145.05</v>
      </c>
      <c r="F115" s="52">
        <v>3030.07</v>
      </c>
      <c r="G115" s="52">
        <v>4421</v>
      </c>
      <c r="H115" s="43">
        <f t="shared" si="121"/>
        <v>31404.76</v>
      </c>
      <c r="I115" s="52">
        <v>273.91000000000003</v>
      </c>
      <c r="J115" s="52">
        <v>119.16</v>
      </c>
      <c r="K115" s="52">
        <v>13048.02</v>
      </c>
      <c r="L115" s="52">
        <v>8919.01</v>
      </c>
      <c r="M115" s="52">
        <v>6305.61</v>
      </c>
      <c r="N115" s="52">
        <v>1803.51</v>
      </c>
      <c r="O115" s="52">
        <v>935.54</v>
      </c>
      <c r="P115" s="43">
        <f t="shared" si="122"/>
        <v>-17718.12</v>
      </c>
      <c r="Q115" s="52">
        <v>-89.23</v>
      </c>
      <c r="R115" s="52">
        <v>0</v>
      </c>
      <c r="S115" s="52">
        <v>-7991.3</v>
      </c>
      <c r="T115" s="52">
        <v>-5393.4</v>
      </c>
      <c r="U115" s="52">
        <v>-3805.67</v>
      </c>
      <c r="V115" s="52">
        <v>-137.72</v>
      </c>
      <c r="W115" s="52">
        <v>-300.8</v>
      </c>
      <c r="X115" s="43">
        <f t="shared" si="123"/>
        <v>-476.27</v>
      </c>
      <c r="Y115" s="52">
        <v>-476.27</v>
      </c>
      <c r="Z115" s="43">
        <f t="shared" si="124"/>
        <v>410.5</v>
      </c>
      <c r="AA115" s="52">
        <v>-45.42</v>
      </c>
      <c r="AB115" s="52">
        <v>30.76</v>
      </c>
      <c r="AC115" s="52">
        <v>-127.24</v>
      </c>
      <c r="AD115" s="52">
        <v>289.64999999999998</v>
      </c>
      <c r="AE115" s="52">
        <v>263.87</v>
      </c>
      <c r="AF115" s="52">
        <v>-1.1200000000000001</v>
      </c>
      <c r="AG115" s="43">
        <f t="shared" ref="AG115" si="324">SUM(AH115:AO115)</f>
        <v>36907.96</v>
      </c>
      <c r="AH115" s="43">
        <f t="shared" ref="AH115" si="325">C115+I115+Q115+AA115</f>
        <v>160.25</v>
      </c>
      <c r="AI115" s="43">
        <f t="shared" ref="AI115" si="326">J115+R115+AB115</f>
        <v>149.91999999999999</v>
      </c>
      <c r="AJ115" s="43">
        <f t="shared" ref="AJ115" si="327">D115+K115+S115+AC115</f>
        <v>13599.460000000001</v>
      </c>
      <c r="AK115" s="43">
        <f t="shared" ref="AK115" si="328">L115+T115+Y115+AD115</f>
        <v>3338.9900000000007</v>
      </c>
      <c r="AL115" s="43">
        <f t="shared" ref="AL115" si="329">E115+M115+U115+AE115</f>
        <v>9908.86</v>
      </c>
      <c r="AM115" s="43">
        <f t="shared" ref="AM115" si="330">F115+N115+V115+AF115</f>
        <v>4694.74</v>
      </c>
      <c r="AN115" s="43">
        <f t="shared" ref="AN115" si="331">G115</f>
        <v>4421</v>
      </c>
      <c r="AO115" s="43">
        <f t="shared" ref="AO115" si="332">O115+W115</f>
        <v>634.74</v>
      </c>
      <c r="AP115" s="43">
        <f t="shared" ref="AP115" si="333">AG115-AY115</f>
        <v>-62.940000000002328</v>
      </c>
      <c r="AQ115" s="43">
        <f t="shared" ref="AQ115" si="334">AH115-AZ115</f>
        <v>-6.4699999999999989</v>
      </c>
      <c r="AR115" s="43">
        <f t="shared" ref="AR115" si="335">AI115-BA115</f>
        <v>0.25999999999996248</v>
      </c>
      <c r="AS115" s="43">
        <f t="shared" ref="AS115" si="336">AJ115-BB115</f>
        <v>3.3700000000008004</v>
      </c>
      <c r="AT115" s="43">
        <f t="shared" ref="AT115" si="337">AK115-BC115</f>
        <v>-4.1199999999980719</v>
      </c>
      <c r="AU115" s="43">
        <f t="shared" ref="AU115" si="338">AL115-BD115</f>
        <v>-48.670000000000073</v>
      </c>
      <c r="AV115" s="43">
        <f t="shared" ref="AV115" si="339">AM115-BE115</f>
        <v>0</v>
      </c>
      <c r="AW115" s="43">
        <f t="shared" ref="AW115" si="340">AN115-BF115</f>
        <v>0</v>
      </c>
      <c r="AX115" s="43">
        <f t="shared" ref="AX115" si="341">AO115-BG115</f>
        <v>-7.3100000000001728</v>
      </c>
      <c r="AY115" s="43">
        <f>'Quarter demand'!B115</f>
        <v>36970.9</v>
      </c>
      <c r="AZ115" s="43">
        <f>'Quarter demand'!C115</f>
        <v>166.72</v>
      </c>
      <c r="BA115" s="43">
        <f>'Quarter demand'!D115</f>
        <v>149.66000000000003</v>
      </c>
      <c r="BB115" s="43">
        <f>'Quarter demand'!E115</f>
        <v>13596.09</v>
      </c>
      <c r="BC115" s="43">
        <f>'Quarter demand'!F115</f>
        <v>3343.1099999999988</v>
      </c>
      <c r="BD115" s="43">
        <f>'Quarter demand'!G115</f>
        <v>9957.5300000000007</v>
      </c>
      <c r="BE115" s="43">
        <f>'Quarter demand'!H115</f>
        <v>4694.74</v>
      </c>
      <c r="BF115" s="43">
        <f>'Quarter demand'!I115</f>
        <v>4421</v>
      </c>
      <c r="BG115" s="54">
        <f>'Quarter demand'!J115</f>
        <v>642.05000000000018</v>
      </c>
    </row>
    <row r="116" spans="1:59" ht="15.5" x14ac:dyDescent="0.35">
      <c r="A116" s="50" t="s">
        <v>522</v>
      </c>
      <c r="B116" s="43">
        <f t="shared" si="251"/>
        <v>21269.360000000001</v>
      </c>
      <c r="C116" s="52">
        <v>21.45</v>
      </c>
      <c r="D116" s="52">
        <v>7775.11</v>
      </c>
      <c r="E116" s="52">
        <v>6394.34</v>
      </c>
      <c r="F116" s="52">
        <v>3089.31</v>
      </c>
      <c r="G116" s="52">
        <v>3989.15</v>
      </c>
      <c r="H116" s="43">
        <f t="shared" si="121"/>
        <v>31609.530000000002</v>
      </c>
      <c r="I116" s="52">
        <v>283.54000000000002</v>
      </c>
      <c r="J116" s="52">
        <v>213.94</v>
      </c>
      <c r="K116" s="52">
        <v>11800.91</v>
      </c>
      <c r="L116" s="52">
        <v>10007.91</v>
      </c>
      <c r="M116" s="52">
        <v>6596.22</v>
      </c>
      <c r="N116" s="52">
        <v>1692.77</v>
      </c>
      <c r="O116" s="52">
        <v>1014.24</v>
      </c>
      <c r="P116" s="43">
        <f t="shared" si="122"/>
        <v>-16489.400000000001</v>
      </c>
      <c r="Q116" s="52">
        <v>-147.26</v>
      </c>
      <c r="R116" s="52">
        <v>-1.25</v>
      </c>
      <c r="S116" s="52">
        <v>-7046.68</v>
      </c>
      <c r="T116" s="52">
        <v>-4500.68</v>
      </c>
      <c r="U116" s="52">
        <v>-4341.01</v>
      </c>
      <c r="V116" s="52">
        <v>-134.69999999999999</v>
      </c>
      <c r="W116" s="52">
        <v>-317.82</v>
      </c>
      <c r="X116" s="43">
        <f t="shared" si="123"/>
        <v>-588.57000000000005</v>
      </c>
      <c r="Y116" s="52">
        <v>-588.57000000000005</v>
      </c>
      <c r="Z116" s="43">
        <f t="shared" si="124"/>
        <v>-321</v>
      </c>
      <c r="AA116" s="52">
        <v>-16.079999999999998</v>
      </c>
      <c r="AB116" s="52">
        <v>-80.099999999999994</v>
      </c>
      <c r="AC116" s="52">
        <v>274.3</v>
      </c>
      <c r="AD116" s="52">
        <v>-425.62</v>
      </c>
      <c r="AE116" s="52">
        <v>-72.38</v>
      </c>
      <c r="AF116" s="52">
        <v>-1.1200000000000001</v>
      </c>
      <c r="AG116" s="43">
        <f t="shared" ref="AG116" si="342">SUM(AH116:AO116)</f>
        <v>35479.919999999998</v>
      </c>
      <c r="AH116" s="43">
        <f t="shared" ref="AH116" si="343">C116+I116+Q116+AA116</f>
        <v>141.65000000000003</v>
      </c>
      <c r="AI116" s="43">
        <f t="shared" ref="AI116" si="344">J116+R116+AB116</f>
        <v>132.59</v>
      </c>
      <c r="AJ116" s="43">
        <f t="shared" ref="AJ116" si="345">D116+K116+S116+AC116</f>
        <v>12803.64</v>
      </c>
      <c r="AK116" s="43">
        <f t="shared" ref="AK116" si="346">L116+T116+Y116+AD116</f>
        <v>4493.04</v>
      </c>
      <c r="AL116" s="43">
        <f t="shared" ref="AL116" si="347">E116+M116+U116+AE116</f>
        <v>8577.1700000000019</v>
      </c>
      <c r="AM116" s="43">
        <f t="shared" ref="AM116" si="348">F116+N116+V116+AF116</f>
        <v>4646.26</v>
      </c>
      <c r="AN116" s="43">
        <f t="shared" ref="AN116" si="349">G116</f>
        <v>3989.15</v>
      </c>
      <c r="AO116" s="43">
        <f t="shared" ref="AO116" si="350">O116+W116</f>
        <v>696.42000000000007</v>
      </c>
      <c r="AP116" s="43">
        <f t="shared" ref="AP116" si="351">AG116-AY116</f>
        <v>-13.649999999994179</v>
      </c>
      <c r="AQ116" s="43">
        <f t="shared" ref="AQ116" si="352">AH116-AZ116</f>
        <v>-3.6199999999999477</v>
      </c>
      <c r="AR116" s="43">
        <f t="shared" ref="AR116" si="353">AI116-BA116</f>
        <v>-0.10999999999998522</v>
      </c>
      <c r="AS116" s="43">
        <f t="shared" ref="AS116" si="354">AJ116-BB116</f>
        <v>19.5</v>
      </c>
      <c r="AT116" s="43">
        <f t="shared" ref="AT116" si="355">AK116-BC116</f>
        <v>-6.2399999999970532</v>
      </c>
      <c r="AU116" s="43">
        <f t="shared" ref="AU116" si="356">AL116-BD116</f>
        <v>-31.739999999997963</v>
      </c>
      <c r="AV116" s="43">
        <f t="shared" ref="AV116" si="357">AM116-BE116</f>
        <v>1.0000000000218279E-2</v>
      </c>
      <c r="AW116" s="43">
        <f t="shared" ref="AW116" si="358">AN116-BF116</f>
        <v>-9.9999999997635314E-3</v>
      </c>
      <c r="AX116" s="43">
        <f t="shared" ref="AX116" si="359">AO116-BG116</f>
        <v>8.5600000000004002</v>
      </c>
      <c r="AY116" s="43">
        <f>'Quarter demand'!B116</f>
        <v>35493.569999999992</v>
      </c>
      <c r="AZ116" s="43">
        <f>'Quarter demand'!C116</f>
        <v>145.26999999999998</v>
      </c>
      <c r="BA116" s="43">
        <f>'Quarter demand'!D116</f>
        <v>132.69999999999999</v>
      </c>
      <c r="BB116" s="43">
        <f>'Quarter demand'!E116</f>
        <v>12784.14</v>
      </c>
      <c r="BC116" s="43">
        <f>'Quarter demand'!F116</f>
        <v>4499.279999999997</v>
      </c>
      <c r="BD116" s="43">
        <f>'Quarter demand'!G116</f>
        <v>8608.91</v>
      </c>
      <c r="BE116" s="43">
        <f>'Quarter demand'!H116</f>
        <v>4646.25</v>
      </c>
      <c r="BF116" s="43">
        <f>'Quarter demand'!I116</f>
        <v>3989.16</v>
      </c>
      <c r="BG116" s="54">
        <f>'Quarter demand'!J116</f>
        <v>687.85999999999967</v>
      </c>
    </row>
    <row r="117" spans="1:59" ht="15.5" x14ac:dyDescent="0.35">
      <c r="A117" s="50" t="s">
        <v>523</v>
      </c>
      <c r="B117" s="43">
        <f t="shared" si="251"/>
        <v>24237.11</v>
      </c>
      <c r="C117" s="52">
        <v>20.91</v>
      </c>
      <c r="D117" s="52">
        <v>8680.64</v>
      </c>
      <c r="E117" s="52">
        <v>7323.57</v>
      </c>
      <c r="F117" s="52">
        <v>3586.98</v>
      </c>
      <c r="G117" s="52">
        <v>4625.01</v>
      </c>
      <c r="H117" s="43">
        <f t="shared" si="121"/>
        <v>35327.42</v>
      </c>
      <c r="I117" s="52">
        <v>255.57</v>
      </c>
      <c r="J117" s="52">
        <v>93.53</v>
      </c>
      <c r="K117" s="52">
        <v>11236.86</v>
      </c>
      <c r="L117" s="52">
        <v>8838.9699999999993</v>
      </c>
      <c r="M117" s="52">
        <v>12225.65</v>
      </c>
      <c r="N117" s="52">
        <v>1773.34</v>
      </c>
      <c r="O117" s="52">
        <v>903.5</v>
      </c>
      <c r="P117" s="43">
        <f t="shared" si="122"/>
        <v>-13964.19</v>
      </c>
      <c r="Q117" s="52">
        <v>-77.319999999999993</v>
      </c>
      <c r="R117" s="52">
        <v>-1.02</v>
      </c>
      <c r="S117" s="52">
        <v>-7074.85</v>
      </c>
      <c r="T117" s="52">
        <v>-4401.54</v>
      </c>
      <c r="U117" s="52">
        <v>-1919.03</v>
      </c>
      <c r="V117" s="52">
        <v>-138.58000000000001</v>
      </c>
      <c r="W117" s="52">
        <v>-351.85</v>
      </c>
      <c r="X117" s="43">
        <f t="shared" si="123"/>
        <v>-411.4</v>
      </c>
      <c r="Y117" s="52">
        <v>-411.4</v>
      </c>
      <c r="Z117" s="43">
        <f t="shared" si="124"/>
        <v>-288.40999999999997</v>
      </c>
      <c r="AA117" s="52">
        <v>-50.7</v>
      </c>
      <c r="AB117" s="52">
        <v>50.11</v>
      </c>
      <c r="AC117" s="52">
        <v>253.61</v>
      </c>
      <c r="AD117" s="52">
        <v>-238.17</v>
      </c>
      <c r="AE117" s="52">
        <v>-302.14</v>
      </c>
      <c r="AF117" s="52">
        <v>-1.1200000000000001</v>
      </c>
      <c r="AG117" s="43">
        <f t="shared" ref="AG117" si="360">SUM(AH117:AO117)</f>
        <v>44900.530000000006</v>
      </c>
      <c r="AH117" s="43">
        <f t="shared" ref="AH117" si="361">C117+I117+Q117+AA117</f>
        <v>148.46000000000004</v>
      </c>
      <c r="AI117" s="43">
        <f t="shared" ref="AI117" si="362">J117+R117+AB117</f>
        <v>142.62</v>
      </c>
      <c r="AJ117" s="43">
        <f t="shared" ref="AJ117" si="363">D117+K117+S117+AC117</f>
        <v>13096.26</v>
      </c>
      <c r="AK117" s="43">
        <f t="shared" ref="AK117" si="364">L117+T117+Y117+AD117</f>
        <v>3787.8599999999992</v>
      </c>
      <c r="AL117" s="43">
        <f t="shared" ref="AL117" si="365">E117+M117+U117+AE117</f>
        <v>17328.050000000003</v>
      </c>
      <c r="AM117" s="43">
        <f t="shared" ref="AM117" si="366">F117+N117+V117+AF117</f>
        <v>5220.62</v>
      </c>
      <c r="AN117" s="43">
        <f t="shared" ref="AN117" si="367">G117</f>
        <v>4625.01</v>
      </c>
      <c r="AO117" s="43">
        <f t="shared" ref="AO117" si="368">O117+W117</f>
        <v>551.65</v>
      </c>
      <c r="AP117" s="43">
        <f t="shared" ref="AP117" si="369">AG117-AY117</f>
        <v>-302.72999999998865</v>
      </c>
      <c r="AQ117" s="43">
        <f t="shared" ref="AQ117" si="370">AH117-AZ117</f>
        <v>6.2900000000000205</v>
      </c>
      <c r="AR117" s="43">
        <f t="shared" ref="AR117" si="371">AI117-BA117</f>
        <v>-0.36000000000001364</v>
      </c>
      <c r="AS117" s="43">
        <f t="shared" ref="AS117" si="372">AJ117-BB117</f>
        <v>-19.1299999999992</v>
      </c>
      <c r="AT117" s="43">
        <f t="shared" ref="AT117" si="373">AK117-BC117</f>
        <v>-38.690000000000055</v>
      </c>
      <c r="AU117" s="43">
        <f t="shared" ref="AU117" si="374">AL117-BD117</f>
        <v>-244.38999999999942</v>
      </c>
      <c r="AV117" s="43">
        <f t="shared" ref="AV117" si="375">AM117-BE117</f>
        <v>0</v>
      </c>
      <c r="AW117" s="43">
        <f t="shared" ref="AW117" si="376">AN117-BF117</f>
        <v>-1.0000000000218279E-2</v>
      </c>
      <c r="AX117" s="43">
        <f t="shared" ref="AX117" si="377">AO117-BG117</f>
        <v>-6.4400000000001683</v>
      </c>
      <c r="AY117" s="43">
        <f>'Quarter demand'!B117</f>
        <v>45203.259999999995</v>
      </c>
      <c r="AZ117" s="43">
        <f>'Quarter demand'!C117</f>
        <v>142.17000000000002</v>
      </c>
      <c r="BA117" s="43">
        <f>'Quarter demand'!D117</f>
        <v>142.98000000000002</v>
      </c>
      <c r="BB117" s="43">
        <f>'Quarter demand'!E117</f>
        <v>13115.39</v>
      </c>
      <c r="BC117" s="43">
        <f>'Quarter demand'!F117</f>
        <v>3826.5499999999993</v>
      </c>
      <c r="BD117" s="43">
        <f>'Quarter demand'!G117</f>
        <v>17572.440000000002</v>
      </c>
      <c r="BE117" s="43">
        <f>'Quarter demand'!H117</f>
        <v>5220.6200000000008</v>
      </c>
      <c r="BF117" s="43">
        <f>'Quarter demand'!I117</f>
        <v>4625.0200000000004</v>
      </c>
      <c r="BG117" s="54">
        <f>'Quarter demand'!J117</f>
        <v>558.09000000000015</v>
      </c>
    </row>
    <row r="120" spans="1:59" x14ac:dyDescent="0.25">
      <c r="B120" s="231"/>
    </row>
  </sheetData>
  <pageMargins left="0.75" right="0.75" top="1" bottom="1" header="0.5" footer="0.5"/>
  <pageSetup paperSize="9" orientation="portrait"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1CBB-0A54-46A5-A35A-3BC6B0C5B3B7}">
  <dimension ref="A1:CI117"/>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3" x14ac:dyDescent="0.3"/>
  <cols>
    <col min="1" max="1" width="29" style="19" customWidth="1"/>
    <col min="2" max="2" width="12.1796875" style="19" bestFit="1" customWidth="1"/>
    <col min="3" max="3" width="9.453125" style="19" customWidth="1"/>
    <col min="4" max="4" width="18.81640625" style="19" customWidth="1"/>
    <col min="5" max="5" width="9.81640625" style="19" bestFit="1" customWidth="1"/>
    <col min="6" max="6" width="10.81640625" style="19" customWidth="1"/>
    <col min="7" max="7" width="11.81640625" style="19" customWidth="1"/>
    <col min="8" max="8" width="15.26953125" style="19" customWidth="1"/>
    <col min="9" max="9" width="16.26953125" style="19" bestFit="1" customWidth="1"/>
    <col min="10" max="10" width="10" style="19" customWidth="1"/>
    <col min="11" max="11" width="13.1796875" style="19" bestFit="1" customWidth="1"/>
    <col min="12" max="12" width="6.54296875" style="19" customWidth="1"/>
    <col min="13" max="13" width="17.54296875" style="19" bestFit="1" customWidth="1"/>
    <col min="14" max="14" width="9.81640625" style="19" bestFit="1" customWidth="1"/>
    <col min="15" max="15" width="10.81640625" style="19" customWidth="1"/>
    <col min="16" max="16" width="10.453125" style="19" bestFit="1" customWidth="1"/>
    <col min="17" max="17" width="18.54296875" style="19" bestFit="1" customWidth="1"/>
    <col min="18" max="18" width="16.26953125" style="19" bestFit="1" customWidth="1"/>
    <col min="19" max="19" width="10" style="19" customWidth="1"/>
    <col min="20" max="20" width="18.453125" style="19" bestFit="1" customWidth="1"/>
    <col min="21" max="21" width="9.1796875" style="19" customWidth="1"/>
    <col min="22" max="22" width="17.54296875" style="19" bestFit="1" customWidth="1"/>
    <col min="23" max="23" width="9.81640625" style="19" bestFit="1" customWidth="1"/>
    <col min="24" max="24" width="10.54296875" style="19" customWidth="1"/>
    <col min="25" max="25" width="10.453125" style="19" bestFit="1" customWidth="1"/>
    <col min="26" max="26" width="18.54296875" style="19" bestFit="1" customWidth="1"/>
    <col min="27" max="27" width="16.26953125" style="19" bestFit="1" customWidth="1"/>
    <col min="28" max="28" width="10" style="19" customWidth="1"/>
    <col min="29" max="29" width="8.7265625" style="19" bestFit="1" customWidth="1"/>
    <col min="30" max="30" width="23.81640625" style="19" bestFit="1" customWidth="1"/>
    <col min="31" max="31" width="7.453125" style="19" bestFit="1" customWidth="1"/>
    <col min="32" max="32" width="17.54296875" style="19" customWidth="1"/>
    <col min="33" max="33" width="11.26953125" style="19" customWidth="1"/>
    <col min="34" max="34" width="10.453125" style="19" bestFit="1" customWidth="1"/>
    <col min="35" max="35" width="20.1796875" style="19" customWidth="1"/>
    <col min="36" max="36" width="16.26953125" style="19" bestFit="1" customWidth="1"/>
    <col min="37" max="37" width="10.54296875" style="19" customWidth="1"/>
    <col min="38" max="38" width="12.1796875" style="19" customWidth="1"/>
    <col min="39" max="39" width="6.54296875" style="19" customWidth="1"/>
    <col min="40" max="40" width="17.54296875" style="19" bestFit="1" customWidth="1"/>
    <col min="41" max="41" width="12.1796875" style="19" customWidth="1"/>
    <col min="42" max="42" width="10.453125" style="19" bestFit="1" customWidth="1"/>
    <col min="43" max="43" width="18.54296875" style="19" bestFit="1" customWidth="1"/>
    <col min="44" max="44" width="8.7265625" style="19" bestFit="1" customWidth="1"/>
    <col min="45" max="45" width="23.26953125" style="20" bestFit="1" customWidth="1"/>
    <col min="46" max="46" width="9.81640625" style="19" bestFit="1" customWidth="1"/>
    <col min="47" max="47" width="10.453125" style="19" customWidth="1"/>
    <col min="48" max="48" width="18.81640625" style="20" customWidth="1"/>
    <col min="49" max="49" width="7.453125" style="19" customWidth="1"/>
    <col min="50" max="50" width="17.54296875" style="19" bestFit="1" customWidth="1"/>
    <col min="51" max="51" width="11.1796875" style="19" customWidth="1"/>
    <col min="52" max="52" width="17.54296875" style="19" bestFit="1" customWidth="1"/>
    <col min="53" max="53" width="6.453125" style="19" customWidth="1"/>
    <col min="54" max="54" width="17.54296875" style="19" bestFit="1" customWidth="1"/>
    <col min="55" max="55" width="10.54296875" style="19" customWidth="1"/>
    <col min="56" max="56" width="15.81640625" style="19" bestFit="1" customWidth="1"/>
    <col min="57" max="57" width="5.54296875" style="19" customWidth="1"/>
    <col min="58" max="58" width="17.54296875" style="19" bestFit="1" customWidth="1"/>
    <col min="59" max="59" width="11.1796875" style="19" customWidth="1"/>
    <col min="60" max="60" width="10.1796875" style="19" bestFit="1" customWidth="1"/>
    <col min="61" max="61" width="9.81640625" style="19" bestFit="1" customWidth="1"/>
    <col min="62" max="62" width="10.54296875" style="19" customWidth="1"/>
    <col min="63" max="63" width="22.453125" style="19" bestFit="1" customWidth="1"/>
    <col min="64" max="64" width="5.81640625" style="19" customWidth="1"/>
    <col min="65" max="65" width="17.54296875" style="19" bestFit="1" customWidth="1"/>
    <col min="66" max="66" width="9.81640625" style="19" bestFit="1" customWidth="1"/>
    <col min="67" max="67" width="11.26953125" style="19" customWidth="1"/>
    <col min="68" max="68" width="10.453125" style="19" bestFit="1" customWidth="1"/>
    <col min="69" max="69" width="18.54296875" style="19" bestFit="1" customWidth="1"/>
    <col min="70" max="70" width="10" style="19" customWidth="1"/>
    <col min="71" max="71" width="8.7265625" style="19" bestFit="1" customWidth="1"/>
    <col min="72" max="72" width="10.54296875" style="19" bestFit="1" customWidth="1"/>
    <col min="73" max="73" width="5.54296875" style="19" customWidth="1"/>
    <col min="74" max="74" width="17.54296875" style="19" bestFit="1" customWidth="1"/>
    <col min="75" max="75" width="9.81640625" style="19" bestFit="1" customWidth="1"/>
    <col min="76" max="76" width="10.453125" style="19" customWidth="1"/>
    <col min="77" max="77" width="10.453125" style="19" bestFit="1" customWidth="1"/>
    <col min="78" max="78" width="18.54296875" style="19" bestFit="1" customWidth="1"/>
    <col min="79" max="79" width="10.26953125" style="19" customWidth="1"/>
    <col min="80" max="80" width="12.54296875" style="19" bestFit="1" customWidth="1"/>
    <col min="81" max="81" width="6.81640625" style="19" customWidth="1"/>
    <col min="82" max="82" width="17.54296875" style="19" bestFit="1" customWidth="1"/>
    <col min="83" max="83" width="17.81640625" style="19" bestFit="1" customWidth="1"/>
    <col min="84" max="84" width="10.453125" style="19" bestFit="1" customWidth="1"/>
    <col min="85" max="85" width="18.54296875" style="19" bestFit="1" customWidth="1"/>
    <col min="86" max="86" width="9.81640625" style="19" customWidth="1"/>
    <col min="87" max="87" width="8.7265625" style="19" bestFit="1" customWidth="1"/>
    <col min="88" max="90" width="3.1796875" style="19" bestFit="1" customWidth="1"/>
    <col min="91" max="91" width="3.81640625" style="19" bestFit="1" customWidth="1"/>
    <col min="92" max="92" width="3.1796875" style="19" bestFit="1" customWidth="1"/>
    <col min="93" max="93" width="3.81640625" style="19" bestFit="1" customWidth="1"/>
    <col min="94" max="94" width="3.26953125" style="19" customWidth="1"/>
    <col min="95" max="95" width="19.54296875" style="19" bestFit="1" customWidth="1"/>
    <col min="96" max="96" width="5.453125" style="19" bestFit="1" customWidth="1"/>
    <col min="97" max="97" width="3.81640625" style="19" bestFit="1" customWidth="1"/>
    <col min="98" max="99" width="6.54296875" style="19" bestFit="1" customWidth="1"/>
    <col min="100" max="102" width="5.453125" style="19" bestFit="1" customWidth="1"/>
    <col min="103" max="257" width="8.7265625" style="19"/>
    <col min="258" max="258" width="9.54296875" style="19" customWidth="1"/>
    <col min="259" max="259" width="6.26953125" style="19" customWidth="1"/>
    <col min="260" max="260" width="3.26953125" style="19" customWidth="1"/>
    <col min="261" max="261" width="9.54296875" style="19" bestFit="1" customWidth="1"/>
    <col min="262" max="269" width="9.26953125" style="19" bestFit="1" customWidth="1"/>
    <col min="270" max="270" width="3.26953125" style="19" customWidth="1"/>
    <col min="271" max="272" width="9.26953125" style="19" bestFit="1" customWidth="1"/>
    <col min="273" max="273" width="9.453125" style="19" bestFit="1" customWidth="1"/>
    <col min="274" max="274" width="10.1796875" style="19" bestFit="1" customWidth="1"/>
    <col min="275" max="275" width="9.54296875" style="19" bestFit="1" customWidth="1"/>
    <col min="276" max="276" width="9.453125" style="19" bestFit="1" customWidth="1"/>
    <col min="277" max="279" width="9.26953125" style="19" bestFit="1" customWidth="1"/>
    <col min="280" max="280" width="3.26953125" style="19" customWidth="1"/>
    <col min="281" max="281" width="10.1796875" style="19" bestFit="1" customWidth="1"/>
    <col min="282" max="289" width="9.453125" style="19" bestFit="1" customWidth="1"/>
    <col min="290" max="290" width="9.26953125" style="19" customWidth="1"/>
    <col min="291" max="291" width="3.26953125" style="19" customWidth="1"/>
    <col min="292" max="292" width="10.1796875" style="19" bestFit="1" customWidth="1"/>
    <col min="293" max="296" width="9.453125" style="19" bestFit="1" customWidth="1"/>
    <col min="297" max="299" width="9.26953125" style="19" bestFit="1" customWidth="1"/>
    <col min="300" max="300" width="3.26953125" style="19" customWidth="1"/>
    <col min="301" max="307" width="9" style="19" customWidth="1"/>
    <col min="308" max="308" width="3.1796875" style="19" customWidth="1"/>
    <col min="309" max="311" width="9.26953125" style="19" bestFit="1" customWidth="1"/>
    <col min="312" max="312" width="3.26953125" style="19" customWidth="1"/>
    <col min="313" max="315" width="9.26953125" style="19" bestFit="1" customWidth="1"/>
    <col min="316" max="316" width="6.54296875" style="19" customWidth="1"/>
    <col min="317" max="317" width="3.26953125" style="19" customWidth="1"/>
    <col min="318" max="321" width="9.26953125" style="19" bestFit="1" customWidth="1"/>
    <col min="322" max="322" width="3.26953125" style="19" customWidth="1"/>
    <col min="323" max="325" width="9.26953125" style="19" bestFit="1" customWidth="1"/>
    <col min="326" max="326" width="10" style="19" bestFit="1" customWidth="1"/>
    <col min="327" max="327" width="3.26953125" style="19" customWidth="1"/>
    <col min="328" max="328" width="9.26953125" style="19" bestFit="1" customWidth="1"/>
    <col min="329" max="330" width="10" style="19" customWidth="1"/>
    <col min="331" max="331" width="3.26953125" style="19" customWidth="1"/>
    <col min="332" max="340" width="9.26953125" style="19" bestFit="1" customWidth="1"/>
    <col min="341" max="341" width="3.26953125" style="19" customWidth="1"/>
    <col min="342" max="345" width="9.26953125" style="19" bestFit="1" customWidth="1"/>
    <col min="346" max="346" width="10" style="19" bestFit="1" customWidth="1"/>
    <col min="347" max="347" width="9.26953125" style="19" bestFit="1" customWidth="1"/>
    <col min="348" max="348" width="10" style="19" bestFit="1" customWidth="1"/>
    <col min="349" max="349" width="9.26953125" style="19" bestFit="1" customWidth="1"/>
    <col min="350" max="350" width="3.26953125" style="19" customWidth="1"/>
    <col min="351" max="351" width="9.54296875" style="19" bestFit="1" customWidth="1"/>
    <col min="352" max="358" width="9.26953125" style="19" bestFit="1" customWidth="1"/>
    <col min="359" max="513" width="8.7265625" style="19"/>
    <col min="514" max="514" width="9.54296875" style="19" customWidth="1"/>
    <col min="515" max="515" width="6.26953125" style="19" customWidth="1"/>
    <col min="516" max="516" width="3.26953125" style="19" customWidth="1"/>
    <col min="517" max="517" width="9.54296875" style="19" bestFit="1" customWidth="1"/>
    <col min="518" max="525" width="9.26953125" style="19" bestFit="1" customWidth="1"/>
    <col min="526" max="526" width="3.26953125" style="19" customWidth="1"/>
    <col min="527" max="528" width="9.26953125" style="19" bestFit="1" customWidth="1"/>
    <col min="529" max="529" width="9.453125" style="19" bestFit="1" customWidth="1"/>
    <col min="530" max="530" width="10.1796875" style="19" bestFit="1" customWidth="1"/>
    <col min="531" max="531" width="9.54296875" style="19" bestFit="1" customWidth="1"/>
    <col min="532" max="532" width="9.453125" style="19" bestFit="1" customWidth="1"/>
    <col min="533" max="535" width="9.26953125" style="19" bestFit="1" customWidth="1"/>
    <col min="536" max="536" width="3.26953125" style="19" customWidth="1"/>
    <col min="537" max="537" width="10.1796875" style="19" bestFit="1" customWidth="1"/>
    <col min="538" max="545" width="9.453125" style="19" bestFit="1" customWidth="1"/>
    <col min="546" max="546" width="9.26953125" style="19" customWidth="1"/>
    <col min="547" max="547" width="3.26953125" style="19" customWidth="1"/>
    <col min="548" max="548" width="10.1796875" style="19" bestFit="1" customWidth="1"/>
    <col min="549" max="552" width="9.453125" style="19" bestFit="1" customWidth="1"/>
    <col min="553" max="555" width="9.26953125" style="19" bestFit="1" customWidth="1"/>
    <col min="556" max="556" width="3.26953125" style="19" customWidth="1"/>
    <col min="557" max="563" width="9" style="19" customWidth="1"/>
    <col min="564" max="564" width="3.1796875" style="19" customWidth="1"/>
    <col min="565" max="567" width="9.26953125" style="19" bestFit="1" customWidth="1"/>
    <col min="568" max="568" width="3.26953125" style="19" customWidth="1"/>
    <col min="569" max="571" width="9.26953125" style="19" bestFit="1" customWidth="1"/>
    <col min="572" max="572" width="6.54296875" style="19" customWidth="1"/>
    <col min="573" max="573" width="3.26953125" style="19" customWidth="1"/>
    <col min="574" max="577" width="9.26953125" style="19" bestFit="1" customWidth="1"/>
    <col min="578" max="578" width="3.26953125" style="19" customWidth="1"/>
    <col min="579" max="581" width="9.26953125" style="19" bestFit="1" customWidth="1"/>
    <col min="582" max="582" width="10" style="19" bestFit="1" customWidth="1"/>
    <col min="583" max="583" width="3.26953125" style="19" customWidth="1"/>
    <col min="584" max="584" width="9.26953125" style="19" bestFit="1" customWidth="1"/>
    <col min="585" max="586" width="10" style="19" customWidth="1"/>
    <col min="587" max="587" width="3.26953125" style="19" customWidth="1"/>
    <col min="588" max="596" width="9.26953125" style="19" bestFit="1" customWidth="1"/>
    <col min="597" max="597" width="3.26953125" style="19" customWidth="1"/>
    <col min="598" max="601" width="9.26953125" style="19" bestFit="1" customWidth="1"/>
    <col min="602" max="602" width="10" style="19" bestFit="1" customWidth="1"/>
    <col min="603" max="603" width="9.26953125" style="19" bestFit="1" customWidth="1"/>
    <col min="604" max="604" width="10" style="19" bestFit="1" customWidth="1"/>
    <col min="605" max="605" width="9.26953125" style="19" bestFit="1" customWidth="1"/>
    <col min="606" max="606" width="3.26953125" style="19" customWidth="1"/>
    <col min="607" max="607" width="9.54296875" style="19" bestFit="1" customWidth="1"/>
    <col min="608" max="614" width="9.26953125" style="19" bestFit="1" customWidth="1"/>
    <col min="615" max="769" width="8.7265625" style="19"/>
    <col min="770" max="770" width="9.54296875" style="19" customWidth="1"/>
    <col min="771" max="771" width="6.26953125" style="19" customWidth="1"/>
    <col min="772" max="772" width="3.26953125" style="19" customWidth="1"/>
    <col min="773" max="773" width="9.54296875" style="19" bestFit="1" customWidth="1"/>
    <col min="774" max="781" width="9.26953125" style="19" bestFit="1" customWidth="1"/>
    <col min="782" max="782" width="3.26953125" style="19" customWidth="1"/>
    <col min="783" max="784" width="9.26953125" style="19" bestFit="1" customWidth="1"/>
    <col min="785" max="785" width="9.453125" style="19" bestFit="1" customWidth="1"/>
    <col min="786" max="786" width="10.1796875" style="19" bestFit="1" customWidth="1"/>
    <col min="787" max="787" width="9.54296875" style="19" bestFit="1" customWidth="1"/>
    <col min="788" max="788" width="9.453125" style="19" bestFit="1" customWidth="1"/>
    <col min="789" max="791" width="9.26953125" style="19" bestFit="1" customWidth="1"/>
    <col min="792" max="792" width="3.26953125" style="19" customWidth="1"/>
    <col min="793" max="793" width="10.1796875" style="19" bestFit="1" customWidth="1"/>
    <col min="794" max="801" width="9.453125" style="19" bestFit="1" customWidth="1"/>
    <col min="802" max="802" width="9.26953125" style="19" customWidth="1"/>
    <col min="803" max="803" width="3.26953125" style="19" customWidth="1"/>
    <col min="804" max="804" width="10.1796875" style="19" bestFit="1" customWidth="1"/>
    <col min="805" max="808" width="9.453125" style="19" bestFit="1" customWidth="1"/>
    <col min="809" max="811" width="9.26953125" style="19" bestFit="1" customWidth="1"/>
    <col min="812" max="812" width="3.26953125" style="19" customWidth="1"/>
    <col min="813" max="819" width="9" style="19" customWidth="1"/>
    <col min="820" max="820" width="3.1796875" style="19" customWidth="1"/>
    <col min="821" max="823" width="9.26953125" style="19" bestFit="1" customWidth="1"/>
    <col min="824" max="824" width="3.26953125" style="19" customWidth="1"/>
    <col min="825" max="827" width="9.26953125" style="19" bestFit="1" customWidth="1"/>
    <col min="828" max="828" width="6.54296875" style="19" customWidth="1"/>
    <col min="829" max="829" width="3.26953125" style="19" customWidth="1"/>
    <col min="830" max="833" width="9.26953125" style="19" bestFit="1" customWidth="1"/>
    <col min="834" max="834" width="3.26953125" style="19" customWidth="1"/>
    <col min="835" max="837" width="9.26953125" style="19" bestFit="1" customWidth="1"/>
    <col min="838" max="838" width="10" style="19" bestFit="1" customWidth="1"/>
    <col min="839" max="839" width="3.26953125" style="19" customWidth="1"/>
    <col min="840" max="840" width="9.26953125" style="19" bestFit="1" customWidth="1"/>
    <col min="841" max="842" width="10" style="19" customWidth="1"/>
    <col min="843" max="843" width="3.26953125" style="19" customWidth="1"/>
    <col min="844" max="852" width="9.26953125" style="19" bestFit="1" customWidth="1"/>
    <col min="853" max="853" width="3.26953125" style="19" customWidth="1"/>
    <col min="854" max="857" width="9.26953125" style="19" bestFit="1" customWidth="1"/>
    <col min="858" max="858" width="10" style="19" bestFit="1" customWidth="1"/>
    <col min="859" max="859" width="9.26953125" style="19" bestFit="1" customWidth="1"/>
    <col min="860" max="860" width="10" style="19" bestFit="1" customWidth="1"/>
    <col min="861" max="861" width="9.26953125" style="19" bestFit="1" customWidth="1"/>
    <col min="862" max="862" width="3.26953125" style="19" customWidth="1"/>
    <col min="863" max="863" width="9.54296875" style="19" bestFit="1" customWidth="1"/>
    <col min="864" max="870" width="9.26953125" style="19" bestFit="1" customWidth="1"/>
    <col min="871" max="1025" width="8.7265625" style="19"/>
    <col min="1026" max="1026" width="9.54296875" style="19" customWidth="1"/>
    <col min="1027" max="1027" width="6.26953125" style="19" customWidth="1"/>
    <col min="1028" max="1028" width="3.26953125" style="19" customWidth="1"/>
    <col min="1029" max="1029" width="9.54296875" style="19" bestFit="1" customWidth="1"/>
    <col min="1030" max="1037" width="9.26953125" style="19" bestFit="1" customWidth="1"/>
    <col min="1038" max="1038" width="3.26953125" style="19" customWidth="1"/>
    <col min="1039" max="1040" width="9.26953125" style="19" bestFit="1" customWidth="1"/>
    <col min="1041" max="1041" width="9.453125" style="19" bestFit="1" customWidth="1"/>
    <col min="1042" max="1042" width="10.1796875" style="19" bestFit="1" customWidth="1"/>
    <col min="1043" max="1043" width="9.54296875" style="19" bestFit="1" customWidth="1"/>
    <col min="1044" max="1044" width="9.453125" style="19" bestFit="1" customWidth="1"/>
    <col min="1045" max="1047" width="9.26953125" style="19" bestFit="1" customWidth="1"/>
    <col min="1048" max="1048" width="3.26953125" style="19" customWidth="1"/>
    <col min="1049" max="1049" width="10.1796875" style="19" bestFit="1" customWidth="1"/>
    <col min="1050" max="1057" width="9.453125" style="19" bestFit="1" customWidth="1"/>
    <col min="1058" max="1058" width="9.26953125" style="19" customWidth="1"/>
    <col min="1059" max="1059" width="3.26953125" style="19" customWidth="1"/>
    <col min="1060" max="1060" width="10.1796875" style="19" bestFit="1" customWidth="1"/>
    <col min="1061" max="1064" width="9.453125" style="19" bestFit="1" customWidth="1"/>
    <col min="1065" max="1067" width="9.26953125" style="19" bestFit="1" customWidth="1"/>
    <col min="1068" max="1068" width="3.26953125" style="19" customWidth="1"/>
    <col min="1069" max="1075" width="9" style="19" customWidth="1"/>
    <col min="1076" max="1076" width="3.1796875" style="19" customWidth="1"/>
    <col min="1077" max="1079" width="9.26953125" style="19" bestFit="1" customWidth="1"/>
    <col min="1080" max="1080" width="3.26953125" style="19" customWidth="1"/>
    <col min="1081" max="1083" width="9.26953125" style="19" bestFit="1" customWidth="1"/>
    <col min="1084" max="1084" width="6.54296875" style="19" customWidth="1"/>
    <col min="1085" max="1085" width="3.26953125" style="19" customWidth="1"/>
    <col min="1086" max="1089" width="9.26953125" style="19" bestFit="1" customWidth="1"/>
    <col min="1090" max="1090" width="3.26953125" style="19" customWidth="1"/>
    <col min="1091" max="1093" width="9.26953125" style="19" bestFit="1" customWidth="1"/>
    <col min="1094" max="1094" width="10" style="19" bestFit="1" customWidth="1"/>
    <col min="1095" max="1095" width="3.26953125" style="19" customWidth="1"/>
    <col min="1096" max="1096" width="9.26953125" style="19" bestFit="1" customWidth="1"/>
    <col min="1097" max="1098" width="10" style="19" customWidth="1"/>
    <col min="1099" max="1099" width="3.26953125" style="19" customWidth="1"/>
    <col min="1100" max="1108" width="9.26953125" style="19" bestFit="1" customWidth="1"/>
    <col min="1109" max="1109" width="3.26953125" style="19" customWidth="1"/>
    <col min="1110" max="1113" width="9.26953125" style="19" bestFit="1" customWidth="1"/>
    <col min="1114" max="1114" width="10" style="19" bestFit="1" customWidth="1"/>
    <col min="1115" max="1115" width="9.26953125" style="19" bestFit="1" customWidth="1"/>
    <col min="1116" max="1116" width="10" style="19" bestFit="1" customWidth="1"/>
    <col min="1117" max="1117" width="9.26953125" style="19" bestFit="1" customWidth="1"/>
    <col min="1118" max="1118" width="3.26953125" style="19" customWidth="1"/>
    <col min="1119" max="1119" width="9.54296875" style="19" bestFit="1" customWidth="1"/>
    <col min="1120" max="1126" width="9.26953125" style="19" bestFit="1" customWidth="1"/>
    <col min="1127" max="1281" width="8.7265625" style="19"/>
    <col min="1282" max="1282" width="9.54296875" style="19" customWidth="1"/>
    <col min="1283" max="1283" width="6.26953125" style="19" customWidth="1"/>
    <col min="1284" max="1284" width="3.26953125" style="19" customWidth="1"/>
    <col min="1285" max="1285" width="9.54296875" style="19" bestFit="1" customWidth="1"/>
    <col min="1286" max="1293" width="9.26953125" style="19" bestFit="1" customWidth="1"/>
    <col min="1294" max="1294" width="3.26953125" style="19" customWidth="1"/>
    <col min="1295" max="1296" width="9.26953125" style="19" bestFit="1" customWidth="1"/>
    <col min="1297" max="1297" width="9.453125" style="19" bestFit="1" customWidth="1"/>
    <col min="1298" max="1298" width="10.1796875" style="19" bestFit="1" customWidth="1"/>
    <col min="1299" max="1299" width="9.54296875" style="19" bestFit="1" customWidth="1"/>
    <col min="1300" max="1300" width="9.453125" style="19" bestFit="1" customWidth="1"/>
    <col min="1301" max="1303" width="9.26953125" style="19" bestFit="1" customWidth="1"/>
    <col min="1304" max="1304" width="3.26953125" style="19" customWidth="1"/>
    <col min="1305" max="1305" width="10.1796875" style="19" bestFit="1" customWidth="1"/>
    <col min="1306" max="1313" width="9.453125" style="19" bestFit="1" customWidth="1"/>
    <col min="1314" max="1314" width="9.26953125" style="19" customWidth="1"/>
    <col min="1315" max="1315" width="3.26953125" style="19" customWidth="1"/>
    <col min="1316" max="1316" width="10.1796875" style="19" bestFit="1" customWidth="1"/>
    <col min="1317" max="1320" width="9.453125" style="19" bestFit="1" customWidth="1"/>
    <col min="1321" max="1323" width="9.26953125" style="19" bestFit="1" customWidth="1"/>
    <col min="1324" max="1324" width="3.26953125" style="19" customWidth="1"/>
    <col min="1325" max="1331" width="9" style="19" customWidth="1"/>
    <col min="1332" max="1332" width="3.1796875" style="19" customWidth="1"/>
    <col min="1333" max="1335" width="9.26953125" style="19" bestFit="1" customWidth="1"/>
    <col min="1336" max="1336" width="3.26953125" style="19" customWidth="1"/>
    <col min="1337" max="1339" width="9.26953125" style="19" bestFit="1" customWidth="1"/>
    <col min="1340" max="1340" width="6.54296875" style="19" customWidth="1"/>
    <col min="1341" max="1341" width="3.26953125" style="19" customWidth="1"/>
    <col min="1342" max="1345" width="9.26953125" style="19" bestFit="1" customWidth="1"/>
    <col min="1346" max="1346" width="3.26953125" style="19" customWidth="1"/>
    <col min="1347" max="1349" width="9.26953125" style="19" bestFit="1" customWidth="1"/>
    <col min="1350" max="1350" width="10" style="19" bestFit="1" customWidth="1"/>
    <col min="1351" max="1351" width="3.26953125" style="19" customWidth="1"/>
    <col min="1352" max="1352" width="9.26953125" style="19" bestFit="1" customWidth="1"/>
    <col min="1353" max="1354" width="10" style="19" customWidth="1"/>
    <col min="1355" max="1355" width="3.26953125" style="19" customWidth="1"/>
    <col min="1356" max="1364" width="9.26953125" style="19" bestFit="1" customWidth="1"/>
    <col min="1365" max="1365" width="3.26953125" style="19" customWidth="1"/>
    <col min="1366" max="1369" width="9.26953125" style="19" bestFit="1" customWidth="1"/>
    <col min="1370" max="1370" width="10" style="19" bestFit="1" customWidth="1"/>
    <col min="1371" max="1371" width="9.26953125" style="19" bestFit="1" customWidth="1"/>
    <col min="1372" max="1372" width="10" style="19" bestFit="1" customWidth="1"/>
    <col min="1373" max="1373" width="9.26953125" style="19" bestFit="1" customWidth="1"/>
    <col min="1374" max="1374" width="3.26953125" style="19" customWidth="1"/>
    <col min="1375" max="1375" width="9.54296875" style="19" bestFit="1" customWidth="1"/>
    <col min="1376" max="1382" width="9.26953125" style="19" bestFit="1" customWidth="1"/>
    <col min="1383" max="1537" width="8.7265625" style="19"/>
    <col min="1538" max="1538" width="9.54296875" style="19" customWidth="1"/>
    <col min="1539" max="1539" width="6.26953125" style="19" customWidth="1"/>
    <col min="1540" max="1540" width="3.26953125" style="19" customWidth="1"/>
    <col min="1541" max="1541" width="9.54296875" style="19" bestFit="1" customWidth="1"/>
    <col min="1542" max="1549" width="9.26953125" style="19" bestFit="1" customWidth="1"/>
    <col min="1550" max="1550" width="3.26953125" style="19" customWidth="1"/>
    <col min="1551" max="1552" width="9.26953125" style="19" bestFit="1" customWidth="1"/>
    <col min="1553" max="1553" width="9.453125" style="19" bestFit="1" customWidth="1"/>
    <col min="1554" max="1554" width="10.1796875" style="19" bestFit="1" customWidth="1"/>
    <col min="1555" max="1555" width="9.54296875" style="19" bestFit="1" customWidth="1"/>
    <col min="1556" max="1556" width="9.453125" style="19" bestFit="1" customWidth="1"/>
    <col min="1557" max="1559" width="9.26953125" style="19" bestFit="1" customWidth="1"/>
    <col min="1560" max="1560" width="3.26953125" style="19" customWidth="1"/>
    <col min="1561" max="1561" width="10.1796875" style="19" bestFit="1" customWidth="1"/>
    <col min="1562" max="1569" width="9.453125" style="19" bestFit="1" customWidth="1"/>
    <col min="1570" max="1570" width="9.26953125" style="19" customWidth="1"/>
    <col min="1571" max="1571" width="3.26953125" style="19" customWidth="1"/>
    <col min="1572" max="1572" width="10.1796875" style="19" bestFit="1" customWidth="1"/>
    <col min="1573" max="1576" width="9.453125" style="19" bestFit="1" customWidth="1"/>
    <col min="1577" max="1579" width="9.26953125" style="19" bestFit="1" customWidth="1"/>
    <col min="1580" max="1580" width="3.26953125" style="19" customWidth="1"/>
    <col min="1581" max="1587" width="9" style="19" customWidth="1"/>
    <col min="1588" max="1588" width="3.1796875" style="19" customWidth="1"/>
    <col min="1589" max="1591" width="9.26953125" style="19" bestFit="1" customWidth="1"/>
    <col min="1592" max="1592" width="3.26953125" style="19" customWidth="1"/>
    <col min="1593" max="1595" width="9.26953125" style="19" bestFit="1" customWidth="1"/>
    <col min="1596" max="1596" width="6.54296875" style="19" customWidth="1"/>
    <col min="1597" max="1597" width="3.26953125" style="19" customWidth="1"/>
    <col min="1598" max="1601" width="9.26953125" style="19" bestFit="1" customWidth="1"/>
    <col min="1602" max="1602" width="3.26953125" style="19" customWidth="1"/>
    <col min="1603" max="1605" width="9.26953125" style="19" bestFit="1" customWidth="1"/>
    <col min="1606" max="1606" width="10" style="19" bestFit="1" customWidth="1"/>
    <col min="1607" max="1607" width="3.26953125" style="19" customWidth="1"/>
    <col min="1608" max="1608" width="9.26953125" style="19" bestFit="1" customWidth="1"/>
    <col min="1609" max="1610" width="10" style="19" customWidth="1"/>
    <col min="1611" max="1611" width="3.26953125" style="19" customWidth="1"/>
    <col min="1612" max="1620" width="9.26953125" style="19" bestFit="1" customWidth="1"/>
    <col min="1621" max="1621" width="3.26953125" style="19" customWidth="1"/>
    <col min="1622" max="1625" width="9.26953125" style="19" bestFit="1" customWidth="1"/>
    <col min="1626" max="1626" width="10" style="19" bestFit="1" customWidth="1"/>
    <col min="1627" max="1627" width="9.26953125" style="19" bestFit="1" customWidth="1"/>
    <col min="1628" max="1628" width="10" style="19" bestFit="1" customWidth="1"/>
    <col min="1629" max="1629" width="9.26953125" style="19" bestFit="1" customWidth="1"/>
    <col min="1630" max="1630" width="3.26953125" style="19" customWidth="1"/>
    <col min="1631" max="1631" width="9.54296875" style="19" bestFit="1" customWidth="1"/>
    <col min="1632" max="1638" width="9.26953125" style="19" bestFit="1" customWidth="1"/>
    <col min="1639" max="1793" width="8.7265625" style="19"/>
    <col min="1794" max="1794" width="9.54296875" style="19" customWidth="1"/>
    <col min="1795" max="1795" width="6.26953125" style="19" customWidth="1"/>
    <col min="1796" max="1796" width="3.26953125" style="19" customWidth="1"/>
    <col min="1797" max="1797" width="9.54296875" style="19" bestFit="1" customWidth="1"/>
    <col min="1798" max="1805" width="9.26953125" style="19" bestFit="1" customWidth="1"/>
    <col min="1806" max="1806" width="3.26953125" style="19" customWidth="1"/>
    <col min="1807" max="1808" width="9.26953125" style="19" bestFit="1" customWidth="1"/>
    <col min="1809" max="1809" width="9.453125" style="19" bestFit="1" customWidth="1"/>
    <col min="1810" max="1810" width="10.1796875" style="19" bestFit="1" customWidth="1"/>
    <col min="1811" max="1811" width="9.54296875" style="19" bestFit="1" customWidth="1"/>
    <col min="1812" max="1812" width="9.453125" style="19" bestFit="1" customWidth="1"/>
    <col min="1813" max="1815" width="9.26953125" style="19" bestFit="1" customWidth="1"/>
    <col min="1816" max="1816" width="3.26953125" style="19" customWidth="1"/>
    <col min="1817" max="1817" width="10.1796875" style="19" bestFit="1" customWidth="1"/>
    <col min="1818" max="1825" width="9.453125" style="19" bestFit="1" customWidth="1"/>
    <col min="1826" max="1826" width="9.26953125" style="19" customWidth="1"/>
    <col min="1827" max="1827" width="3.26953125" style="19" customWidth="1"/>
    <col min="1828" max="1828" width="10.1796875" style="19" bestFit="1" customWidth="1"/>
    <col min="1829" max="1832" width="9.453125" style="19" bestFit="1" customWidth="1"/>
    <col min="1833" max="1835" width="9.26953125" style="19" bestFit="1" customWidth="1"/>
    <col min="1836" max="1836" width="3.26953125" style="19" customWidth="1"/>
    <col min="1837" max="1843" width="9" style="19" customWidth="1"/>
    <col min="1844" max="1844" width="3.1796875" style="19" customWidth="1"/>
    <col min="1845" max="1847" width="9.26953125" style="19" bestFit="1" customWidth="1"/>
    <col min="1848" max="1848" width="3.26953125" style="19" customWidth="1"/>
    <col min="1849" max="1851" width="9.26953125" style="19" bestFit="1" customWidth="1"/>
    <col min="1852" max="1852" width="6.54296875" style="19" customWidth="1"/>
    <col min="1853" max="1853" width="3.26953125" style="19" customWidth="1"/>
    <col min="1854" max="1857" width="9.26953125" style="19" bestFit="1" customWidth="1"/>
    <col min="1858" max="1858" width="3.26953125" style="19" customWidth="1"/>
    <col min="1859" max="1861" width="9.26953125" style="19" bestFit="1" customWidth="1"/>
    <col min="1862" max="1862" width="10" style="19" bestFit="1" customWidth="1"/>
    <col min="1863" max="1863" width="3.26953125" style="19" customWidth="1"/>
    <col min="1864" max="1864" width="9.26953125" style="19" bestFit="1" customWidth="1"/>
    <col min="1865" max="1866" width="10" style="19" customWidth="1"/>
    <col min="1867" max="1867" width="3.26953125" style="19" customWidth="1"/>
    <col min="1868" max="1876" width="9.26953125" style="19" bestFit="1" customWidth="1"/>
    <col min="1877" max="1877" width="3.26953125" style="19" customWidth="1"/>
    <col min="1878" max="1881" width="9.26953125" style="19" bestFit="1" customWidth="1"/>
    <col min="1882" max="1882" width="10" style="19" bestFit="1" customWidth="1"/>
    <col min="1883" max="1883" width="9.26953125" style="19" bestFit="1" customWidth="1"/>
    <col min="1884" max="1884" width="10" style="19" bestFit="1" customWidth="1"/>
    <col min="1885" max="1885" width="9.26953125" style="19" bestFit="1" customWidth="1"/>
    <col min="1886" max="1886" width="3.26953125" style="19" customWidth="1"/>
    <col min="1887" max="1887" width="9.54296875" style="19" bestFit="1" customWidth="1"/>
    <col min="1888" max="1894" width="9.26953125" style="19" bestFit="1" customWidth="1"/>
    <col min="1895" max="2049" width="8.7265625" style="19"/>
    <col min="2050" max="2050" width="9.54296875" style="19" customWidth="1"/>
    <col min="2051" max="2051" width="6.26953125" style="19" customWidth="1"/>
    <col min="2052" max="2052" width="3.26953125" style="19" customWidth="1"/>
    <col min="2053" max="2053" width="9.54296875" style="19" bestFit="1" customWidth="1"/>
    <col min="2054" max="2061" width="9.26953125" style="19" bestFit="1" customWidth="1"/>
    <col min="2062" max="2062" width="3.26953125" style="19" customWidth="1"/>
    <col min="2063" max="2064" width="9.26953125" style="19" bestFit="1" customWidth="1"/>
    <col min="2065" max="2065" width="9.453125" style="19" bestFit="1" customWidth="1"/>
    <col min="2066" max="2066" width="10.1796875" style="19" bestFit="1" customWidth="1"/>
    <col min="2067" max="2067" width="9.54296875" style="19" bestFit="1" customWidth="1"/>
    <col min="2068" max="2068" width="9.453125" style="19" bestFit="1" customWidth="1"/>
    <col min="2069" max="2071" width="9.26953125" style="19" bestFit="1" customWidth="1"/>
    <col min="2072" max="2072" width="3.26953125" style="19" customWidth="1"/>
    <col min="2073" max="2073" width="10.1796875" style="19" bestFit="1" customWidth="1"/>
    <col min="2074" max="2081" width="9.453125" style="19" bestFit="1" customWidth="1"/>
    <col min="2082" max="2082" width="9.26953125" style="19" customWidth="1"/>
    <col min="2083" max="2083" width="3.26953125" style="19" customWidth="1"/>
    <col min="2084" max="2084" width="10.1796875" style="19" bestFit="1" customWidth="1"/>
    <col min="2085" max="2088" width="9.453125" style="19" bestFit="1" customWidth="1"/>
    <col min="2089" max="2091" width="9.26953125" style="19" bestFit="1" customWidth="1"/>
    <col min="2092" max="2092" width="3.26953125" style="19" customWidth="1"/>
    <col min="2093" max="2099" width="9" style="19" customWidth="1"/>
    <col min="2100" max="2100" width="3.1796875" style="19" customWidth="1"/>
    <col min="2101" max="2103" width="9.26953125" style="19" bestFit="1" customWidth="1"/>
    <col min="2104" max="2104" width="3.26953125" style="19" customWidth="1"/>
    <col min="2105" max="2107" width="9.26953125" style="19" bestFit="1" customWidth="1"/>
    <col min="2108" max="2108" width="6.54296875" style="19" customWidth="1"/>
    <col min="2109" max="2109" width="3.26953125" style="19" customWidth="1"/>
    <col min="2110" max="2113" width="9.26953125" style="19" bestFit="1" customWidth="1"/>
    <col min="2114" max="2114" width="3.26953125" style="19" customWidth="1"/>
    <col min="2115" max="2117" width="9.26953125" style="19" bestFit="1" customWidth="1"/>
    <col min="2118" max="2118" width="10" style="19" bestFit="1" customWidth="1"/>
    <col min="2119" max="2119" width="3.26953125" style="19" customWidth="1"/>
    <col min="2120" max="2120" width="9.26953125" style="19" bestFit="1" customWidth="1"/>
    <col min="2121" max="2122" width="10" style="19" customWidth="1"/>
    <col min="2123" max="2123" width="3.26953125" style="19" customWidth="1"/>
    <col min="2124" max="2132" width="9.26953125" style="19" bestFit="1" customWidth="1"/>
    <col min="2133" max="2133" width="3.26953125" style="19" customWidth="1"/>
    <col min="2134" max="2137" width="9.26953125" style="19" bestFit="1" customWidth="1"/>
    <col min="2138" max="2138" width="10" style="19" bestFit="1" customWidth="1"/>
    <col min="2139" max="2139" width="9.26953125" style="19" bestFit="1" customWidth="1"/>
    <col min="2140" max="2140" width="10" style="19" bestFit="1" customWidth="1"/>
    <col min="2141" max="2141" width="9.26953125" style="19" bestFit="1" customWidth="1"/>
    <col min="2142" max="2142" width="3.26953125" style="19" customWidth="1"/>
    <col min="2143" max="2143" width="9.54296875" style="19" bestFit="1" customWidth="1"/>
    <col min="2144" max="2150" width="9.26953125" style="19" bestFit="1" customWidth="1"/>
    <col min="2151" max="2305" width="8.7265625" style="19"/>
    <col min="2306" max="2306" width="9.54296875" style="19" customWidth="1"/>
    <col min="2307" max="2307" width="6.26953125" style="19" customWidth="1"/>
    <col min="2308" max="2308" width="3.26953125" style="19" customWidth="1"/>
    <col min="2309" max="2309" width="9.54296875" style="19" bestFit="1" customWidth="1"/>
    <col min="2310" max="2317" width="9.26953125" style="19" bestFit="1" customWidth="1"/>
    <col min="2318" max="2318" width="3.26953125" style="19" customWidth="1"/>
    <col min="2319" max="2320" width="9.26953125" style="19" bestFit="1" customWidth="1"/>
    <col min="2321" max="2321" width="9.453125" style="19" bestFit="1" customWidth="1"/>
    <col min="2322" max="2322" width="10.1796875" style="19" bestFit="1" customWidth="1"/>
    <col min="2323" max="2323" width="9.54296875" style="19" bestFit="1" customWidth="1"/>
    <col min="2324" max="2324" width="9.453125" style="19" bestFit="1" customWidth="1"/>
    <col min="2325" max="2327" width="9.26953125" style="19" bestFit="1" customWidth="1"/>
    <col min="2328" max="2328" width="3.26953125" style="19" customWidth="1"/>
    <col min="2329" max="2329" width="10.1796875" style="19" bestFit="1" customWidth="1"/>
    <col min="2330" max="2337" width="9.453125" style="19" bestFit="1" customWidth="1"/>
    <col min="2338" max="2338" width="9.26953125" style="19" customWidth="1"/>
    <col min="2339" max="2339" width="3.26953125" style="19" customWidth="1"/>
    <col min="2340" max="2340" width="10.1796875" style="19" bestFit="1" customWidth="1"/>
    <col min="2341" max="2344" width="9.453125" style="19" bestFit="1" customWidth="1"/>
    <col min="2345" max="2347" width="9.26953125" style="19" bestFit="1" customWidth="1"/>
    <col min="2348" max="2348" width="3.26953125" style="19" customWidth="1"/>
    <col min="2349" max="2355" width="9" style="19" customWidth="1"/>
    <col min="2356" max="2356" width="3.1796875" style="19" customWidth="1"/>
    <col min="2357" max="2359" width="9.26953125" style="19" bestFit="1" customWidth="1"/>
    <col min="2360" max="2360" width="3.26953125" style="19" customWidth="1"/>
    <col min="2361" max="2363" width="9.26953125" style="19" bestFit="1" customWidth="1"/>
    <col min="2364" max="2364" width="6.54296875" style="19" customWidth="1"/>
    <col min="2365" max="2365" width="3.26953125" style="19" customWidth="1"/>
    <col min="2366" max="2369" width="9.26953125" style="19" bestFit="1" customWidth="1"/>
    <col min="2370" max="2370" width="3.26953125" style="19" customWidth="1"/>
    <col min="2371" max="2373" width="9.26953125" style="19" bestFit="1" customWidth="1"/>
    <col min="2374" max="2374" width="10" style="19" bestFit="1" customWidth="1"/>
    <col min="2375" max="2375" width="3.26953125" style="19" customWidth="1"/>
    <col min="2376" max="2376" width="9.26953125" style="19" bestFit="1" customWidth="1"/>
    <col min="2377" max="2378" width="10" style="19" customWidth="1"/>
    <col min="2379" max="2379" width="3.26953125" style="19" customWidth="1"/>
    <col min="2380" max="2388" width="9.26953125" style="19" bestFit="1" customWidth="1"/>
    <col min="2389" max="2389" width="3.26953125" style="19" customWidth="1"/>
    <col min="2390" max="2393" width="9.26953125" style="19" bestFit="1" customWidth="1"/>
    <col min="2394" max="2394" width="10" style="19" bestFit="1" customWidth="1"/>
    <col min="2395" max="2395" width="9.26953125" style="19" bestFit="1" customWidth="1"/>
    <col min="2396" max="2396" width="10" style="19" bestFit="1" customWidth="1"/>
    <col min="2397" max="2397" width="9.26953125" style="19" bestFit="1" customWidth="1"/>
    <col min="2398" max="2398" width="3.26953125" style="19" customWidth="1"/>
    <col min="2399" max="2399" width="9.54296875" style="19" bestFit="1" customWidth="1"/>
    <col min="2400" max="2406" width="9.26953125" style="19" bestFit="1" customWidth="1"/>
    <col min="2407" max="2561" width="8.7265625" style="19"/>
    <col min="2562" max="2562" width="9.54296875" style="19" customWidth="1"/>
    <col min="2563" max="2563" width="6.26953125" style="19" customWidth="1"/>
    <col min="2564" max="2564" width="3.26953125" style="19" customWidth="1"/>
    <col min="2565" max="2565" width="9.54296875" style="19" bestFit="1" customWidth="1"/>
    <col min="2566" max="2573" width="9.26953125" style="19" bestFit="1" customWidth="1"/>
    <col min="2574" max="2574" width="3.26953125" style="19" customWidth="1"/>
    <col min="2575" max="2576" width="9.26953125" style="19" bestFit="1" customWidth="1"/>
    <col min="2577" max="2577" width="9.453125" style="19" bestFit="1" customWidth="1"/>
    <col min="2578" max="2578" width="10.1796875" style="19" bestFit="1" customWidth="1"/>
    <col min="2579" max="2579" width="9.54296875" style="19" bestFit="1" customWidth="1"/>
    <col min="2580" max="2580" width="9.453125" style="19" bestFit="1" customWidth="1"/>
    <col min="2581" max="2583" width="9.26953125" style="19" bestFit="1" customWidth="1"/>
    <col min="2584" max="2584" width="3.26953125" style="19" customWidth="1"/>
    <col min="2585" max="2585" width="10.1796875" style="19" bestFit="1" customWidth="1"/>
    <col min="2586" max="2593" width="9.453125" style="19" bestFit="1" customWidth="1"/>
    <col min="2594" max="2594" width="9.26953125" style="19" customWidth="1"/>
    <col min="2595" max="2595" width="3.26953125" style="19" customWidth="1"/>
    <col min="2596" max="2596" width="10.1796875" style="19" bestFit="1" customWidth="1"/>
    <col min="2597" max="2600" width="9.453125" style="19" bestFit="1" customWidth="1"/>
    <col min="2601" max="2603" width="9.26953125" style="19" bestFit="1" customWidth="1"/>
    <col min="2604" max="2604" width="3.26953125" style="19" customWidth="1"/>
    <col min="2605" max="2611" width="9" style="19" customWidth="1"/>
    <col min="2612" max="2612" width="3.1796875" style="19" customWidth="1"/>
    <col min="2613" max="2615" width="9.26953125" style="19" bestFit="1" customWidth="1"/>
    <col min="2616" max="2616" width="3.26953125" style="19" customWidth="1"/>
    <col min="2617" max="2619" width="9.26953125" style="19" bestFit="1" customWidth="1"/>
    <col min="2620" max="2620" width="6.54296875" style="19" customWidth="1"/>
    <col min="2621" max="2621" width="3.26953125" style="19" customWidth="1"/>
    <col min="2622" max="2625" width="9.26953125" style="19" bestFit="1" customWidth="1"/>
    <col min="2626" max="2626" width="3.26953125" style="19" customWidth="1"/>
    <col min="2627" max="2629" width="9.26953125" style="19" bestFit="1" customWidth="1"/>
    <col min="2630" max="2630" width="10" style="19" bestFit="1" customWidth="1"/>
    <col min="2631" max="2631" width="3.26953125" style="19" customWidth="1"/>
    <col min="2632" max="2632" width="9.26953125" style="19" bestFit="1" customWidth="1"/>
    <col min="2633" max="2634" width="10" style="19" customWidth="1"/>
    <col min="2635" max="2635" width="3.26953125" style="19" customWidth="1"/>
    <col min="2636" max="2644" width="9.26953125" style="19" bestFit="1" customWidth="1"/>
    <col min="2645" max="2645" width="3.26953125" style="19" customWidth="1"/>
    <col min="2646" max="2649" width="9.26953125" style="19" bestFit="1" customWidth="1"/>
    <col min="2650" max="2650" width="10" style="19" bestFit="1" customWidth="1"/>
    <col min="2651" max="2651" width="9.26953125" style="19" bestFit="1" customWidth="1"/>
    <col min="2652" max="2652" width="10" style="19" bestFit="1" customWidth="1"/>
    <col min="2653" max="2653" width="9.26953125" style="19" bestFit="1" customWidth="1"/>
    <col min="2654" max="2654" width="3.26953125" style="19" customWidth="1"/>
    <col min="2655" max="2655" width="9.54296875" style="19" bestFit="1" customWidth="1"/>
    <col min="2656" max="2662" width="9.26953125" style="19" bestFit="1" customWidth="1"/>
    <col min="2663" max="2817" width="8.7265625" style="19"/>
    <col min="2818" max="2818" width="9.54296875" style="19" customWidth="1"/>
    <col min="2819" max="2819" width="6.26953125" style="19" customWidth="1"/>
    <col min="2820" max="2820" width="3.26953125" style="19" customWidth="1"/>
    <col min="2821" max="2821" width="9.54296875" style="19" bestFit="1" customWidth="1"/>
    <col min="2822" max="2829" width="9.26953125" style="19" bestFit="1" customWidth="1"/>
    <col min="2830" max="2830" width="3.26953125" style="19" customWidth="1"/>
    <col min="2831" max="2832" width="9.26953125" style="19" bestFit="1" customWidth="1"/>
    <col min="2833" max="2833" width="9.453125" style="19" bestFit="1" customWidth="1"/>
    <col min="2834" max="2834" width="10.1796875" style="19" bestFit="1" customWidth="1"/>
    <col min="2835" max="2835" width="9.54296875" style="19" bestFit="1" customWidth="1"/>
    <col min="2836" max="2836" width="9.453125" style="19" bestFit="1" customWidth="1"/>
    <col min="2837" max="2839" width="9.26953125" style="19" bestFit="1" customWidth="1"/>
    <col min="2840" max="2840" width="3.26953125" style="19" customWidth="1"/>
    <col min="2841" max="2841" width="10.1796875" style="19" bestFit="1" customWidth="1"/>
    <col min="2842" max="2849" width="9.453125" style="19" bestFit="1" customWidth="1"/>
    <col min="2850" max="2850" width="9.26953125" style="19" customWidth="1"/>
    <col min="2851" max="2851" width="3.26953125" style="19" customWidth="1"/>
    <col min="2852" max="2852" width="10.1796875" style="19" bestFit="1" customWidth="1"/>
    <col min="2853" max="2856" width="9.453125" style="19" bestFit="1" customWidth="1"/>
    <col min="2857" max="2859" width="9.26953125" style="19" bestFit="1" customWidth="1"/>
    <col min="2860" max="2860" width="3.26953125" style="19" customWidth="1"/>
    <col min="2861" max="2867" width="9" style="19" customWidth="1"/>
    <col min="2868" max="2868" width="3.1796875" style="19" customWidth="1"/>
    <col min="2869" max="2871" width="9.26953125" style="19" bestFit="1" customWidth="1"/>
    <col min="2872" max="2872" width="3.26953125" style="19" customWidth="1"/>
    <col min="2873" max="2875" width="9.26953125" style="19" bestFit="1" customWidth="1"/>
    <col min="2876" max="2876" width="6.54296875" style="19" customWidth="1"/>
    <col min="2877" max="2877" width="3.26953125" style="19" customWidth="1"/>
    <col min="2878" max="2881" width="9.26953125" style="19" bestFit="1" customWidth="1"/>
    <col min="2882" max="2882" width="3.26953125" style="19" customWidth="1"/>
    <col min="2883" max="2885" width="9.26953125" style="19" bestFit="1" customWidth="1"/>
    <col min="2886" max="2886" width="10" style="19" bestFit="1" customWidth="1"/>
    <col min="2887" max="2887" width="3.26953125" style="19" customWidth="1"/>
    <col min="2888" max="2888" width="9.26953125" style="19" bestFit="1" customWidth="1"/>
    <col min="2889" max="2890" width="10" style="19" customWidth="1"/>
    <col min="2891" max="2891" width="3.26953125" style="19" customWidth="1"/>
    <col min="2892" max="2900" width="9.26953125" style="19" bestFit="1" customWidth="1"/>
    <col min="2901" max="2901" width="3.26953125" style="19" customWidth="1"/>
    <col min="2902" max="2905" width="9.26953125" style="19" bestFit="1" customWidth="1"/>
    <col min="2906" max="2906" width="10" style="19" bestFit="1" customWidth="1"/>
    <col min="2907" max="2907" width="9.26953125" style="19" bestFit="1" customWidth="1"/>
    <col min="2908" max="2908" width="10" style="19" bestFit="1" customWidth="1"/>
    <col min="2909" max="2909" width="9.26953125" style="19" bestFit="1" customWidth="1"/>
    <col min="2910" max="2910" width="3.26953125" style="19" customWidth="1"/>
    <col min="2911" max="2911" width="9.54296875" style="19" bestFit="1" customWidth="1"/>
    <col min="2912" max="2918" width="9.26953125" style="19" bestFit="1" customWidth="1"/>
    <col min="2919" max="3073" width="8.7265625" style="19"/>
    <col min="3074" max="3074" width="9.54296875" style="19" customWidth="1"/>
    <col min="3075" max="3075" width="6.26953125" style="19" customWidth="1"/>
    <col min="3076" max="3076" width="3.26953125" style="19" customWidth="1"/>
    <col min="3077" max="3077" width="9.54296875" style="19" bestFit="1" customWidth="1"/>
    <col min="3078" max="3085" width="9.26953125" style="19" bestFit="1" customWidth="1"/>
    <col min="3086" max="3086" width="3.26953125" style="19" customWidth="1"/>
    <col min="3087" max="3088" width="9.26953125" style="19" bestFit="1" customWidth="1"/>
    <col min="3089" max="3089" width="9.453125" style="19" bestFit="1" customWidth="1"/>
    <col min="3090" max="3090" width="10.1796875" style="19" bestFit="1" customWidth="1"/>
    <col min="3091" max="3091" width="9.54296875" style="19" bestFit="1" customWidth="1"/>
    <col min="3092" max="3092" width="9.453125" style="19" bestFit="1" customWidth="1"/>
    <col min="3093" max="3095" width="9.26953125" style="19" bestFit="1" customWidth="1"/>
    <col min="3096" max="3096" width="3.26953125" style="19" customWidth="1"/>
    <col min="3097" max="3097" width="10.1796875" style="19" bestFit="1" customWidth="1"/>
    <col min="3098" max="3105" width="9.453125" style="19" bestFit="1" customWidth="1"/>
    <col min="3106" max="3106" width="9.26953125" style="19" customWidth="1"/>
    <col min="3107" max="3107" width="3.26953125" style="19" customWidth="1"/>
    <col min="3108" max="3108" width="10.1796875" style="19" bestFit="1" customWidth="1"/>
    <col min="3109" max="3112" width="9.453125" style="19" bestFit="1" customWidth="1"/>
    <col min="3113" max="3115" width="9.26953125" style="19" bestFit="1" customWidth="1"/>
    <col min="3116" max="3116" width="3.26953125" style="19" customWidth="1"/>
    <col min="3117" max="3123" width="9" style="19" customWidth="1"/>
    <col min="3124" max="3124" width="3.1796875" style="19" customWidth="1"/>
    <col min="3125" max="3127" width="9.26953125" style="19" bestFit="1" customWidth="1"/>
    <col min="3128" max="3128" width="3.26953125" style="19" customWidth="1"/>
    <col min="3129" max="3131" width="9.26953125" style="19" bestFit="1" customWidth="1"/>
    <col min="3132" max="3132" width="6.54296875" style="19" customWidth="1"/>
    <col min="3133" max="3133" width="3.26953125" style="19" customWidth="1"/>
    <col min="3134" max="3137" width="9.26953125" style="19" bestFit="1" customWidth="1"/>
    <col min="3138" max="3138" width="3.26953125" style="19" customWidth="1"/>
    <col min="3139" max="3141" width="9.26953125" style="19" bestFit="1" customWidth="1"/>
    <col min="3142" max="3142" width="10" style="19" bestFit="1" customWidth="1"/>
    <col min="3143" max="3143" width="3.26953125" style="19" customWidth="1"/>
    <col min="3144" max="3144" width="9.26953125" style="19" bestFit="1" customWidth="1"/>
    <col min="3145" max="3146" width="10" style="19" customWidth="1"/>
    <col min="3147" max="3147" width="3.26953125" style="19" customWidth="1"/>
    <col min="3148" max="3156" width="9.26953125" style="19" bestFit="1" customWidth="1"/>
    <col min="3157" max="3157" width="3.26953125" style="19" customWidth="1"/>
    <col min="3158" max="3161" width="9.26953125" style="19" bestFit="1" customWidth="1"/>
    <col min="3162" max="3162" width="10" style="19" bestFit="1" customWidth="1"/>
    <col min="3163" max="3163" width="9.26953125" style="19" bestFit="1" customWidth="1"/>
    <col min="3164" max="3164" width="10" style="19" bestFit="1" customWidth="1"/>
    <col min="3165" max="3165" width="9.26953125" style="19" bestFit="1" customWidth="1"/>
    <col min="3166" max="3166" width="3.26953125" style="19" customWidth="1"/>
    <col min="3167" max="3167" width="9.54296875" style="19" bestFit="1" customWidth="1"/>
    <col min="3168" max="3174" width="9.26953125" style="19" bestFit="1" customWidth="1"/>
    <col min="3175" max="3329" width="8.7265625" style="19"/>
    <col min="3330" max="3330" width="9.54296875" style="19" customWidth="1"/>
    <col min="3331" max="3331" width="6.26953125" style="19" customWidth="1"/>
    <col min="3332" max="3332" width="3.26953125" style="19" customWidth="1"/>
    <col min="3333" max="3333" width="9.54296875" style="19" bestFit="1" customWidth="1"/>
    <col min="3334" max="3341" width="9.26953125" style="19" bestFit="1" customWidth="1"/>
    <col min="3342" max="3342" width="3.26953125" style="19" customWidth="1"/>
    <col min="3343" max="3344" width="9.26953125" style="19" bestFit="1" customWidth="1"/>
    <col min="3345" max="3345" width="9.453125" style="19" bestFit="1" customWidth="1"/>
    <col min="3346" max="3346" width="10.1796875" style="19" bestFit="1" customWidth="1"/>
    <col min="3347" max="3347" width="9.54296875" style="19" bestFit="1" customWidth="1"/>
    <col min="3348" max="3348" width="9.453125" style="19" bestFit="1" customWidth="1"/>
    <col min="3349" max="3351" width="9.26953125" style="19" bestFit="1" customWidth="1"/>
    <col min="3352" max="3352" width="3.26953125" style="19" customWidth="1"/>
    <col min="3353" max="3353" width="10.1796875" style="19" bestFit="1" customWidth="1"/>
    <col min="3354" max="3361" width="9.453125" style="19" bestFit="1" customWidth="1"/>
    <col min="3362" max="3362" width="9.26953125" style="19" customWidth="1"/>
    <col min="3363" max="3363" width="3.26953125" style="19" customWidth="1"/>
    <col min="3364" max="3364" width="10.1796875" style="19" bestFit="1" customWidth="1"/>
    <col min="3365" max="3368" width="9.453125" style="19" bestFit="1" customWidth="1"/>
    <col min="3369" max="3371" width="9.26953125" style="19" bestFit="1" customWidth="1"/>
    <col min="3372" max="3372" width="3.26953125" style="19" customWidth="1"/>
    <col min="3373" max="3379" width="9" style="19" customWidth="1"/>
    <col min="3380" max="3380" width="3.1796875" style="19" customWidth="1"/>
    <col min="3381" max="3383" width="9.26953125" style="19" bestFit="1" customWidth="1"/>
    <col min="3384" max="3384" width="3.26953125" style="19" customWidth="1"/>
    <col min="3385" max="3387" width="9.26953125" style="19" bestFit="1" customWidth="1"/>
    <col min="3388" max="3388" width="6.54296875" style="19" customWidth="1"/>
    <col min="3389" max="3389" width="3.26953125" style="19" customWidth="1"/>
    <col min="3390" max="3393" width="9.26953125" style="19" bestFit="1" customWidth="1"/>
    <col min="3394" max="3394" width="3.26953125" style="19" customWidth="1"/>
    <col min="3395" max="3397" width="9.26953125" style="19" bestFit="1" customWidth="1"/>
    <col min="3398" max="3398" width="10" style="19" bestFit="1" customWidth="1"/>
    <col min="3399" max="3399" width="3.26953125" style="19" customWidth="1"/>
    <col min="3400" max="3400" width="9.26953125" style="19" bestFit="1" customWidth="1"/>
    <col min="3401" max="3402" width="10" style="19" customWidth="1"/>
    <col min="3403" max="3403" width="3.26953125" style="19" customWidth="1"/>
    <col min="3404" max="3412" width="9.26953125" style="19" bestFit="1" customWidth="1"/>
    <col min="3413" max="3413" width="3.26953125" style="19" customWidth="1"/>
    <col min="3414" max="3417" width="9.26953125" style="19" bestFit="1" customWidth="1"/>
    <col min="3418" max="3418" width="10" style="19" bestFit="1" customWidth="1"/>
    <col min="3419" max="3419" width="9.26953125" style="19" bestFit="1" customWidth="1"/>
    <col min="3420" max="3420" width="10" style="19" bestFit="1" customWidth="1"/>
    <col min="3421" max="3421" width="9.26953125" style="19" bestFit="1" customWidth="1"/>
    <col min="3422" max="3422" width="3.26953125" style="19" customWidth="1"/>
    <col min="3423" max="3423" width="9.54296875" style="19" bestFit="1" customWidth="1"/>
    <col min="3424" max="3430" width="9.26953125" style="19" bestFit="1" customWidth="1"/>
    <col min="3431" max="3585" width="8.7265625" style="19"/>
    <col min="3586" max="3586" width="9.54296875" style="19" customWidth="1"/>
    <col min="3587" max="3587" width="6.26953125" style="19" customWidth="1"/>
    <col min="3588" max="3588" width="3.26953125" style="19" customWidth="1"/>
    <col min="3589" max="3589" width="9.54296875" style="19" bestFit="1" customWidth="1"/>
    <col min="3590" max="3597" width="9.26953125" style="19" bestFit="1" customWidth="1"/>
    <col min="3598" max="3598" width="3.26953125" style="19" customWidth="1"/>
    <col min="3599" max="3600" width="9.26953125" style="19" bestFit="1" customWidth="1"/>
    <col min="3601" max="3601" width="9.453125" style="19" bestFit="1" customWidth="1"/>
    <col min="3602" max="3602" width="10.1796875" style="19" bestFit="1" customWidth="1"/>
    <col min="3603" max="3603" width="9.54296875" style="19" bestFit="1" customWidth="1"/>
    <col min="3604" max="3604" width="9.453125" style="19" bestFit="1" customWidth="1"/>
    <col min="3605" max="3607" width="9.26953125" style="19" bestFit="1" customWidth="1"/>
    <col min="3608" max="3608" width="3.26953125" style="19" customWidth="1"/>
    <col min="3609" max="3609" width="10.1796875" style="19" bestFit="1" customWidth="1"/>
    <col min="3610" max="3617" width="9.453125" style="19" bestFit="1" customWidth="1"/>
    <col min="3618" max="3618" width="9.26953125" style="19" customWidth="1"/>
    <col min="3619" max="3619" width="3.26953125" style="19" customWidth="1"/>
    <col min="3620" max="3620" width="10.1796875" style="19" bestFit="1" customWidth="1"/>
    <col min="3621" max="3624" width="9.453125" style="19" bestFit="1" customWidth="1"/>
    <col min="3625" max="3627" width="9.26953125" style="19" bestFit="1" customWidth="1"/>
    <col min="3628" max="3628" width="3.26953125" style="19" customWidth="1"/>
    <col min="3629" max="3635" width="9" style="19" customWidth="1"/>
    <col min="3636" max="3636" width="3.1796875" style="19" customWidth="1"/>
    <col min="3637" max="3639" width="9.26953125" style="19" bestFit="1" customWidth="1"/>
    <col min="3640" max="3640" width="3.26953125" style="19" customWidth="1"/>
    <col min="3641" max="3643" width="9.26953125" style="19" bestFit="1" customWidth="1"/>
    <col min="3644" max="3644" width="6.54296875" style="19" customWidth="1"/>
    <col min="3645" max="3645" width="3.26953125" style="19" customWidth="1"/>
    <col min="3646" max="3649" width="9.26953125" style="19" bestFit="1" customWidth="1"/>
    <col min="3650" max="3650" width="3.26953125" style="19" customWidth="1"/>
    <col min="3651" max="3653" width="9.26953125" style="19" bestFit="1" customWidth="1"/>
    <col min="3654" max="3654" width="10" style="19" bestFit="1" customWidth="1"/>
    <col min="3655" max="3655" width="3.26953125" style="19" customWidth="1"/>
    <col min="3656" max="3656" width="9.26953125" style="19" bestFit="1" customWidth="1"/>
    <col min="3657" max="3658" width="10" style="19" customWidth="1"/>
    <col min="3659" max="3659" width="3.26953125" style="19" customWidth="1"/>
    <col min="3660" max="3668" width="9.26953125" style="19" bestFit="1" customWidth="1"/>
    <col min="3669" max="3669" width="3.26953125" style="19" customWidth="1"/>
    <col min="3670" max="3673" width="9.26953125" style="19" bestFit="1" customWidth="1"/>
    <col min="3674" max="3674" width="10" style="19" bestFit="1" customWidth="1"/>
    <col min="3675" max="3675" width="9.26953125" style="19" bestFit="1" customWidth="1"/>
    <col min="3676" max="3676" width="10" style="19" bestFit="1" customWidth="1"/>
    <col min="3677" max="3677" width="9.26953125" style="19" bestFit="1" customWidth="1"/>
    <col min="3678" max="3678" width="3.26953125" style="19" customWidth="1"/>
    <col min="3679" max="3679" width="9.54296875" style="19" bestFit="1" customWidth="1"/>
    <col min="3680" max="3686" width="9.26953125" style="19" bestFit="1" customWidth="1"/>
    <col min="3687" max="3841" width="8.7265625" style="19"/>
    <col min="3842" max="3842" width="9.54296875" style="19" customWidth="1"/>
    <col min="3843" max="3843" width="6.26953125" style="19" customWidth="1"/>
    <col min="3844" max="3844" width="3.26953125" style="19" customWidth="1"/>
    <col min="3845" max="3845" width="9.54296875" style="19" bestFit="1" customWidth="1"/>
    <col min="3846" max="3853" width="9.26953125" style="19" bestFit="1" customWidth="1"/>
    <col min="3854" max="3854" width="3.26953125" style="19" customWidth="1"/>
    <col min="3855" max="3856" width="9.26953125" style="19" bestFit="1" customWidth="1"/>
    <col min="3857" max="3857" width="9.453125" style="19" bestFit="1" customWidth="1"/>
    <col min="3858" max="3858" width="10.1796875" style="19" bestFit="1" customWidth="1"/>
    <col min="3859" max="3859" width="9.54296875" style="19" bestFit="1" customWidth="1"/>
    <col min="3860" max="3860" width="9.453125" style="19" bestFit="1" customWidth="1"/>
    <col min="3861" max="3863" width="9.26953125" style="19" bestFit="1" customWidth="1"/>
    <col min="3864" max="3864" width="3.26953125" style="19" customWidth="1"/>
    <col min="3865" max="3865" width="10.1796875" style="19" bestFit="1" customWidth="1"/>
    <col min="3866" max="3873" width="9.453125" style="19" bestFit="1" customWidth="1"/>
    <col min="3874" max="3874" width="9.26953125" style="19" customWidth="1"/>
    <col min="3875" max="3875" width="3.26953125" style="19" customWidth="1"/>
    <col min="3876" max="3876" width="10.1796875" style="19" bestFit="1" customWidth="1"/>
    <col min="3877" max="3880" width="9.453125" style="19" bestFit="1" customWidth="1"/>
    <col min="3881" max="3883" width="9.26953125" style="19" bestFit="1" customWidth="1"/>
    <col min="3884" max="3884" width="3.26953125" style="19" customWidth="1"/>
    <col min="3885" max="3891" width="9" style="19" customWidth="1"/>
    <col min="3892" max="3892" width="3.1796875" style="19" customWidth="1"/>
    <col min="3893" max="3895" width="9.26953125" style="19" bestFit="1" customWidth="1"/>
    <col min="3896" max="3896" width="3.26953125" style="19" customWidth="1"/>
    <col min="3897" max="3899" width="9.26953125" style="19" bestFit="1" customWidth="1"/>
    <col min="3900" max="3900" width="6.54296875" style="19" customWidth="1"/>
    <col min="3901" max="3901" width="3.26953125" style="19" customWidth="1"/>
    <col min="3902" max="3905" width="9.26953125" style="19" bestFit="1" customWidth="1"/>
    <col min="3906" max="3906" width="3.26953125" style="19" customWidth="1"/>
    <col min="3907" max="3909" width="9.26953125" style="19" bestFit="1" customWidth="1"/>
    <col min="3910" max="3910" width="10" style="19" bestFit="1" customWidth="1"/>
    <col min="3911" max="3911" width="3.26953125" style="19" customWidth="1"/>
    <col min="3912" max="3912" width="9.26953125" style="19" bestFit="1" customWidth="1"/>
    <col min="3913" max="3914" width="10" style="19" customWidth="1"/>
    <col min="3915" max="3915" width="3.26953125" style="19" customWidth="1"/>
    <col min="3916" max="3924" width="9.26953125" style="19" bestFit="1" customWidth="1"/>
    <col min="3925" max="3925" width="3.26953125" style="19" customWidth="1"/>
    <col min="3926" max="3929" width="9.26953125" style="19" bestFit="1" customWidth="1"/>
    <col min="3930" max="3930" width="10" style="19" bestFit="1" customWidth="1"/>
    <col min="3931" max="3931" width="9.26953125" style="19" bestFit="1" customWidth="1"/>
    <col min="3932" max="3932" width="10" style="19" bestFit="1" customWidth="1"/>
    <col min="3933" max="3933" width="9.26953125" style="19" bestFit="1" customWidth="1"/>
    <col min="3934" max="3934" width="3.26953125" style="19" customWidth="1"/>
    <col min="3935" max="3935" width="9.54296875" style="19" bestFit="1" customWidth="1"/>
    <col min="3936" max="3942" width="9.26953125" style="19" bestFit="1" customWidth="1"/>
    <col min="3943" max="4097" width="8.7265625" style="19"/>
    <col min="4098" max="4098" width="9.54296875" style="19" customWidth="1"/>
    <col min="4099" max="4099" width="6.26953125" style="19" customWidth="1"/>
    <col min="4100" max="4100" width="3.26953125" style="19" customWidth="1"/>
    <col min="4101" max="4101" width="9.54296875" style="19" bestFit="1" customWidth="1"/>
    <col min="4102" max="4109" width="9.26953125" style="19" bestFit="1" customWidth="1"/>
    <col min="4110" max="4110" width="3.26953125" style="19" customWidth="1"/>
    <col min="4111" max="4112" width="9.26953125" style="19" bestFit="1" customWidth="1"/>
    <col min="4113" max="4113" width="9.453125" style="19" bestFit="1" customWidth="1"/>
    <col min="4114" max="4114" width="10.1796875" style="19" bestFit="1" customWidth="1"/>
    <col min="4115" max="4115" width="9.54296875" style="19" bestFit="1" customWidth="1"/>
    <col min="4116" max="4116" width="9.453125" style="19" bestFit="1" customWidth="1"/>
    <col min="4117" max="4119" width="9.26953125" style="19" bestFit="1" customWidth="1"/>
    <col min="4120" max="4120" width="3.26953125" style="19" customWidth="1"/>
    <col min="4121" max="4121" width="10.1796875" style="19" bestFit="1" customWidth="1"/>
    <col min="4122" max="4129" width="9.453125" style="19" bestFit="1" customWidth="1"/>
    <col min="4130" max="4130" width="9.26953125" style="19" customWidth="1"/>
    <col min="4131" max="4131" width="3.26953125" style="19" customWidth="1"/>
    <col min="4132" max="4132" width="10.1796875" style="19" bestFit="1" customWidth="1"/>
    <col min="4133" max="4136" width="9.453125" style="19" bestFit="1" customWidth="1"/>
    <col min="4137" max="4139" width="9.26953125" style="19" bestFit="1" customWidth="1"/>
    <col min="4140" max="4140" width="3.26953125" style="19" customWidth="1"/>
    <col min="4141" max="4147" width="9" style="19" customWidth="1"/>
    <col min="4148" max="4148" width="3.1796875" style="19" customWidth="1"/>
    <col min="4149" max="4151" width="9.26953125" style="19" bestFit="1" customWidth="1"/>
    <col min="4152" max="4152" width="3.26953125" style="19" customWidth="1"/>
    <col min="4153" max="4155" width="9.26953125" style="19" bestFit="1" customWidth="1"/>
    <col min="4156" max="4156" width="6.54296875" style="19" customWidth="1"/>
    <col min="4157" max="4157" width="3.26953125" style="19" customWidth="1"/>
    <col min="4158" max="4161" width="9.26953125" style="19" bestFit="1" customWidth="1"/>
    <col min="4162" max="4162" width="3.26953125" style="19" customWidth="1"/>
    <col min="4163" max="4165" width="9.26953125" style="19" bestFit="1" customWidth="1"/>
    <col min="4166" max="4166" width="10" style="19" bestFit="1" customWidth="1"/>
    <col min="4167" max="4167" width="3.26953125" style="19" customWidth="1"/>
    <col min="4168" max="4168" width="9.26953125" style="19" bestFit="1" customWidth="1"/>
    <col min="4169" max="4170" width="10" style="19" customWidth="1"/>
    <col min="4171" max="4171" width="3.26953125" style="19" customWidth="1"/>
    <col min="4172" max="4180" width="9.26953125" style="19" bestFit="1" customWidth="1"/>
    <col min="4181" max="4181" width="3.26953125" style="19" customWidth="1"/>
    <col min="4182" max="4185" width="9.26953125" style="19" bestFit="1" customWidth="1"/>
    <col min="4186" max="4186" width="10" style="19" bestFit="1" customWidth="1"/>
    <col min="4187" max="4187" width="9.26953125" style="19" bestFit="1" customWidth="1"/>
    <col min="4188" max="4188" width="10" style="19" bestFit="1" customWidth="1"/>
    <col min="4189" max="4189" width="9.26953125" style="19" bestFit="1" customWidth="1"/>
    <col min="4190" max="4190" width="3.26953125" style="19" customWidth="1"/>
    <col min="4191" max="4191" width="9.54296875" style="19" bestFit="1" customWidth="1"/>
    <col min="4192" max="4198" width="9.26953125" style="19" bestFit="1" customWidth="1"/>
    <col min="4199" max="4353" width="8.7265625" style="19"/>
    <col min="4354" max="4354" width="9.54296875" style="19" customWidth="1"/>
    <col min="4355" max="4355" width="6.26953125" style="19" customWidth="1"/>
    <col min="4356" max="4356" width="3.26953125" style="19" customWidth="1"/>
    <col min="4357" max="4357" width="9.54296875" style="19" bestFit="1" customWidth="1"/>
    <col min="4358" max="4365" width="9.26953125" style="19" bestFit="1" customWidth="1"/>
    <col min="4366" max="4366" width="3.26953125" style="19" customWidth="1"/>
    <col min="4367" max="4368" width="9.26953125" style="19" bestFit="1" customWidth="1"/>
    <col min="4369" max="4369" width="9.453125" style="19" bestFit="1" customWidth="1"/>
    <col min="4370" max="4370" width="10.1796875" style="19" bestFit="1" customWidth="1"/>
    <col min="4371" max="4371" width="9.54296875" style="19" bestFit="1" customWidth="1"/>
    <col min="4372" max="4372" width="9.453125" style="19" bestFit="1" customWidth="1"/>
    <col min="4373" max="4375" width="9.26953125" style="19" bestFit="1" customWidth="1"/>
    <col min="4376" max="4376" width="3.26953125" style="19" customWidth="1"/>
    <col min="4377" max="4377" width="10.1796875" style="19" bestFit="1" customWidth="1"/>
    <col min="4378" max="4385" width="9.453125" style="19" bestFit="1" customWidth="1"/>
    <col min="4386" max="4386" width="9.26953125" style="19" customWidth="1"/>
    <col min="4387" max="4387" width="3.26953125" style="19" customWidth="1"/>
    <col min="4388" max="4388" width="10.1796875" style="19" bestFit="1" customWidth="1"/>
    <col min="4389" max="4392" width="9.453125" style="19" bestFit="1" customWidth="1"/>
    <col min="4393" max="4395" width="9.26953125" style="19" bestFit="1" customWidth="1"/>
    <col min="4396" max="4396" width="3.26953125" style="19" customWidth="1"/>
    <col min="4397" max="4403" width="9" style="19" customWidth="1"/>
    <col min="4404" max="4404" width="3.1796875" style="19" customWidth="1"/>
    <col min="4405" max="4407" width="9.26953125" style="19" bestFit="1" customWidth="1"/>
    <col min="4408" max="4408" width="3.26953125" style="19" customWidth="1"/>
    <col min="4409" max="4411" width="9.26953125" style="19" bestFit="1" customWidth="1"/>
    <col min="4412" max="4412" width="6.54296875" style="19" customWidth="1"/>
    <col min="4413" max="4413" width="3.26953125" style="19" customWidth="1"/>
    <col min="4414" max="4417" width="9.26953125" style="19" bestFit="1" customWidth="1"/>
    <col min="4418" max="4418" width="3.26953125" style="19" customWidth="1"/>
    <col min="4419" max="4421" width="9.26953125" style="19" bestFit="1" customWidth="1"/>
    <col min="4422" max="4422" width="10" style="19" bestFit="1" customWidth="1"/>
    <col min="4423" max="4423" width="3.26953125" style="19" customWidth="1"/>
    <col min="4424" max="4424" width="9.26953125" style="19" bestFit="1" customWidth="1"/>
    <col min="4425" max="4426" width="10" style="19" customWidth="1"/>
    <col min="4427" max="4427" width="3.26953125" style="19" customWidth="1"/>
    <col min="4428" max="4436" width="9.26953125" style="19" bestFit="1" customWidth="1"/>
    <col min="4437" max="4437" width="3.26953125" style="19" customWidth="1"/>
    <col min="4438" max="4441" width="9.26953125" style="19" bestFit="1" customWidth="1"/>
    <col min="4442" max="4442" width="10" style="19" bestFit="1" customWidth="1"/>
    <col min="4443" max="4443" width="9.26953125" style="19" bestFit="1" customWidth="1"/>
    <col min="4444" max="4444" width="10" style="19" bestFit="1" customWidth="1"/>
    <col min="4445" max="4445" width="9.26953125" style="19" bestFit="1" customWidth="1"/>
    <col min="4446" max="4446" width="3.26953125" style="19" customWidth="1"/>
    <col min="4447" max="4447" width="9.54296875" style="19" bestFit="1" customWidth="1"/>
    <col min="4448" max="4454" width="9.26953125" style="19" bestFit="1" customWidth="1"/>
    <col min="4455" max="4609" width="8.7265625" style="19"/>
    <col min="4610" max="4610" width="9.54296875" style="19" customWidth="1"/>
    <col min="4611" max="4611" width="6.26953125" style="19" customWidth="1"/>
    <col min="4612" max="4612" width="3.26953125" style="19" customWidth="1"/>
    <col min="4613" max="4613" width="9.54296875" style="19" bestFit="1" customWidth="1"/>
    <col min="4614" max="4621" width="9.26953125" style="19" bestFit="1" customWidth="1"/>
    <col min="4622" max="4622" width="3.26953125" style="19" customWidth="1"/>
    <col min="4623" max="4624" width="9.26953125" style="19" bestFit="1" customWidth="1"/>
    <col min="4625" max="4625" width="9.453125" style="19" bestFit="1" customWidth="1"/>
    <col min="4626" max="4626" width="10.1796875" style="19" bestFit="1" customWidth="1"/>
    <col min="4627" max="4627" width="9.54296875" style="19" bestFit="1" customWidth="1"/>
    <col min="4628" max="4628" width="9.453125" style="19" bestFit="1" customWidth="1"/>
    <col min="4629" max="4631" width="9.26953125" style="19" bestFit="1" customWidth="1"/>
    <col min="4632" max="4632" width="3.26953125" style="19" customWidth="1"/>
    <col min="4633" max="4633" width="10.1796875" style="19" bestFit="1" customWidth="1"/>
    <col min="4634" max="4641" width="9.453125" style="19" bestFit="1" customWidth="1"/>
    <col min="4642" max="4642" width="9.26953125" style="19" customWidth="1"/>
    <col min="4643" max="4643" width="3.26953125" style="19" customWidth="1"/>
    <col min="4644" max="4644" width="10.1796875" style="19" bestFit="1" customWidth="1"/>
    <col min="4645" max="4648" width="9.453125" style="19" bestFit="1" customWidth="1"/>
    <col min="4649" max="4651" width="9.26953125" style="19" bestFit="1" customWidth="1"/>
    <col min="4652" max="4652" width="3.26953125" style="19" customWidth="1"/>
    <col min="4653" max="4659" width="9" style="19" customWidth="1"/>
    <col min="4660" max="4660" width="3.1796875" style="19" customWidth="1"/>
    <col min="4661" max="4663" width="9.26953125" style="19" bestFit="1" customWidth="1"/>
    <col min="4664" max="4664" width="3.26953125" style="19" customWidth="1"/>
    <col min="4665" max="4667" width="9.26953125" style="19" bestFit="1" customWidth="1"/>
    <col min="4668" max="4668" width="6.54296875" style="19" customWidth="1"/>
    <col min="4669" max="4669" width="3.26953125" style="19" customWidth="1"/>
    <col min="4670" max="4673" width="9.26953125" style="19" bestFit="1" customWidth="1"/>
    <col min="4674" max="4674" width="3.26953125" style="19" customWidth="1"/>
    <col min="4675" max="4677" width="9.26953125" style="19" bestFit="1" customWidth="1"/>
    <col min="4678" max="4678" width="10" style="19" bestFit="1" customWidth="1"/>
    <col min="4679" max="4679" width="3.26953125" style="19" customWidth="1"/>
    <col min="4680" max="4680" width="9.26953125" style="19" bestFit="1" customWidth="1"/>
    <col min="4681" max="4682" width="10" style="19" customWidth="1"/>
    <col min="4683" max="4683" width="3.26953125" style="19" customWidth="1"/>
    <col min="4684" max="4692" width="9.26953125" style="19" bestFit="1" customWidth="1"/>
    <col min="4693" max="4693" width="3.26953125" style="19" customWidth="1"/>
    <col min="4694" max="4697" width="9.26953125" style="19" bestFit="1" customWidth="1"/>
    <col min="4698" max="4698" width="10" style="19" bestFit="1" customWidth="1"/>
    <col min="4699" max="4699" width="9.26953125" style="19" bestFit="1" customWidth="1"/>
    <col min="4700" max="4700" width="10" style="19" bestFit="1" customWidth="1"/>
    <col min="4701" max="4701" width="9.26953125" style="19" bestFit="1" customWidth="1"/>
    <col min="4702" max="4702" width="3.26953125" style="19" customWidth="1"/>
    <col min="4703" max="4703" width="9.54296875" style="19" bestFit="1" customWidth="1"/>
    <col min="4704" max="4710" width="9.26953125" style="19" bestFit="1" customWidth="1"/>
    <col min="4711" max="4865" width="8.7265625" style="19"/>
    <col min="4866" max="4866" width="9.54296875" style="19" customWidth="1"/>
    <col min="4867" max="4867" width="6.26953125" style="19" customWidth="1"/>
    <col min="4868" max="4868" width="3.26953125" style="19" customWidth="1"/>
    <col min="4869" max="4869" width="9.54296875" style="19" bestFit="1" customWidth="1"/>
    <col min="4870" max="4877" width="9.26953125" style="19" bestFit="1" customWidth="1"/>
    <col min="4878" max="4878" width="3.26953125" style="19" customWidth="1"/>
    <col min="4879" max="4880" width="9.26953125" style="19" bestFit="1" customWidth="1"/>
    <col min="4881" max="4881" width="9.453125" style="19" bestFit="1" customWidth="1"/>
    <col min="4882" max="4882" width="10.1796875" style="19" bestFit="1" customWidth="1"/>
    <col min="4883" max="4883" width="9.54296875" style="19" bestFit="1" customWidth="1"/>
    <col min="4884" max="4884" width="9.453125" style="19" bestFit="1" customWidth="1"/>
    <col min="4885" max="4887" width="9.26953125" style="19" bestFit="1" customWidth="1"/>
    <col min="4888" max="4888" width="3.26953125" style="19" customWidth="1"/>
    <col min="4889" max="4889" width="10.1796875" style="19" bestFit="1" customWidth="1"/>
    <col min="4890" max="4897" width="9.453125" style="19" bestFit="1" customWidth="1"/>
    <col min="4898" max="4898" width="9.26953125" style="19" customWidth="1"/>
    <col min="4899" max="4899" width="3.26953125" style="19" customWidth="1"/>
    <col min="4900" max="4900" width="10.1796875" style="19" bestFit="1" customWidth="1"/>
    <col min="4901" max="4904" width="9.453125" style="19" bestFit="1" customWidth="1"/>
    <col min="4905" max="4907" width="9.26953125" style="19" bestFit="1" customWidth="1"/>
    <col min="4908" max="4908" width="3.26953125" style="19" customWidth="1"/>
    <col min="4909" max="4915" width="9" style="19" customWidth="1"/>
    <col min="4916" max="4916" width="3.1796875" style="19" customWidth="1"/>
    <col min="4917" max="4919" width="9.26953125" style="19" bestFit="1" customWidth="1"/>
    <col min="4920" max="4920" width="3.26953125" style="19" customWidth="1"/>
    <col min="4921" max="4923" width="9.26953125" style="19" bestFit="1" customWidth="1"/>
    <col min="4924" max="4924" width="6.54296875" style="19" customWidth="1"/>
    <col min="4925" max="4925" width="3.26953125" style="19" customWidth="1"/>
    <col min="4926" max="4929" width="9.26953125" style="19" bestFit="1" customWidth="1"/>
    <col min="4930" max="4930" width="3.26953125" style="19" customWidth="1"/>
    <col min="4931" max="4933" width="9.26953125" style="19" bestFit="1" customWidth="1"/>
    <col min="4934" max="4934" width="10" style="19" bestFit="1" customWidth="1"/>
    <col min="4935" max="4935" width="3.26953125" style="19" customWidth="1"/>
    <col min="4936" max="4936" width="9.26953125" style="19" bestFit="1" customWidth="1"/>
    <col min="4937" max="4938" width="10" style="19" customWidth="1"/>
    <col min="4939" max="4939" width="3.26953125" style="19" customWidth="1"/>
    <col min="4940" max="4948" width="9.26953125" style="19" bestFit="1" customWidth="1"/>
    <col min="4949" max="4949" width="3.26953125" style="19" customWidth="1"/>
    <col min="4950" max="4953" width="9.26953125" style="19" bestFit="1" customWidth="1"/>
    <col min="4954" max="4954" width="10" style="19" bestFit="1" customWidth="1"/>
    <col min="4955" max="4955" width="9.26953125" style="19" bestFit="1" customWidth="1"/>
    <col min="4956" max="4956" width="10" style="19" bestFit="1" customWidth="1"/>
    <col min="4957" max="4957" width="9.26953125" style="19" bestFit="1" customWidth="1"/>
    <col min="4958" max="4958" width="3.26953125" style="19" customWidth="1"/>
    <col min="4959" max="4959" width="9.54296875" style="19" bestFit="1" customWidth="1"/>
    <col min="4960" max="4966" width="9.26953125" style="19" bestFit="1" customWidth="1"/>
    <col min="4967" max="5121" width="8.7265625" style="19"/>
    <col min="5122" max="5122" width="9.54296875" style="19" customWidth="1"/>
    <col min="5123" max="5123" width="6.26953125" style="19" customWidth="1"/>
    <col min="5124" max="5124" width="3.26953125" style="19" customWidth="1"/>
    <col min="5125" max="5125" width="9.54296875" style="19" bestFit="1" customWidth="1"/>
    <col min="5126" max="5133" width="9.26953125" style="19" bestFit="1" customWidth="1"/>
    <col min="5134" max="5134" width="3.26953125" style="19" customWidth="1"/>
    <col min="5135" max="5136" width="9.26953125" style="19" bestFit="1" customWidth="1"/>
    <col min="5137" max="5137" width="9.453125" style="19" bestFit="1" customWidth="1"/>
    <col min="5138" max="5138" width="10.1796875" style="19" bestFit="1" customWidth="1"/>
    <col min="5139" max="5139" width="9.54296875" style="19" bestFit="1" customWidth="1"/>
    <col min="5140" max="5140" width="9.453125" style="19" bestFit="1" customWidth="1"/>
    <col min="5141" max="5143" width="9.26953125" style="19" bestFit="1" customWidth="1"/>
    <col min="5144" max="5144" width="3.26953125" style="19" customWidth="1"/>
    <col min="5145" max="5145" width="10.1796875" style="19" bestFit="1" customWidth="1"/>
    <col min="5146" max="5153" width="9.453125" style="19" bestFit="1" customWidth="1"/>
    <col min="5154" max="5154" width="9.26953125" style="19" customWidth="1"/>
    <col min="5155" max="5155" width="3.26953125" style="19" customWidth="1"/>
    <col min="5156" max="5156" width="10.1796875" style="19" bestFit="1" customWidth="1"/>
    <col min="5157" max="5160" width="9.453125" style="19" bestFit="1" customWidth="1"/>
    <col min="5161" max="5163" width="9.26953125" style="19" bestFit="1" customWidth="1"/>
    <col min="5164" max="5164" width="3.26953125" style="19" customWidth="1"/>
    <col min="5165" max="5171" width="9" style="19" customWidth="1"/>
    <col min="5172" max="5172" width="3.1796875" style="19" customWidth="1"/>
    <col min="5173" max="5175" width="9.26953125" style="19" bestFit="1" customWidth="1"/>
    <col min="5176" max="5176" width="3.26953125" style="19" customWidth="1"/>
    <col min="5177" max="5179" width="9.26953125" style="19" bestFit="1" customWidth="1"/>
    <col min="5180" max="5180" width="6.54296875" style="19" customWidth="1"/>
    <col min="5181" max="5181" width="3.26953125" style="19" customWidth="1"/>
    <col min="5182" max="5185" width="9.26953125" style="19" bestFit="1" customWidth="1"/>
    <col min="5186" max="5186" width="3.26953125" style="19" customWidth="1"/>
    <col min="5187" max="5189" width="9.26953125" style="19" bestFit="1" customWidth="1"/>
    <col min="5190" max="5190" width="10" style="19" bestFit="1" customWidth="1"/>
    <col min="5191" max="5191" width="3.26953125" style="19" customWidth="1"/>
    <col min="5192" max="5192" width="9.26953125" style="19" bestFit="1" customWidth="1"/>
    <col min="5193" max="5194" width="10" style="19" customWidth="1"/>
    <col min="5195" max="5195" width="3.26953125" style="19" customWidth="1"/>
    <col min="5196" max="5204" width="9.26953125" style="19" bestFit="1" customWidth="1"/>
    <col min="5205" max="5205" width="3.26953125" style="19" customWidth="1"/>
    <col min="5206" max="5209" width="9.26953125" style="19" bestFit="1" customWidth="1"/>
    <col min="5210" max="5210" width="10" style="19" bestFit="1" customWidth="1"/>
    <col min="5211" max="5211" width="9.26953125" style="19" bestFit="1" customWidth="1"/>
    <col min="5212" max="5212" width="10" style="19" bestFit="1" customWidth="1"/>
    <col min="5213" max="5213" width="9.26953125" style="19" bestFit="1" customWidth="1"/>
    <col min="5214" max="5214" width="3.26953125" style="19" customWidth="1"/>
    <col min="5215" max="5215" width="9.54296875" style="19" bestFit="1" customWidth="1"/>
    <col min="5216" max="5222" width="9.26953125" style="19" bestFit="1" customWidth="1"/>
    <col min="5223" max="5377" width="8.7265625" style="19"/>
    <col min="5378" max="5378" width="9.54296875" style="19" customWidth="1"/>
    <col min="5379" max="5379" width="6.26953125" style="19" customWidth="1"/>
    <col min="5380" max="5380" width="3.26953125" style="19" customWidth="1"/>
    <col min="5381" max="5381" width="9.54296875" style="19" bestFit="1" customWidth="1"/>
    <col min="5382" max="5389" width="9.26953125" style="19" bestFit="1" customWidth="1"/>
    <col min="5390" max="5390" width="3.26953125" style="19" customWidth="1"/>
    <col min="5391" max="5392" width="9.26953125" style="19" bestFit="1" customWidth="1"/>
    <col min="5393" max="5393" width="9.453125" style="19" bestFit="1" customWidth="1"/>
    <col min="5394" max="5394" width="10.1796875" style="19" bestFit="1" customWidth="1"/>
    <col min="5395" max="5395" width="9.54296875" style="19" bestFit="1" customWidth="1"/>
    <col min="5396" max="5396" width="9.453125" style="19" bestFit="1" customWidth="1"/>
    <col min="5397" max="5399" width="9.26953125" style="19" bestFit="1" customWidth="1"/>
    <col min="5400" max="5400" width="3.26953125" style="19" customWidth="1"/>
    <col min="5401" max="5401" width="10.1796875" style="19" bestFit="1" customWidth="1"/>
    <col min="5402" max="5409" width="9.453125" style="19" bestFit="1" customWidth="1"/>
    <col min="5410" max="5410" width="9.26953125" style="19" customWidth="1"/>
    <col min="5411" max="5411" width="3.26953125" style="19" customWidth="1"/>
    <col min="5412" max="5412" width="10.1796875" style="19" bestFit="1" customWidth="1"/>
    <col min="5413" max="5416" width="9.453125" style="19" bestFit="1" customWidth="1"/>
    <col min="5417" max="5419" width="9.26953125" style="19" bestFit="1" customWidth="1"/>
    <col min="5420" max="5420" width="3.26953125" style="19" customWidth="1"/>
    <col min="5421" max="5427" width="9" style="19" customWidth="1"/>
    <col min="5428" max="5428" width="3.1796875" style="19" customWidth="1"/>
    <col min="5429" max="5431" width="9.26953125" style="19" bestFit="1" customWidth="1"/>
    <col min="5432" max="5432" width="3.26953125" style="19" customWidth="1"/>
    <col min="5433" max="5435" width="9.26953125" style="19" bestFit="1" customWidth="1"/>
    <col min="5436" max="5436" width="6.54296875" style="19" customWidth="1"/>
    <col min="5437" max="5437" width="3.26953125" style="19" customWidth="1"/>
    <col min="5438" max="5441" width="9.26953125" style="19" bestFit="1" customWidth="1"/>
    <col min="5442" max="5442" width="3.26953125" style="19" customWidth="1"/>
    <col min="5443" max="5445" width="9.26953125" style="19" bestFit="1" customWidth="1"/>
    <col min="5446" max="5446" width="10" style="19" bestFit="1" customWidth="1"/>
    <col min="5447" max="5447" width="3.26953125" style="19" customWidth="1"/>
    <col min="5448" max="5448" width="9.26953125" style="19" bestFit="1" customWidth="1"/>
    <col min="5449" max="5450" width="10" style="19" customWidth="1"/>
    <col min="5451" max="5451" width="3.26953125" style="19" customWidth="1"/>
    <col min="5452" max="5460" width="9.26953125" style="19" bestFit="1" customWidth="1"/>
    <col min="5461" max="5461" width="3.26953125" style="19" customWidth="1"/>
    <col min="5462" max="5465" width="9.26953125" style="19" bestFit="1" customWidth="1"/>
    <col min="5466" max="5466" width="10" style="19" bestFit="1" customWidth="1"/>
    <col min="5467" max="5467" width="9.26953125" style="19" bestFit="1" customWidth="1"/>
    <col min="5468" max="5468" width="10" style="19" bestFit="1" customWidth="1"/>
    <col min="5469" max="5469" width="9.26953125" style="19" bestFit="1" customWidth="1"/>
    <col min="5470" max="5470" width="3.26953125" style="19" customWidth="1"/>
    <col min="5471" max="5471" width="9.54296875" style="19" bestFit="1" customWidth="1"/>
    <col min="5472" max="5478" width="9.26953125" style="19" bestFit="1" customWidth="1"/>
    <col min="5479" max="5633" width="8.7265625" style="19"/>
    <col min="5634" max="5634" width="9.54296875" style="19" customWidth="1"/>
    <col min="5635" max="5635" width="6.26953125" style="19" customWidth="1"/>
    <col min="5636" max="5636" width="3.26953125" style="19" customWidth="1"/>
    <col min="5637" max="5637" width="9.54296875" style="19" bestFit="1" customWidth="1"/>
    <col min="5638" max="5645" width="9.26953125" style="19" bestFit="1" customWidth="1"/>
    <col min="5646" max="5646" width="3.26953125" style="19" customWidth="1"/>
    <col min="5647" max="5648" width="9.26953125" style="19" bestFit="1" customWidth="1"/>
    <col min="5649" max="5649" width="9.453125" style="19" bestFit="1" customWidth="1"/>
    <col min="5650" max="5650" width="10.1796875" style="19" bestFit="1" customWidth="1"/>
    <col min="5651" max="5651" width="9.54296875" style="19" bestFit="1" customWidth="1"/>
    <col min="5652" max="5652" width="9.453125" style="19" bestFit="1" customWidth="1"/>
    <col min="5653" max="5655" width="9.26953125" style="19" bestFit="1" customWidth="1"/>
    <col min="5656" max="5656" width="3.26953125" style="19" customWidth="1"/>
    <col min="5657" max="5657" width="10.1796875" style="19" bestFit="1" customWidth="1"/>
    <col min="5658" max="5665" width="9.453125" style="19" bestFit="1" customWidth="1"/>
    <col min="5666" max="5666" width="9.26953125" style="19" customWidth="1"/>
    <col min="5667" max="5667" width="3.26953125" style="19" customWidth="1"/>
    <col min="5668" max="5668" width="10.1796875" style="19" bestFit="1" customWidth="1"/>
    <col min="5669" max="5672" width="9.453125" style="19" bestFit="1" customWidth="1"/>
    <col min="5673" max="5675" width="9.26953125" style="19" bestFit="1" customWidth="1"/>
    <col min="5676" max="5676" width="3.26953125" style="19" customWidth="1"/>
    <col min="5677" max="5683" width="9" style="19" customWidth="1"/>
    <col min="5684" max="5684" width="3.1796875" style="19" customWidth="1"/>
    <col min="5685" max="5687" width="9.26953125" style="19" bestFit="1" customWidth="1"/>
    <col min="5688" max="5688" width="3.26953125" style="19" customWidth="1"/>
    <col min="5689" max="5691" width="9.26953125" style="19" bestFit="1" customWidth="1"/>
    <col min="5692" max="5692" width="6.54296875" style="19" customWidth="1"/>
    <col min="5693" max="5693" width="3.26953125" style="19" customWidth="1"/>
    <col min="5694" max="5697" width="9.26953125" style="19" bestFit="1" customWidth="1"/>
    <col min="5698" max="5698" width="3.26953125" style="19" customWidth="1"/>
    <col min="5699" max="5701" width="9.26953125" style="19" bestFit="1" customWidth="1"/>
    <col min="5702" max="5702" width="10" style="19" bestFit="1" customWidth="1"/>
    <col min="5703" max="5703" width="3.26953125" style="19" customWidth="1"/>
    <col min="5704" max="5704" width="9.26953125" style="19" bestFit="1" customWidth="1"/>
    <col min="5705" max="5706" width="10" style="19" customWidth="1"/>
    <col min="5707" max="5707" width="3.26953125" style="19" customWidth="1"/>
    <col min="5708" max="5716" width="9.26953125" style="19" bestFit="1" customWidth="1"/>
    <col min="5717" max="5717" width="3.26953125" style="19" customWidth="1"/>
    <col min="5718" max="5721" width="9.26953125" style="19" bestFit="1" customWidth="1"/>
    <col min="5722" max="5722" width="10" style="19" bestFit="1" customWidth="1"/>
    <col min="5723" max="5723" width="9.26953125" style="19" bestFit="1" customWidth="1"/>
    <col min="5724" max="5724" width="10" style="19" bestFit="1" customWidth="1"/>
    <col min="5725" max="5725" width="9.26953125" style="19" bestFit="1" customWidth="1"/>
    <col min="5726" max="5726" width="3.26953125" style="19" customWidth="1"/>
    <col min="5727" max="5727" width="9.54296875" style="19" bestFit="1" customWidth="1"/>
    <col min="5728" max="5734" width="9.26953125" style="19" bestFit="1" customWidth="1"/>
    <col min="5735" max="5889" width="8.7265625" style="19"/>
    <col min="5890" max="5890" width="9.54296875" style="19" customWidth="1"/>
    <col min="5891" max="5891" width="6.26953125" style="19" customWidth="1"/>
    <col min="5892" max="5892" width="3.26953125" style="19" customWidth="1"/>
    <col min="5893" max="5893" width="9.54296875" style="19" bestFit="1" customWidth="1"/>
    <col min="5894" max="5901" width="9.26953125" style="19" bestFit="1" customWidth="1"/>
    <col min="5902" max="5902" width="3.26953125" style="19" customWidth="1"/>
    <col min="5903" max="5904" width="9.26953125" style="19" bestFit="1" customWidth="1"/>
    <col min="5905" max="5905" width="9.453125" style="19" bestFit="1" customWidth="1"/>
    <col min="5906" max="5906" width="10.1796875" style="19" bestFit="1" customWidth="1"/>
    <col min="5907" max="5907" width="9.54296875" style="19" bestFit="1" customWidth="1"/>
    <col min="5908" max="5908" width="9.453125" style="19" bestFit="1" customWidth="1"/>
    <col min="5909" max="5911" width="9.26953125" style="19" bestFit="1" customWidth="1"/>
    <col min="5912" max="5912" width="3.26953125" style="19" customWidth="1"/>
    <col min="5913" max="5913" width="10.1796875" style="19" bestFit="1" customWidth="1"/>
    <col min="5914" max="5921" width="9.453125" style="19" bestFit="1" customWidth="1"/>
    <col min="5922" max="5922" width="9.26953125" style="19" customWidth="1"/>
    <col min="5923" max="5923" width="3.26953125" style="19" customWidth="1"/>
    <col min="5924" max="5924" width="10.1796875" style="19" bestFit="1" customWidth="1"/>
    <col min="5925" max="5928" width="9.453125" style="19" bestFit="1" customWidth="1"/>
    <col min="5929" max="5931" width="9.26953125" style="19" bestFit="1" customWidth="1"/>
    <col min="5932" max="5932" width="3.26953125" style="19" customWidth="1"/>
    <col min="5933" max="5939" width="9" style="19" customWidth="1"/>
    <col min="5940" max="5940" width="3.1796875" style="19" customWidth="1"/>
    <col min="5941" max="5943" width="9.26953125" style="19" bestFit="1" customWidth="1"/>
    <col min="5944" max="5944" width="3.26953125" style="19" customWidth="1"/>
    <col min="5945" max="5947" width="9.26953125" style="19" bestFit="1" customWidth="1"/>
    <col min="5948" max="5948" width="6.54296875" style="19" customWidth="1"/>
    <col min="5949" max="5949" width="3.26953125" style="19" customWidth="1"/>
    <col min="5950" max="5953" width="9.26953125" style="19" bestFit="1" customWidth="1"/>
    <col min="5954" max="5954" width="3.26953125" style="19" customWidth="1"/>
    <col min="5955" max="5957" width="9.26953125" style="19" bestFit="1" customWidth="1"/>
    <col min="5958" max="5958" width="10" style="19" bestFit="1" customWidth="1"/>
    <col min="5959" max="5959" width="3.26953125" style="19" customWidth="1"/>
    <col min="5960" max="5960" width="9.26953125" style="19" bestFit="1" customWidth="1"/>
    <col min="5961" max="5962" width="10" style="19" customWidth="1"/>
    <col min="5963" max="5963" width="3.26953125" style="19" customWidth="1"/>
    <col min="5964" max="5972" width="9.26953125" style="19" bestFit="1" customWidth="1"/>
    <col min="5973" max="5973" width="3.26953125" style="19" customWidth="1"/>
    <col min="5974" max="5977" width="9.26953125" style="19" bestFit="1" customWidth="1"/>
    <col min="5978" max="5978" width="10" style="19" bestFit="1" customWidth="1"/>
    <col min="5979" max="5979" width="9.26953125" style="19" bestFit="1" customWidth="1"/>
    <col min="5980" max="5980" width="10" style="19" bestFit="1" customWidth="1"/>
    <col min="5981" max="5981" width="9.26953125" style="19" bestFit="1" customWidth="1"/>
    <col min="5982" max="5982" width="3.26953125" style="19" customWidth="1"/>
    <col min="5983" max="5983" width="9.54296875" style="19" bestFit="1" customWidth="1"/>
    <col min="5984" max="5990" width="9.26953125" style="19" bestFit="1" customWidth="1"/>
    <col min="5991" max="6145" width="8.7265625" style="19"/>
    <col min="6146" max="6146" width="9.54296875" style="19" customWidth="1"/>
    <col min="6147" max="6147" width="6.26953125" style="19" customWidth="1"/>
    <col min="6148" max="6148" width="3.26953125" style="19" customWidth="1"/>
    <col min="6149" max="6149" width="9.54296875" style="19" bestFit="1" customWidth="1"/>
    <col min="6150" max="6157" width="9.26953125" style="19" bestFit="1" customWidth="1"/>
    <col min="6158" max="6158" width="3.26953125" style="19" customWidth="1"/>
    <col min="6159" max="6160" width="9.26953125" style="19" bestFit="1" customWidth="1"/>
    <col min="6161" max="6161" width="9.453125" style="19" bestFit="1" customWidth="1"/>
    <col min="6162" max="6162" width="10.1796875" style="19" bestFit="1" customWidth="1"/>
    <col min="6163" max="6163" width="9.54296875" style="19" bestFit="1" customWidth="1"/>
    <col min="6164" max="6164" width="9.453125" style="19" bestFit="1" customWidth="1"/>
    <col min="6165" max="6167" width="9.26953125" style="19" bestFit="1" customWidth="1"/>
    <col min="6168" max="6168" width="3.26953125" style="19" customWidth="1"/>
    <col min="6169" max="6169" width="10.1796875" style="19" bestFit="1" customWidth="1"/>
    <col min="6170" max="6177" width="9.453125" style="19" bestFit="1" customWidth="1"/>
    <col min="6178" max="6178" width="9.26953125" style="19" customWidth="1"/>
    <col min="6179" max="6179" width="3.26953125" style="19" customWidth="1"/>
    <col min="6180" max="6180" width="10.1796875" style="19" bestFit="1" customWidth="1"/>
    <col min="6181" max="6184" width="9.453125" style="19" bestFit="1" customWidth="1"/>
    <col min="6185" max="6187" width="9.26953125" style="19" bestFit="1" customWidth="1"/>
    <col min="6188" max="6188" width="3.26953125" style="19" customWidth="1"/>
    <col min="6189" max="6195" width="9" style="19" customWidth="1"/>
    <col min="6196" max="6196" width="3.1796875" style="19" customWidth="1"/>
    <col min="6197" max="6199" width="9.26953125" style="19" bestFit="1" customWidth="1"/>
    <col min="6200" max="6200" width="3.26953125" style="19" customWidth="1"/>
    <col min="6201" max="6203" width="9.26953125" style="19" bestFit="1" customWidth="1"/>
    <col min="6204" max="6204" width="6.54296875" style="19" customWidth="1"/>
    <col min="6205" max="6205" width="3.26953125" style="19" customWidth="1"/>
    <col min="6206" max="6209" width="9.26953125" style="19" bestFit="1" customWidth="1"/>
    <col min="6210" max="6210" width="3.26953125" style="19" customWidth="1"/>
    <col min="6211" max="6213" width="9.26953125" style="19" bestFit="1" customWidth="1"/>
    <col min="6214" max="6214" width="10" style="19" bestFit="1" customWidth="1"/>
    <col min="6215" max="6215" width="3.26953125" style="19" customWidth="1"/>
    <col min="6216" max="6216" width="9.26953125" style="19" bestFit="1" customWidth="1"/>
    <col min="6217" max="6218" width="10" style="19" customWidth="1"/>
    <col min="6219" max="6219" width="3.26953125" style="19" customWidth="1"/>
    <col min="6220" max="6228" width="9.26953125" style="19" bestFit="1" customWidth="1"/>
    <col min="6229" max="6229" width="3.26953125" style="19" customWidth="1"/>
    <col min="6230" max="6233" width="9.26953125" style="19" bestFit="1" customWidth="1"/>
    <col min="6234" max="6234" width="10" style="19" bestFit="1" customWidth="1"/>
    <col min="6235" max="6235" width="9.26953125" style="19" bestFit="1" customWidth="1"/>
    <col min="6236" max="6236" width="10" style="19" bestFit="1" customWidth="1"/>
    <col min="6237" max="6237" width="9.26953125" style="19" bestFit="1" customWidth="1"/>
    <col min="6238" max="6238" width="3.26953125" style="19" customWidth="1"/>
    <col min="6239" max="6239" width="9.54296875" style="19" bestFit="1" customWidth="1"/>
    <col min="6240" max="6246" width="9.26953125" style="19" bestFit="1" customWidth="1"/>
    <col min="6247" max="6401" width="8.7265625" style="19"/>
    <col min="6402" max="6402" width="9.54296875" style="19" customWidth="1"/>
    <col min="6403" max="6403" width="6.26953125" style="19" customWidth="1"/>
    <col min="6404" max="6404" width="3.26953125" style="19" customWidth="1"/>
    <col min="6405" max="6405" width="9.54296875" style="19" bestFit="1" customWidth="1"/>
    <col min="6406" max="6413" width="9.26953125" style="19" bestFit="1" customWidth="1"/>
    <col min="6414" max="6414" width="3.26953125" style="19" customWidth="1"/>
    <col min="6415" max="6416" width="9.26953125" style="19" bestFit="1" customWidth="1"/>
    <col min="6417" max="6417" width="9.453125" style="19" bestFit="1" customWidth="1"/>
    <col min="6418" max="6418" width="10.1796875" style="19" bestFit="1" customWidth="1"/>
    <col min="6419" max="6419" width="9.54296875" style="19" bestFit="1" customWidth="1"/>
    <col min="6420" max="6420" width="9.453125" style="19" bestFit="1" customWidth="1"/>
    <col min="6421" max="6423" width="9.26953125" style="19" bestFit="1" customWidth="1"/>
    <col min="6424" max="6424" width="3.26953125" style="19" customWidth="1"/>
    <col min="6425" max="6425" width="10.1796875" style="19" bestFit="1" customWidth="1"/>
    <col min="6426" max="6433" width="9.453125" style="19" bestFit="1" customWidth="1"/>
    <col min="6434" max="6434" width="9.26953125" style="19" customWidth="1"/>
    <col min="6435" max="6435" width="3.26953125" style="19" customWidth="1"/>
    <col min="6436" max="6436" width="10.1796875" style="19" bestFit="1" customWidth="1"/>
    <col min="6437" max="6440" width="9.453125" style="19" bestFit="1" customWidth="1"/>
    <col min="6441" max="6443" width="9.26953125" style="19" bestFit="1" customWidth="1"/>
    <col min="6444" max="6444" width="3.26953125" style="19" customWidth="1"/>
    <col min="6445" max="6451" width="9" style="19" customWidth="1"/>
    <col min="6452" max="6452" width="3.1796875" style="19" customWidth="1"/>
    <col min="6453" max="6455" width="9.26953125" style="19" bestFit="1" customWidth="1"/>
    <col min="6456" max="6456" width="3.26953125" style="19" customWidth="1"/>
    <col min="6457" max="6459" width="9.26953125" style="19" bestFit="1" customWidth="1"/>
    <col min="6460" max="6460" width="6.54296875" style="19" customWidth="1"/>
    <col min="6461" max="6461" width="3.26953125" style="19" customWidth="1"/>
    <col min="6462" max="6465" width="9.26953125" style="19" bestFit="1" customWidth="1"/>
    <col min="6466" max="6466" width="3.26953125" style="19" customWidth="1"/>
    <col min="6467" max="6469" width="9.26953125" style="19" bestFit="1" customWidth="1"/>
    <col min="6470" max="6470" width="10" style="19" bestFit="1" customWidth="1"/>
    <col min="6471" max="6471" width="3.26953125" style="19" customWidth="1"/>
    <col min="6472" max="6472" width="9.26953125" style="19" bestFit="1" customWidth="1"/>
    <col min="6473" max="6474" width="10" style="19" customWidth="1"/>
    <col min="6475" max="6475" width="3.26953125" style="19" customWidth="1"/>
    <col min="6476" max="6484" width="9.26953125" style="19" bestFit="1" customWidth="1"/>
    <col min="6485" max="6485" width="3.26953125" style="19" customWidth="1"/>
    <col min="6486" max="6489" width="9.26953125" style="19" bestFit="1" customWidth="1"/>
    <col min="6490" max="6490" width="10" style="19" bestFit="1" customWidth="1"/>
    <col min="6491" max="6491" width="9.26953125" style="19" bestFit="1" customWidth="1"/>
    <col min="6492" max="6492" width="10" style="19" bestFit="1" customWidth="1"/>
    <col min="6493" max="6493" width="9.26953125" style="19" bestFit="1" customWidth="1"/>
    <col min="6494" max="6494" width="3.26953125" style="19" customWidth="1"/>
    <col min="6495" max="6495" width="9.54296875" style="19" bestFit="1" customWidth="1"/>
    <col min="6496" max="6502" width="9.26953125" style="19" bestFit="1" customWidth="1"/>
    <col min="6503" max="6657" width="8.7265625" style="19"/>
    <col min="6658" max="6658" width="9.54296875" style="19" customWidth="1"/>
    <col min="6659" max="6659" width="6.26953125" style="19" customWidth="1"/>
    <col min="6660" max="6660" width="3.26953125" style="19" customWidth="1"/>
    <col min="6661" max="6661" width="9.54296875" style="19" bestFit="1" customWidth="1"/>
    <col min="6662" max="6669" width="9.26953125" style="19" bestFit="1" customWidth="1"/>
    <col min="6670" max="6670" width="3.26953125" style="19" customWidth="1"/>
    <col min="6671" max="6672" width="9.26953125" style="19" bestFit="1" customWidth="1"/>
    <col min="6673" max="6673" width="9.453125" style="19" bestFit="1" customWidth="1"/>
    <col min="6674" max="6674" width="10.1796875" style="19" bestFit="1" customWidth="1"/>
    <col min="6675" max="6675" width="9.54296875" style="19" bestFit="1" customWidth="1"/>
    <col min="6676" max="6676" width="9.453125" style="19" bestFit="1" customWidth="1"/>
    <col min="6677" max="6679" width="9.26953125" style="19" bestFit="1" customWidth="1"/>
    <col min="6680" max="6680" width="3.26953125" style="19" customWidth="1"/>
    <col min="6681" max="6681" width="10.1796875" style="19" bestFit="1" customWidth="1"/>
    <col min="6682" max="6689" width="9.453125" style="19" bestFit="1" customWidth="1"/>
    <col min="6690" max="6690" width="9.26953125" style="19" customWidth="1"/>
    <col min="6691" max="6691" width="3.26953125" style="19" customWidth="1"/>
    <col min="6692" max="6692" width="10.1796875" style="19" bestFit="1" customWidth="1"/>
    <col min="6693" max="6696" width="9.453125" style="19" bestFit="1" customWidth="1"/>
    <col min="6697" max="6699" width="9.26953125" style="19" bestFit="1" customWidth="1"/>
    <col min="6700" max="6700" width="3.26953125" style="19" customWidth="1"/>
    <col min="6701" max="6707" width="9" style="19" customWidth="1"/>
    <col min="6708" max="6708" width="3.1796875" style="19" customWidth="1"/>
    <col min="6709" max="6711" width="9.26953125" style="19" bestFit="1" customWidth="1"/>
    <col min="6712" max="6712" width="3.26953125" style="19" customWidth="1"/>
    <col min="6713" max="6715" width="9.26953125" style="19" bestFit="1" customWidth="1"/>
    <col min="6716" max="6716" width="6.54296875" style="19" customWidth="1"/>
    <col min="6717" max="6717" width="3.26953125" style="19" customWidth="1"/>
    <col min="6718" max="6721" width="9.26953125" style="19" bestFit="1" customWidth="1"/>
    <col min="6722" max="6722" width="3.26953125" style="19" customWidth="1"/>
    <col min="6723" max="6725" width="9.26953125" style="19" bestFit="1" customWidth="1"/>
    <col min="6726" max="6726" width="10" style="19" bestFit="1" customWidth="1"/>
    <col min="6727" max="6727" width="3.26953125" style="19" customWidth="1"/>
    <col min="6728" max="6728" width="9.26953125" style="19" bestFit="1" customWidth="1"/>
    <col min="6729" max="6730" width="10" style="19" customWidth="1"/>
    <col min="6731" max="6731" width="3.26953125" style="19" customWidth="1"/>
    <col min="6732" max="6740" width="9.26953125" style="19" bestFit="1" customWidth="1"/>
    <col min="6741" max="6741" width="3.26953125" style="19" customWidth="1"/>
    <col min="6742" max="6745" width="9.26953125" style="19" bestFit="1" customWidth="1"/>
    <col min="6746" max="6746" width="10" style="19" bestFit="1" customWidth="1"/>
    <col min="6747" max="6747" width="9.26953125" style="19" bestFit="1" customWidth="1"/>
    <col min="6748" max="6748" width="10" style="19" bestFit="1" customWidth="1"/>
    <col min="6749" max="6749" width="9.26953125" style="19" bestFit="1" customWidth="1"/>
    <col min="6750" max="6750" width="3.26953125" style="19" customWidth="1"/>
    <col min="6751" max="6751" width="9.54296875" style="19" bestFit="1" customWidth="1"/>
    <col min="6752" max="6758" width="9.26953125" style="19" bestFit="1" customWidth="1"/>
    <col min="6759" max="6913" width="8.7265625" style="19"/>
    <col min="6914" max="6914" width="9.54296875" style="19" customWidth="1"/>
    <col min="6915" max="6915" width="6.26953125" style="19" customWidth="1"/>
    <col min="6916" max="6916" width="3.26953125" style="19" customWidth="1"/>
    <col min="6917" max="6917" width="9.54296875" style="19" bestFit="1" customWidth="1"/>
    <col min="6918" max="6925" width="9.26953125" style="19" bestFit="1" customWidth="1"/>
    <col min="6926" max="6926" width="3.26953125" style="19" customWidth="1"/>
    <col min="6927" max="6928" width="9.26953125" style="19" bestFit="1" customWidth="1"/>
    <col min="6929" max="6929" width="9.453125" style="19" bestFit="1" customWidth="1"/>
    <col min="6930" max="6930" width="10.1796875" style="19" bestFit="1" customWidth="1"/>
    <col min="6931" max="6931" width="9.54296875" style="19" bestFit="1" customWidth="1"/>
    <col min="6932" max="6932" width="9.453125" style="19" bestFit="1" customWidth="1"/>
    <col min="6933" max="6935" width="9.26953125" style="19" bestFit="1" customWidth="1"/>
    <col min="6936" max="6936" width="3.26953125" style="19" customWidth="1"/>
    <col min="6937" max="6937" width="10.1796875" style="19" bestFit="1" customWidth="1"/>
    <col min="6938" max="6945" width="9.453125" style="19" bestFit="1" customWidth="1"/>
    <col min="6946" max="6946" width="9.26953125" style="19" customWidth="1"/>
    <col min="6947" max="6947" width="3.26953125" style="19" customWidth="1"/>
    <col min="6948" max="6948" width="10.1796875" style="19" bestFit="1" customWidth="1"/>
    <col min="6949" max="6952" width="9.453125" style="19" bestFit="1" customWidth="1"/>
    <col min="6953" max="6955" width="9.26953125" style="19" bestFit="1" customWidth="1"/>
    <col min="6956" max="6956" width="3.26953125" style="19" customWidth="1"/>
    <col min="6957" max="6963" width="9" style="19" customWidth="1"/>
    <col min="6964" max="6964" width="3.1796875" style="19" customWidth="1"/>
    <col min="6965" max="6967" width="9.26953125" style="19" bestFit="1" customWidth="1"/>
    <col min="6968" max="6968" width="3.26953125" style="19" customWidth="1"/>
    <col min="6969" max="6971" width="9.26953125" style="19" bestFit="1" customWidth="1"/>
    <col min="6972" max="6972" width="6.54296875" style="19" customWidth="1"/>
    <col min="6973" max="6973" width="3.26953125" style="19" customWidth="1"/>
    <col min="6974" max="6977" width="9.26953125" style="19" bestFit="1" customWidth="1"/>
    <col min="6978" max="6978" width="3.26953125" style="19" customWidth="1"/>
    <col min="6979" max="6981" width="9.26953125" style="19" bestFit="1" customWidth="1"/>
    <col min="6982" max="6982" width="10" style="19" bestFit="1" customWidth="1"/>
    <col min="6983" max="6983" width="3.26953125" style="19" customWidth="1"/>
    <col min="6984" max="6984" width="9.26953125" style="19" bestFit="1" customWidth="1"/>
    <col min="6985" max="6986" width="10" style="19" customWidth="1"/>
    <col min="6987" max="6987" width="3.26953125" style="19" customWidth="1"/>
    <col min="6988" max="6996" width="9.26953125" style="19" bestFit="1" customWidth="1"/>
    <col min="6997" max="6997" width="3.26953125" style="19" customWidth="1"/>
    <col min="6998" max="7001" width="9.26953125" style="19" bestFit="1" customWidth="1"/>
    <col min="7002" max="7002" width="10" style="19" bestFit="1" customWidth="1"/>
    <col min="7003" max="7003" width="9.26953125" style="19" bestFit="1" customWidth="1"/>
    <col min="7004" max="7004" width="10" style="19" bestFit="1" customWidth="1"/>
    <col min="7005" max="7005" width="9.26953125" style="19" bestFit="1" customWidth="1"/>
    <col min="7006" max="7006" width="3.26953125" style="19" customWidth="1"/>
    <col min="7007" max="7007" width="9.54296875" style="19" bestFit="1" customWidth="1"/>
    <col min="7008" max="7014" width="9.26953125" style="19" bestFit="1" customWidth="1"/>
    <col min="7015" max="7169" width="8.7265625" style="19"/>
    <col min="7170" max="7170" width="9.54296875" style="19" customWidth="1"/>
    <col min="7171" max="7171" width="6.26953125" style="19" customWidth="1"/>
    <col min="7172" max="7172" width="3.26953125" style="19" customWidth="1"/>
    <col min="7173" max="7173" width="9.54296875" style="19" bestFit="1" customWidth="1"/>
    <col min="7174" max="7181" width="9.26953125" style="19" bestFit="1" customWidth="1"/>
    <col min="7182" max="7182" width="3.26953125" style="19" customWidth="1"/>
    <col min="7183" max="7184" width="9.26953125" style="19" bestFit="1" customWidth="1"/>
    <col min="7185" max="7185" width="9.453125" style="19" bestFit="1" customWidth="1"/>
    <col min="7186" max="7186" width="10.1796875" style="19" bestFit="1" customWidth="1"/>
    <col min="7187" max="7187" width="9.54296875" style="19" bestFit="1" customWidth="1"/>
    <col min="7188" max="7188" width="9.453125" style="19" bestFit="1" customWidth="1"/>
    <col min="7189" max="7191" width="9.26953125" style="19" bestFit="1" customWidth="1"/>
    <col min="7192" max="7192" width="3.26953125" style="19" customWidth="1"/>
    <col min="7193" max="7193" width="10.1796875" style="19" bestFit="1" customWidth="1"/>
    <col min="7194" max="7201" width="9.453125" style="19" bestFit="1" customWidth="1"/>
    <col min="7202" max="7202" width="9.26953125" style="19" customWidth="1"/>
    <col min="7203" max="7203" width="3.26953125" style="19" customWidth="1"/>
    <col min="7204" max="7204" width="10.1796875" style="19" bestFit="1" customWidth="1"/>
    <col min="7205" max="7208" width="9.453125" style="19" bestFit="1" customWidth="1"/>
    <col min="7209" max="7211" width="9.26953125" style="19" bestFit="1" customWidth="1"/>
    <col min="7212" max="7212" width="3.26953125" style="19" customWidth="1"/>
    <col min="7213" max="7219" width="9" style="19" customWidth="1"/>
    <col min="7220" max="7220" width="3.1796875" style="19" customWidth="1"/>
    <col min="7221" max="7223" width="9.26953125" style="19" bestFit="1" customWidth="1"/>
    <col min="7224" max="7224" width="3.26953125" style="19" customWidth="1"/>
    <col min="7225" max="7227" width="9.26953125" style="19" bestFit="1" customWidth="1"/>
    <col min="7228" max="7228" width="6.54296875" style="19" customWidth="1"/>
    <col min="7229" max="7229" width="3.26953125" style="19" customWidth="1"/>
    <col min="7230" max="7233" width="9.26953125" style="19" bestFit="1" customWidth="1"/>
    <col min="7234" max="7234" width="3.26953125" style="19" customWidth="1"/>
    <col min="7235" max="7237" width="9.26953125" style="19" bestFit="1" customWidth="1"/>
    <col min="7238" max="7238" width="10" style="19" bestFit="1" customWidth="1"/>
    <col min="7239" max="7239" width="3.26953125" style="19" customWidth="1"/>
    <col min="7240" max="7240" width="9.26953125" style="19" bestFit="1" customWidth="1"/>
    <col min="7241" max="7242" width="10" style="19" customWidth="1"/>
    <col min="7243" max="7243" width="3.26953125" style="19" customWidth="1"/>
    <col min="7244" max="7252" width="9.26953125" style="19" bestFit="1" customWidth="1"/>
    <col min="7253" max="7253" width="3.26953125" style="19" customWidth="1"/>
    <col min="7254" max="7257" width="9.26953125" style="19" bestFit="1" customWidth="1"/>
    <col min="7258" max="7258" width="10" style="19" bestFit="1" customWidth="1"/>
    <col min="7259" max="7259" width="9.26953125" style="19" bestFit="1" customWidth="1"/>
    <col min="7260" max="7260" width="10" style="19" bestFit="1" customWidth="1"/>
    <col min="7261" max="7261" width="9.26953125" style="19" bestFit="1" customWidth="1"/>
    <col min="7262" max="7262" width="3.26953125" style="19" customWidth="1"/>
    <col min="7263" max="7263" width="9.54296875" style="19" bestFit="1" customWidth="1"/>
    <col min="7264" max="7270" width="9.26953125" style="19" bestFit="1" customWidth="1"/>
    <col min="7271" max="7425" width="8.7265625" style="19"/>
    <col min="7426" max="7426" width="9.54296875" style="19" customWidth="1"/>
    <col min="7427" max="7427" width="6.26953125" style="19" customWidth="1"/>
    <col min="7428" max="7428" width="3.26953125" style="19" customWidth="1"/>
    <col min="7429" max="7429" width="9.54296875" style="19" bestFit="1" customWidth="1"/>
    <col min="7430" max="7437" width="9.26953125" style="19" bestFit="1" customWidth="1"/>
    <col min="7438" max="7438" width="3.26953125" style="19" customWidth="1"/>
    <col min="7439" max="7440" width="9.26953125" style="19" bestFit="1" customWidth="1"/>
    <col min="7441" max="7441" width="9.453125" style="19" bestFit="1" customWidth="1"/>
    <col min="7442" max="7442" width="10.1796875" style="19" bestFit="1" customWidth="1"/>
    <col min="7443" max="7443" width="9.54296875" style="19" bestFit="1" customWidth="1"/>
    <col min="7444" max="7444" width="9.453125" style="19" bestFit="1" customWidth="1"/>
    <col min="7445" max="7447" width="9.26953125" style="19" bestFit="1" customWidth="1"/>
    <col min="7448" max="7448" width="3.26953125" style="19" customWidth="1"/>
    <col min="7449" max="7449" width="10.1796875" style="19" bestFit="1" customWidth="1"/>
    <col min="7450" max="7457" width="9.453125" style="19" bestFit="1" customWidth="1"/>
    <col min="7458" max="7458" width="9.26953125" style="19" customWidth="1"/>
    <col min="7459" max="7459" width="3.26953125" style="19" customWidth="1"/>
    <col min="7460" max="7460" width="10.1796875" style="19" bestFit="1" customWidth="1"/>
    <col min="7461" max="7464" width="9.453125" style="19" bestFit="1" customWidth="1"/>
    <col min="7465" max="7467" width="9.26953125" style="19" bestFit="1" customWidth="1"/>
    <col min="7468" max="7468" width="3.26953125" style="19" customWidth="1"/>
    <col min="7469" max="7475" width="9" style="19" customWidth="1"/>
    <col min="7476" max="7476" width="3.1796875" style="19" customWidth="1"/>
    <col min="7477" max="7479" width="9.26953125" style="19" bestFit="1" customWidth="1"/>
    <col min="7480" max="7480" width="3.26953125" style="19" customWidth="1"/>
    <col min="7481" max="7483" width="9.26953125" style="19" bestFit="1" customWidth="1"/>
    <col min="7484" max="7484" width="6.54296875" style="19" customWidth="1"/>
    <col min="7485" max="7485" width="3.26953125" style="19" customWidth="1"/>
    <col min="7486" max="7489" width="9.26953125" style="19" bestFit="1" customWidth="1"/>
    <col min="7490" max="7490" width="3.26953125" style="19" customWidth="1"/>
    <col min="7491" max="7493" width="9.26953125" style="19" bestFit="1" customWidth="1"/>
    <col min="7494" max="7494" width="10" style="19" bestFit="1" customWidth="1"/>
    <col min="7495" max="7495" width="3.26953125" style="19" customWidth="1"/>
    <col min="7496" max="7496" width="9.26953125" style="19" bestFit="1" customWidth="1"/>
    <col min="7497" max="7498" width="10" style="19" customWidth="1"/>
    <col min="7499" max="7499" width="3.26953125" style="19" customWidth="1"/>
    <col min="7500" max="7508" width="9.26953125" style="19" bestFit="1" customWidth="1"/>
    <col min="7509" max="7509" width="3.26953125" style="19" customWidth="1"/>
    <col min="7510" max="7513" width="9.26953125" style="19" bestFit="1" customWidth="1"/>
    <col min="7514" max="7514" width="10" style="19" bestFit="1" customWidth="1"/>
    <col min="7515" max="7515" width="9.26953125" style="19" bestFit="1" customWidth="1"/>
    <col min="7516" max="7516" width="10" style="19" bestFit="1" customWidth="1"/>
    <col min="7517" max="7517" width="9.26953125" style="19" bestFit="1" customWidth="1"/>
    <col min="7518" max="7518" width="3.26953125" style="19" customWidth="1"/>
    <col min="7519" max="7519" width="9.54296875" style="19" bestFit="1" customWidth="1"/>
    <col min="7520" max="7526" width="9.26953125" style="19" bestFit="1" customWidth="1"/>
    <col min="7527" max="7681" width="8.7265625" style="19"/>
    <col min="7682" max="7682" width="9.54296875" style="19" customWidth="1"/>
    <col min="7683" max="7683" width="6.26953125" style="19" customWidth="1"/>
    <col min="7684" max="7684" width="3.26953125" style="19" customWidth="1"/>
    <col min="7685" max="7685" width="9.54296875" style="19" bestFit="1" customWidth="1"/>
    <col min="7686" max="7693" width="9.26953125" style="19" bestFit="1" customWidth="1"/>
    <col min="7694" max="7694" width="3.26953125" style="19" customWidth="1"/>
    <col min="7695" max="7696" width="9.26953125" style="19" bestFit="1" customWidth="1"/>
    <col min="7697" max="7697" width="9.453125" style="19" bestFit="1" customWidth="1"/>
    <col min="7698" max="7698" width="10.1796875" style="19" bestFit="1" customWidth="1"/>
    <col min="7699" max="7699" width="9.54296875" style="19" bestFit="1" customWidth="1"/>
    <col min="7700" max="7700" width="9.453125" style="19" bestFit="1" customWidth="1"/>
    <col min="7701" max="7703" width="9.26953125" style="19" bestFit="1" customWidth="1"/>
    <col min="7704" max="7704" width="3.26953125" style="19" customWidth="1"/>
    <col min="7705" max="7705" width="10.1796875" style="19" bestFit="1" customWidth="1"/>
    <col min="7706" max="7713" width="9.453125" style="19" bestFit="1" customWidth="1"/>
    <col min="7714" max="7714" width="9.26953125" style="19" customWidth="1"/>
    <col min="7715" max="7715" width="3.26953125" style="19" customWidth="1"/>
    <col min="7716" max="7716" width="10.1796875" style="19" bestFit="1" customWidth="1"/>
    <col min="7717" max="7720" width="9.453125" style="19" bestFit="1" customWidth="1"/>
    <col min="7721" max="7723" width="9.26953125" style="19" bestFit="1" customWidth="1"/>
    <col min="7724" max="7724" width="3.26953125" style="19" customWidth="1"/>
    <col min="7725" max="7731" width="9" style="19" customWidth="1"/>
    <col min="7732" max="7732" width="3.1796875" style="19" customWidth="1"/>
    <col min="7733" max="7735" width="9.26953125" style="19" bestFit="1" customWidth="1"/>
    <col min="7736" max="7736" width="3.26953125" style="19" customWidth="1"/>
    <col min="7737" max="7739" width="9.26953125" style="19" bestFit="1" customWidth="1"/>
    <col min="7740" max="7740" width="6.54296875" style="19" customWidth="1"/>
    <col min="7741" max="7741" width="3.26953125" style="19" customWidth="1"/>
    <col min="7742" max="7745" width="9.26953125" style="19" bestFit="1" customWidth="1"/>
    <col min="7746" max="7746" width="3.26953125" style="19" customWidth="1"/>
    <col min="7747" max="7749" width="9.26953125" style="19" bestFit="1" customWidth="1"/>
    <col min="7750" max="7750" width="10" style="19" bestFit="1" customWidth="1"/>
    <col min="7751" max="7751" width="3.26953125" style="19" customWidth="1"/>
    <col min="7752" max="7752" width="9.26953125" style="19" bestFit="1" customWidth="1"/>
    <col min="7753" max="7754" width="10" style="19" customWidth="1"/>
    <col min="7755" max="7755" width="3.26953125" style="19" customWidth="1"/>
    <col min="7756" max="7764" width="9.26953125" style="19" bestFit="1" customWidth="1"/>
    <col min="7765" max="7765" width="3.26953125" style="19" customWidth="1"/>
    <col min="7766" max="7769" width="9.26953125" style="19" bestFit="1" customWidth="1"/>
    <col min="7770" max="7770" width="10" style="19" bestFit="1" customWidth="1"/>
    <col min="7771" max="7771" width="9.26953125" style="19" bestFit="1" customWidth="1"/>
    <col min="7772" max="7772" width="10" style="19" bestFit="1" customWidth="1"/>
    <col min="7773" max="7773" width="9.26953125" style="19" bestFit="1" customWidth="1"/>
    <col min="7774" max="7774" width="3.26953125" style="19" customWidth="1"/>
    <col min="7775" max="7775" width="9.54296875" style="19" bestFit="1" customWidth="1"/>
    <col min="7776" max="7782" width="9.26953125" style="19" bestFit="1" customWidth="1"/>
    <col min="7783" max="7937" width="8.7265625" style="19"/>
    <col min="7938" max="7938" width="9.54296875" style="19" customWidth="1"/>
    <col min="7939" max="7939" width="6.26953125" style="19" customWidth="1"/>
    <col min="7940" max="7940" width="3.26953125" style="19" customWidth="1"/>
    <col min="7941" max="7941" width="9.54296875" style="19" bestFit="1" customWidth="1"/>
    <col min="7942" max="7949" width="9.26953125" style="19" bestFit="1" customWidth="1"/>
    <col min="7950" max="7950" width="3.26953125" style="19" customWidth="1"/>
    <col min="7951" max="7952" width="9.26953125" style="19" bestFit="1" customWidth="1"/>
    <col min="7953" max="7953" width="9.453125" style="19" bestFit="1" customWidth="1"/>
    <col min="7954" max="7954" width="10.1796875" style="19" bestFit="1" customWidth="1"/>
    <col min="7955" max="7955" width="9.54296875" style="19" bestFit="1" customWidth="1"/>
    <col min="7956" max="7956" width="9.453125" style="19" bestFit="1" customWidth="1"/>
    <col min="7957" max="7959" width="9.26953125" style="19" bestFit="1" customWidth="1"/>
    <col min="7960" max="7960" width="3.26953125" style="19" customWidth="1"/>
    <col min="7961" max="7961" width="10.1796875" style="19" bestFit="1" customWidth="1"/>
    <col min="7962" max="7969" width="9.453125" style="19" bestFit="1" customWidth="1"/>
    <col min="7970" max="7970" width="9.26953125" style="19" customWidth="1"/>
    <col min="7971" max="7971" width="3.26953125" style="19" customWidth="1"/>
    <col min="7972" max="7972" width="10.1796875" style="19" bestFit="1" customWidth="1"/>
    <col min="7973" max="7976" width="9.453125" style="19" bestFit="1" customWidth="1"/>
    <col min="7977" max="7979" width="9.26953125" style="19" bestFit="1" customWidth="1"/>
    <col min="7980" max="7980" width="3.26953125" style="19" customWidth="1"/>
    <col min="7981" max="7987" width="9" style="19" customWidth="1"/>
    <col min="7988" max="7988" width="3.1796875" style="19" customWidth="1"/>
    <col min="7989" max="7991" width="9.26953125" style="19" bestFit="1" customWidth="1"/>
    <col min="7992" max="7992" width="3.26953125" style="19" customWidth="1"/>
    <col min="7993" max="7995" width="9.26953125" style="19" bestFit="1" customWidth="1"/>
    <col min="7996" max="7996" width="6.54296875" style="19" customWidth="1"/>
    <col min="7997" max="7997" width="3.26953125" style="19" customWidth="1"/>
    <col min="7998" max="8001" width="9.26953125" style="19" bestFit="1" customWidth="1"/>
    <col min="8002" max="8002" width="3.26953125" style="19" customWidth="1"/>
    <col min="8003" max="8005" width="9.26953125" style="19" bestFit="1" customWidth="1"/>
    <col min="8006" max="8006" width="10" style="19" bestFit="1" customWidth="1"/>
    <col min="8007" max="8007" width="3.26953125" style="19" customWidth="1"/>
    <col min="8008" max="8008" width="9.26953125" style="19" bestFit="1" customWidth="1"/>
    <col min="8009" max="8010" width="10" style="19" customWidth="1"/>
    <col min="8011" max="8011" width="3.26953125" style="19" customWidth="1"/>
    <col min="8012" max="8020" width="9.26953125" style="19" bestFit="1" customWidth="1"/>
    <col min="8021" max="8021" width="3.26953125" style="19" customWidth="1"/>
    <col min="8022" max="8025" width="9.26953125" style="19" bestFit="1" customWidth="1"/>
    <col min="8026" max="8026" width="10" style="19" bestFit="1" customWidth="1"/>
    <col min="8027" max="8027" width="9.26953125" style="19" bestFit="1" customWidth="1"/>
    <col min="8028" max="8028" width="10" style="19" bestFit="1" customWidth="1"/>
    <col min="8029" max="8029" width="9.26953125" style="19" bestFit="1" customWidth="1"/>
    <col min="8030" max="8030" width="3.26953125" style="19" customWidth="1"/>
    <col min="8031" max="8031" width="9.54296875" style="19" bestFit="1" customWidth="1"/>
    <col min="8032" max="8038" width="9.26953125" style="19" bestFit="1" customWidth="1"/>
    <col min="8039" max="8193" width="8.7265625" style="19"/>
    <col min="8194" max="8194" width="9.54296875" style="19" customWidth="1"/>
    <col min="8195" max="8195" width="6.26953125" style="19" customWidth="1"/>
    <col min="8196" max="8196" width="3.26953125" style="19" customWidth="1"/>
    <col min="8197" max="8197" width="9.54296875" style="19" bestFit="1" customWidth="1"/>
    <col min="8198" max="8205" width="9.26953125" style="19" bestFit="1" customWidth="1"/>
    <col min="8206" max="8206" width="3.26953125" style="19" customWidth="1"/>
    <col min="8207" max="8208" width="9.26953125" style="19" bestFit="1" customWidth="1"/>
    <col min="8209" max="8209" width="9.453125" style="19" bestFit="1" customWidth="1"/>
    <col min="8210" max="8210" width="10.1796875" style="19" bestFit="1" customWidth="1"/>
    <col min="8211" max="8211" width="9.54296875" style="19" bestFit="1" customWidth="1"/>
    <col min="8212" max="8212" width="9.453125" style="19" bestFit="1" customWidth="1"/>
    <col min="8213" max="8215" width="9.26953125" style="19" bestFit="1" customWidth="1"/>
    <col min="8216" max="8216" width="3.26953125" style="19" customWidth="1"/>
    <col min="8217" max="8217" width="10.1796875" style="19" bestFit="1" customWidth="1"/>
    <col min="8218" max="8225" width="9.453125" style="19" bestFit="1" customWidth="1"/>
    <col min="8226" max="8226" width="9.26953125" style="19" customWidth="1"/>
    <col min="8227" max="8227" width="3.26953125" style="19" customWidth="1"/>
    <col min="8228" max="8228" width="10.1796875" style="19" bestFit="1" customWidth="1"/>
    <col min="8229" max="8232" width="9.453125" style="19" bestFit="1" customWidth="1"/>
    <col min="8233" max="8235" width="9.26953125" style="19" bestFit="1" customWidth="1"/>
    <col min="8236" max="8236" width="3.26953125" style="19" customWidth="1"/>
    <col min="8237" max="8243" width="9" style="19" customWidth="1"/>
    <col min="8244" max="8244" width="3.1796875" style="19" customWidth="1"/>
    <col min="8245" max="8247" width="9.26953125" style="19" bestFit="1" customWidth="1"/>
    <col min="8248" max="8248" width="3.26953125" style="19" customWidth="1"/>
    <col min="8249" max="8251" width="9.26953125" style="19" bestFit="1" customWidth="1"/>
    <col min="8252" max="8252" width="6.54296875" style="19" customWidth="1"/>
    <col min="8253" max="8253" width="3.26953125" style="19" customWidth="1"/>
    <col min="8254" max="8257" width="9.26953125" style="19" bestFit="1" customWidth="1"/>
    <col min="8258" max="8258" width="3.26953125" style="19" customWidth="1"/>
    <col min="8259" max="8261" width="9.26953125" style="19" bestFit="1" customWidth="1"/>
    <col min="8262" max="8262" width="10" style="19" bestFit="1" customWidth="1"/>
    <col min="8263" max="8263" width="3.26953125" style="19" customWidth="1"/>
    <col min="8264" max="8264" width="9.26953125" style="19" bestFit="1" customWidth="1"/>
    <col min="8265" max="8266" width="10" style="19" customWidth="1"/>
    <col min="8267" max="8267" width="3.26953125" style="19" customWidth="1"/>
    <col min="8268" max="8276" width="9.26953125" style="19" bestFit="1" customWidth="1"/>
    <col min="8277" max="8277" width="3.26953125" style="19" customWidth="1"/>
    <col min="8278" max="8281" width="9.26953125" style="19" bestFit="1" customWidth="1"/>
    <col min="8282" max="8282" width="10" style="19" bestFit="1" customWidth="1"/>
    <col min="8283" max="8283" width="9.26953125" style="19" bestFit="1" customWidth="1"/>
    <col min="8284" max="8284" width="10" style="19" bestFit="1" customWidth="1"/>
    <col min="8285" max="8285" width="9.26953125" style="19" bestFit="1" customWidth="1"/>
    <col min="8286" max="8286" width="3.26953125" style="19" customWidth="1"/>
    <col min="8287" max="8287" width="9.54296875" style="19" bestFit="1" customWidth="1"/>
    <col min="8288" max="8294" width="9.26953125" style="19" bestFit="1" customWidth="1"/>
    <col min="8295" max="8449" width="8.7265625" style="19"/>
    <col min="8450" max="8450" width="9.54296875" style="19" customWidth="1"/>
    <col min="8451" max="8451" width="6.26953125" style="19" customWidth="1"/>
    <col min="8452" max="8452" width="3.26953125" style="19" customWidth="1"/>
    <col min="8453" max="8453" width="9.54296875" style="19" bestFit="1" customWidth="1"/>
    <col min="8454" max="8461" width="9.26953125" style="19" bestFit="1" customWidth="1"/>
    <col min="8462" max="8462" width="3.26953125" style="19" customWidth="1"/>
    <col min="8463" max="8464" width="9.26953125" style="19" bestFit="1" customWidth="1"/>
    <col min="8465" max="8465" width="9.453125" style="19" bestFit="1" customWidth="1"/>
    <col min="8466" max="8466" width="10.1796875" style="19" bestFit="1" customWidth="1"/>
    <col min="8467" max="8467" width="9.54296875" style="19" bestFit="1" customWidth="1"/>
    <col min="8468" max="8468" width="9.453125" style="19" bestFit="1" customWidth="1"/>
    <col min="8469" max="8471" width="9.26953125" style="19" bestFit="1" customWidth="1"/>
    <col min="8472" max="8472" width="3.26953125" style="19" customWidth="1"/>
    <col min="8473" max="8473" width="10.1796875" style="19" bestFit="1" customWidth="1"/>
    <col min="8474" max="8481" width="9.453125" style="19" bestFit="1" customWidth="1"/>
    <col min="8482" max="8482" width="9.26953125" style="19" customWidth="1"/>
    <col min="8483" max="8483" width="3.26953125" style="19" customWidth="1"/>
    <col min="8484" max="8484" width="10.1796875" style="19" bestFit="1" customWidth="1"/>
    <col min="8485" max="8488" width="9.453125" style="19" bestFit="1" customWidth="1"/>
    <col min="8489" max="8491" width="9.26953125" style="19" bestFit="1" customWidth="1"/>
    <col min="8492" max="8492" width="3.26953125" style="19" customWidth="1"/>
    <col min="8493" max="8499" width="9" style="19" customWidth="1"/>
    <col min="8500" max="8500" width="3.1796875" style="19" customWidth="1"/>
    <col min="8501" max="8503" width="9.26953125" style="19" bestFit="1" customWidth="1"/>
    <col min="8504" max="8504" width="3.26953125" style="19" customWidth="1"/>
    <col min="8505" max="8507" width="9.26953125" style="19" bestFit="1" customWidth="1"/>
    <col min="8508" max="8508" width="6.54296875" style="19" customWidth="1"/>
    <col min="8509" max="8509" width="3.26953125" style="19" customWidth="1"/>
    <col min="8510" max="8513" width="9.26953125" style="19" bestFit="1" customWidth="1"/>
    <col min="8514" max="8514" width="3.26953125" style="19" customWidth="1"/>
    <col min="8515" max="8517" width="9.26953125" style="19" bestFit="1" customWidth="1"/>
    <col min="8518" max="8518" width="10" style="19" bestFit="1" customWidth="1"/>
    <col min="8519" max="8519" width="3.26953125" style="19" customWidth="1"/>
    <col min="8520" max="8520" width="9.26953125" style="19" bestFit="1" customWidth="1"/>
    <col min="8521" max="8522" width="10" style="19" customWidth="1"/>
    <col min="8523" max="8523" width="3.26953125" style="19" customWidth="1"/>
    <col min="8524" max="8532" width="9.26953125" style="19" bestFit="1" customWidth="1"/>
    <col min="8533" max="8533" width="3.26953125" style="19" customWidth="1"/>
    <col min="8534" max="8537" width="9.26953125" style="19" bestFit="1" customWidth="1"/>
    <col min="8538" max="8538" width="10" style="19" bestFit="1" customWidth="1"/>
    <col min="8539" max="8539" width="9.26953125" style="19" bestFit="1" customWidth="1"/>
    <col min="8540" max="8540" width="10" style="19" bestFit="1" customWidth="1"/>
    <col min="8541" max="8541" width="9.26953125" style="19" bestFit="1" customWidth="1"/>
    <col min="8542" max="8542" width="3.26953125" style="19" customWidth="1"/>
    <col min="8543" max="8543" width="9.54296875" style="19" bestFit="1" customWidth="1"/>
    <col min="8544" max="8550" width="9.26953125" style="19" bestFit="1" customWidth="1"/>
    <col min="8551" max="8705" width="8.7265625" style="19"/>
    <col min="8706" max="8706" width="9.54296875" style="19" customWidth="1"/>
    <col min="8707" max="8707" width="6.26953125" style="19" customWidth="1"/>
    <col min="8708" max="8708" width="3.26953125" style="19" customWidth="1"/>
    <col min="8709" max="8709" width="9.54296875" style="19" bestFit="1" customWidth="1"/>
    <col min="8710" max="8717" width="9.26953125" style="19" bestFit="1" customWidth="1"/>
    <col min="8718" max="8718" width="3.26953125" style="19" customWidth="1"/>
    <col min="8719" max="8720" width="9.26953125" style="19" bestFit="1" customWidth="1"/>
    <col min="8721" max="8721" width="9.453125" style="19" bestFit="1" customWidth="1"/>
    <col min="8722" max="8722" width="10.1796875" style="19" bestFit="1" customWidth="1"/>
    <col min="8723" max="8723" width="9.54296875" style="19" bestFit="1" customWidth="1"/>
    <col min="8724" max="8724" width="9.453125" style="19" bestFit="1" customWidth="1"/>
    <col min="8725" max="8727" width="9.26953125" style="19" bestFit="1" customWidth="1"/>
    <col min="8728" max="8728" width="3.26953125" style="19" customWidth="1"/>
    <col min="8729" max="8729" width="10.1796875" style="19" bestFit="1" customWidth="1"/>
    <col min="8730" max="8737" width="9.453125" style="19" bestFit="1" customWidth="1"/>
    <col min="8738" max="8738" width="9.26953125" style="19" customWidth="1"/>
    <col min="8739" max="8739" width="3.26953125" style="19" customWidth="1"/>
    <col min="8740" max="8740" width="10.1796875" style="19" bestFit="1" customWidth="1"/>
    <col min="8741" max="8744" width="9.453125" style="19" bestFit="1" customWidth="1"/>
    <col min="8745" max="8747" width="9.26953125" style="19" bestFit="1" customWidth="1"/>
    <col min="8748" max="8748" width="3.26953125" style="19" customWidth="1"/>
    <col min="8749" max="8755" width="9" style="19" customWidth="1"/>
    <col min="8756" max="8756" width="3.1796875" style="19" customWidth="1"/>
    <col min="8757" max="8759" width="9.26953125" style="19" bestFit="1" customWidth="1"/>
    <col min="8760" max="8760" width="3.26953125" style="19" customWidth="1"/>
    <col min="8761" max="8763" width="9.26953125" style="19" bestFit="1" customWidth="1"/>
    <col min="8764" max="8764" width="6.54296875" style="19" customWidth="1"/>
    <col min="8765" max="8765" width="3.26953125" style="19" customWidth="1"/>
    <col min="8766" max="8769" width="9.26953125" style="19" bestFit="1" customWidth="1"/>
    <col min="8770" max="8770" width="3.26953125" style="19" customWidth="1"/>
    <col min="8771" max="8773" width="9.26953125" style="19" bestFit="1" customWidth="1"/>
    <col min="8774" max="8774" width="10" style="19" bestFit="1" customWidth="1"/>
    <col min="8775" max="8775" width="3.26953125" style="19" customWidth="1"/>
    <col min="8776" max="8776" width="9.26953125" style="19" bestFit="1" customWidth="1"/>
    <col min="8777" max="8778" width="10" style="19" customWidth="1"/>
    <col min="8779" max="8779" width="3.26953125" style="19" customWidth="1"/>
    <col min="8780" max="8788" width="9.26953125" style="19" bestFit="1" customWidth="1"/>
    <col min="8789" max="8789" width="3.26953125" style="19" customWidth="1"/>
    <col min="8790" max="8793" width="9.26953125" style="19" bestFit="1" customWidth="1"/>
    <col min="8794" max="8794" width="10" style="19" bestFit="1" customWidth="1"/>
    <col min="8795" max="8795" width="9.26953125" style="19" bestFit="1" customWidth="1"/>
    <col min="8796" max="8796" width="10" style="19" bestFit="1" customWidth="1"/>
    <col min="8797" max="8797" width="9.26953125" style="19" bestFit="1" customWidth="1"/>
    <col min="8798" max="8798" width="3.26953125" style="19" customWidth="1"/>
    <col min="8799" max="8799" width="9.54296875" style="19" bestFit="1" customWidth="1"/>
    <col min="8800" max="8806" width="9.26953125" style="19" bestFit="1" customWidth="1"/>
    <col min="8807" max="8961" width="8.7265625" style="19"/>
    <col min="8962" max="8962" width="9.54296875" style="19" customWidth="1"/>
    <col min="8963" max="8963" width="6.26953125" style="19" customWidth="1"/>
    <col min="8964" max="8964" width="3.26953125" style="19" customWidth="1"/>
    <col min="8965" max="8965" width="9.54296875" style="19" bestFit="1" customWidth="1"/>
    <col min="8966" max="8973" width="9.26953125" style="19" bestFit="1" customWidth="1"/>
    <col min="8974" max="8974" width="3.26953125" style="19" customWidth="1"/>
    <col min="8975" max="8976" width="9.26953125" style="19" bestFit="1" customWidth="1"/>
    <col min="8977" max="8977" width="9.453125" style="19" bestFit="1" customWidth="1"/>
    <col min="8978" max="8978" width="10.1796875" style="19" bestFit="1" customWidth="1"/>
    <col min="8979" max="8979" width="9.54296875" style="19" bestFit="1" customWidth="1"/>
    <col min="8980" max="8980" width="9.453125" style="19" bestFit="1" customWidth="1"/>
    <col min="8981" max="8983" width="9.26953125" style="19" bestFit="1" customWidth="1"/>
    <col min="8984" max="8984" width="3.26953125" style="19" customWidth="1"/>
    <col min="8985" max="8985" width="10.1796875" style="19" bestFit="1" customWidth="1"/>
    <col min="8986" max="8993" width="9.453125" style="19" bestFit="1" customWidth="1"/>
    <col min="8994" max="8994" width="9.26953125" style="19" customWidth="1"/>
    <col min="8995" max="8995" width="3.26953125" style="19" customWidth="1"/>
    <col min="8996" max="8996" width="10.1796875" style="19" bestFit="1" customWidth="1"/>
    <col min="8997" max="9000" width="9.453125" style="19" bestFit="1" customWidth="1"/>
    <col min="9001" max="9003" width="9.26953125" style="19" bestFit="1" customWidth="1"/>
    <col min="9004" max="9004" width="3.26953125" style="19" customWidth="1"/>
    <col min="9005" max="9011" width="9" style="19" customWidth="1"/>
    <col min="9012" max="9012" width="3.1796875" style="19" customWidth="1"/>
    <col min="9013" max="9015" width="9.26953125" style="19" bestFit="1" customWidth="1"/>
    <col min="9016" max="9016" width="3.26953125" style="19" customWidth="1"/>
    <col min="9017" max="9019" width="9.26953125" style="19" bestFit="1" customWidth="1"/>
    <col min="9020" max="9020" width="6.54296875" style="19" customWidth="1"/>
    <col min="9021" max="9021" width="3.26953125" style="19" customWidth="1"/>
    <col min="9022" max="9025" width="9.26953125" style="19" bestFit="1" customWidth="1"/>
    <col min="9026" max="9026" width="3.26953125" style="19" customWidth="1"/>
    <col min="9027" max="9029" width="9.26953125" style="19" bestFit="1" customWidth="1"/>
    <col min="9030" max="9030" width="10" style="19" bestFit="1" customWidth="1"/>
    <col min="9031" max="9031" width="3.26953125" style="19" customWidth="1"/>
    <col min="9032" max="9032" width="9.26953125" style="19" bestFit="1" customWidth="1"/>
    <col min="9033" max="9034" width="10" style="19" customWidth="1"/>
    <col min="9035" max="9035" width="3.26953125" style="19" customWidth="1"/>
    <col min="9036" max="9044" width="9.26953125" style="19" bestFit="1" customWidth="1"/>
    <col min="9045" max="9045" width="3.26953125" style="19" customWidth="1"/>
    <col min="9046" max="9049" width="9.26953125" style="19" bestFit="1" customWidth="1"/>
    <col min="9050" max="9050" width="10" style="19" bestFit="1" customWidth="1"/>
    <col min="9051" max="9051" width="9.26953125" style="19" bestFit="1" customWidth="1"/>
    <col min="9052" max="9052" width="10" style="19" bestFit="1" customWidth="1"/>
    <col min="9053" max="9053" width="9.26953125" style="19" bestFit="1" customWidth="1"/>
    <col min="9054" max="9054" width="3.26953125" style="19" customWidth="1"/>
    <col min="9055" max="9055" width="9.54296875" style="19" bestFit="1" customWidth="1"/>
    <col min="9056" max="9062" width="9.26953125" style="19" bestFit="1" customWidth="1"/>
    <col min="9063" max="9217" width="8.7265625" style="19"/>
    <col min="9218" max="9218" width="9.54296875" style="19" customWidth="1"/>
    <col min="9219" max="9219" width="6.26953125" style="19" customWidth="1"/>
    <col min="9220" max="9220" width="3.26953125" style="19" customWidth="1"/>
    <col min="9221" max="9221" width="9.54296875" style="19" bestFit="1" customWidth="1"/>
    <col min="9222" max="9229" width="9.26953125" style="19" bestFit="1" customWidth="1"/>
    <col min="9230" max="9230" width="3.26953125" style="19" customWidth="1"/>
    <col min="9231" max="9232" width="9.26953125" style="19" bestFit="1" customWidth="1"/>
    <col min="9233" max="9233" width="9.453125" style="19" bestFit="1" customWidth="1"/>
    <col min="9234" max="9234" width="10.1796875" style="19" bestFit="1" customWidth="1"/>
    <col min="9235" max="9235" width="9.54296875" style="19" bestFit="1" customWidth="1"/>
    <col min="9236" max="9236" width="9.453125" style="19" bestFit="1" customWidth="1"/>
    <col min="9237" max="9239" width="9.26953125" style="19" bestFit="1" customWidth="1"/>
    <col min="9240" max="9240" width="3.26953125" style="19" customWidth="1"/>
    <col min="9241" max="9241" width="10.1796875" style="19" bestFit="1" customWidth="1"/>
    <col min="9242" max="9249" width="9.453125" style="19" bestFit="1" customWidth="1"/>
    <col min="9250" max="9250" width="9.26953125" style="19" customWidth="1"/>
    <col min="9251" max="9251" width="3.26953125" style="19" customWidth="1"/>
    <col min="9252" max="9252" width="10.1796875" style="19" bestFit="1" customWidth="1"/>
    <col min="9253" max="9256" width="9.453125" style="19" bestFit="1" customWidth="1"/>
    <col min="9257" max="9259" width="9.26953125" style="19" bestFit="1" customWidth="1"/>
    <col min="9260" max="9260" width="3.26953125" style="19" customWidth="1"/>
    <col min="9261" max="9267" width="9" style="19" customWidth="1"/>
    <col min="9268" max="9268" width="3.1796875" style="19" customWidth="1"/>
    <col min="9269" max="9271" width="9.26953125" style="19" bestFit="1" customWidth="1"/>
    <col min="9272" max="9272" width="3.26953125" style="19" customWidth="1"/>
    <col min="9273" max="9275" width="9.26953125" style="19" bestFit="1" customWidth="1"/>
    <col min="9276" max="9276" width="6.54296875" style="19" customWidth="1"/>
    <col min="9277" max="9277" width="3.26953125" style="19" customWidth="1"/>
    <col min="9278" max="9281" width="9.26953125" style="19" bestFit="1" customWidth="1"/>
    <col min="9282" max="9282" width="3.26953125" style="19" customWidth="1"/>
    <col min="9283" max="9285" width="9.26953125" style="19" bestFit="1" customWidth="1"/>
    <col min="9286" max="9286" width="10" style="19" bestFit="1" customWidth="1"/>
    <col min="9287" max="9287" width="3.26953125" style="19" customWidth="1"/>
    <col min="9288" max="9288" width="9.26953125" style="19" bestFit="1" customWidth="1"/>
    <col min="9289" max="9290" width="10" style="19" customWidth="1"/>
    <col min="9291" max="9291" width="3.26953125" style="19" customWidth="1"/>
    <col min="9292" max="9300" width="9.26953125" style="19" bestFit="1" customWidth="1"/>
    <col min="9301" max="9301" width="3.26953125" style="19" customWidth="1"/>
    <col min="9302" max="9305" width="9.26953125" style="19" bestFit="1" customWidth="1"/>
    <col min="9306" max="9306" width="10" style="19" bestFit="1" customWidth="1"/>
    <col min="9307" max="9307" width="9.26953125" style="19" bestFit="1" customWidth="1"/>
    <col min="9308" max="9308" width="10" style="19" bestFit="1" customWidth="1"/>
    <col min="9309" max="9309" width="9.26953125" style="19" bestFit="1" customWidth="1"/>
    <col min="9310" max="9310" width="3.26953125" style="19" customWidth="1"/>
    <col min="9311" max="9311" width="9.54296875" style="19" bestFit="1" customWidth="1"/>
    <col min="9312" max="9318" width="9.26953125" style="19" bestFit="1" customWidth="1"/>
    <col min="9319" max="9473" width="8.7265625" style="19"/>
    <col min="9474" max="9474" width="9.54296875" style="19" customWidth="1"/>
    <col min="9475" max="9475" width="6.26953125" style="19" customWidth="1"/>
    <col min="9476" max="9476" width="3.26953125" style="19" customWidth="1"/>
    <col min="9477" max="9477" width="9.54296875" style="19" bestFit="1" customWidth="1"/>
    <col min="9478" max="9485" width="9.26953125" style="19" bestFit="1" customWidth="1"/>
    <col min="9486" max="9486" width="3.26953125" style="19" customWidth="1"/>
    <col min="9487" max="9488" width="9.26953125" style="19" bestFit="1" customWidth="1"/>
    <col min="9489" max="9489" width="9.453125" style="19" bestFit="1" customWidth="1"/>
    <col min="9490" max="9490" width="10.1796875" style="19" bestFit="1" customWidth="1"/>
    <col min="9491" max="9491" width="9.54296875" style="19" bestFit="1" customWidth="1"/>
    <col min="9492" max="9492" width="9.453125" style="19" bestFit="1" customWidth="1"/>
    <col min="9493" max="9495" width="9.26953125" style="19" bestFit="1" customWidth="1"/>
    <col min="9496" max="9496" width="3.26953125" style="19" customWidth="1"/>
    <col min="9497" max="9497" width="10.1796875" style="19" bestFit="1" customWidth="1"/>
    <col min="9498" max="9505" width="9.453125" style="19" bestFit="1" customWidth="1"/>
    <col min="9506" max="9506" width="9.26953125" style="19" customWidth="1"/>
    <col min="9507" max="9507" width="3.26953125" style="19" customWidth="1"/>
    <col min="9508" max="9508" width="10.1796875" style="19" bestFit="1" customWidth="1"/>
    <col min="9509" max="9512" width="9.453125" style="19" bestFit="1" customWidth="1"/>
    <col min="9513" max="9515" width="9.26953125" style="19" bestFit="1" customWidth="1"/>
    <col min="9516" max="9516" width="3.26953125" style="19" customWidth="1"/>
    <col min="9517" max="9523" width="9" style="19" customWidth="1"/>
    <col min="9524" max="9524" width="3.1796875" style="19" customWidth="1"/>
    <col min="9525" max="9527" width="9.26953125" style="19" bestFit="1" customWidth="1"/>
    <col min="9528" max="9528" width="3.26953125" style="19" customWidth="1"/>
    <col min="9529" max="9531" width="9.26953125" style="19" bestFit="1" customWidth="1"/>
    <col min="9532" max="9532" width="6.54296875" style="19" customWidth="1"/>
    <col min="9533" max="9533" width="3.26953125" style="19" customWidth="1"/>
    <col min="9534" max="9537" width="9.26953125" style="19" bestFit="1" customWidth="1"/>
    <col min="9538" max="9538" width="3.26953125" style="19" customWidth="1"/>
    <col min="9539" max="9541" width="9.26953125" style="19" bestFit="1" customWidth="1"/>
    <col min="9542" max="9542" width="10" style="19" bestFit="1" customWidth="1"/>
    <col min="9543" max="9543" width="3.26953125" style="19" customWidth="1"/>
    <col min="9544" max="9544" width="9.26953125" style="19" bestFit="1" customWidth="1"/>
    <col min="9545" max="9546" width="10" style="19" customWidth="1"/>
    <col min="9547" max="9547" width="3.26953125" style="19" customWidth="1"/>
    <col min="9548" max="9556" width="9.26953125" style="19" bestFit="1" customWidth="1"/>
    <col min="9557" max="9557" width="3.26953125" style="19" customWidth="1"/>
    <col min="9558" max="9561" width="9.26953125" style="19" bestFit="1" customWidth="1"/>
    <col min="9562" max="9562" width="10" style="19" bestFit="1" customWidth="1"/>
    <col min="9563" max="9563" width="9.26953125" style="19" bestFit="1" customWidth="1"/>
    <col min="9564" max="9564" width="10" style="19" bestFit="1" customWidth="1"/>
    <col min="9565" max="9565" width="9.26953125" style="19" bestFit="1" customWidth="1"/>
    <col min="9566" max="9566" width="3.26953125" style="19" customWidth="1"/>
    <col min="9567" max="9567" width="9.54296875" style="19" bestFit="1" customWidth="1"/>
    <col min="9568" max="9574" width="9.26953125" style="19" bestFit="1" customWidth="1"/>
    <col min="9575" max="9729" width="8.7265625" style="19"/>
    <col min="9730" max="9730" width="9.54296875" style="19" customWidth="1"/>
    <col min="9731" max="9731" width="6.26953125" style="19" customWidth="1"/>
    <col min="9732" max="9732" width="3.26953125" style="19" customWidth="1"/>
    <col min="9733" max="9733" width="9.54296875" style="19" bestFit="1" customWidth="1"/>
    <col min="9734" max="9741" width="9.26953125" style="19" bestFit="1" customWidth="1"/>
    <col min="9742" max="9742" width="3.26953125" style="19" customWidth="1"/>
    <col min="9743" max="9744" width="9.26953125" style="19" bestFit="1" customWidth="1"/>
    <col min="9745" max="9745" width="9.453125" style="19" bestFit="1" customWidth="1"/>
    <col min="9746" max="9746" width="10.1796875" style="19" bestFit="1" customWidth="1"/>
    <col min="9747" max="9747" width="9.54296875" style="19" bestFit="1" customWidth="1"/>
    <col min="9748" max="9748" width="9.453125" style="19" bestFit="1" customWidth="1"/>
    <col min="9749" max="9751" width="9.26953125" style="19" bestFit="1" customWidth="1"/>
    <col min="9752" max="9752" width="3.26953125" style="19" customWidth="1"/>
    <col min="9753" max="9753" width="10.1796875" style="19" bestFit="1" customWidth="1"/>
    <col min="9754" max="9761" width="9.453125" style="19" bestFit="1" customWidth="1"/>
    <col min="9762" max="9762" width="9.26953125" style="19" customWidth="1"/>
    <col min="9763" max="9763" width="3.26953125" style="19" customWidth="1"/>
    <col min="9764" max="9764" width="10.1796875" style="19" bestFit="1" customWidth="1"/>
    <col min="9765" max="9768" width="9.453125" style="19" bestFit="1" customWidth="1"/>
    <col min="9769" max="9771" width="9.26953125" style="19" bestFit="1" customWidth="1"/>
    <col min="9772" max="9772" width="3.26953125" style="19" customWidth="1"/>
    <col min="9773" max="9779" width="9" style="19" customWidth="1"/>
    <col min="9780" max="9780" width="3.1796875" style="19" customWidth="1"/>
    <col min="9781" max="9783" width="9.26953125" style="19" bestFit="1" customWidth="1"/>
    <col min="9784" max="9784" width="3.26953125" style="19" customWidth="1"/>
    <col min="9785" max="9787" width="9.26953125" style="19" bestFit="1" customWidth="1"/>
    <col min="9788" max="9788" width="6.54296875" style="19" customWidth="1"/>
    <col min="9789" max="9789" width="3.26953125" style="19" customWidth="1"/>
    <col min="9790" max="9793" width="9.26953125" style="19" bestFit="1" customWidth="1"/>
    <col min="9794" max="9794" width="3.26953125" style="19" customWidth="1"/>
    <col min="9795" max="9797" width="9.26953125" style="19" bestFit="1" customWidth="1"/>
    <col min="9798" max="9798" width="10" style="19" bestFit="1" customWidth="1"/>
    <col min="9799" max="9799" width="3.26953125" style="19" customWidth="1"/>
    <col min="9800" max="9800" width="9.26953125" style="19" bestFit="1" customWidth="1"/>
    <col min="9801" max="9802" width="10" style="19" customWidth="1"/>
    <col min="9803" max="9803" width="3.26953125" style="19" customWidth="1"/>
    <col min="9804" max="9812" width="9.26953125" style="19" bestFit="1" customWidth="1"/>
    <col min="9813" max="9813" width="3.26953125" style="19" customWidth="1"/>
    <col min="9814" max="9817" width="9.26953125" style="19" bestFit="1" customWidth="1"/>
    <col min="9818" max="9818" width="10" style="19" bestFit="1" customWidth="1"/>
    <col min="9819" max="9819" width="9.26953125" style="19" bestFit="1" customWidth="1"/>
    <col min="9820" max="9820" width="10" style="19" bestFit="1" customWidth="1"/>
    <col min="9821" max="9821" width="9.26953125" style="19" bestFit="1" customWidth="1"/>
    <col min="9822" max="9822" width="3.26953125" style="19" customWidth="1"/>
    <col min="9823" max="9823" width="9.54296875" style="19" bestFit="1" customWidth="1"/>
    <col min="9824" max="9830" width="9.26953125" style="19" bestFit="1" customWidth="1"/>
    <col min="9831" max="9985" width="8.7265625" style="19"/>
    <col min="9986" max="9986" width="9.54296875" style="19" customWidth="1"/>
    <col min="9987" max="9987" width="6.26953125" style="19" customWidth="1"/>
    <col min="9988" max="9988" width="3.26953125" style="19" customWidth="1"/>
    <col min="9989" max="9989" width="9.54296875" style="19" bestFit="1" customWidth="1"/>
    <col min="9990" max="9997" width="9.26953125" style="19" bestFit="1" customWidth="1"/>
    <col min="9998" max="9998" width="3.26953125" style="19" customWidth="1"/>
    <col min="9999" max="10000" width="9.26953125" style="19" bestFit="1" customWidth="1"/>
    <col min="10001" max="10001" width="9.453125" style="19" bestFit="1" customWidth="1"/>
    <col min="10002" max="10002" width="10.1796875" style="19" bestFit="1" customWidth="1"/>
    <col min="10003" max="10003" width="9.54296875" style="19" bestFit="1" customWidth="1"/>
    <col min="10004" max="10004" width="9.453125" style="19" bestFit="1" customWidth="1"/>
    <col min="10005" max="10007" width="9.26953125" style="19" bestFit="1" customWidth="1"/>
    <col min="10008" max="10008" width="3.26953125" style="19" customWidth="1"/>
    <col min="10009" max="10009" width="10.1796875" style="19" bestFit="1" customWidth="1"/>
    <col min="10010" max="10017" width="9.453125" style="19" bestFit="1" customWidth="1"/>
    <col min="10018" max="10018" width="9.26953125" style="19" customWidth="1"/>
    <col min="10019" max="10019" width="3.26953125" style="19" customWidth="1"/>
    <col min="10020" max="10020" width="10.1796875" style="19" bestFit="1" customWidth="1"/>
    <col min="10021" max="10024" width="9.453125" style="19" bestFit="1" customWidth="1"/>
    <col min="10025" max="10027" width="9.26953125" style="19" bestFit="1" customWidth="1"/>
    <col min="10028" max="10028" width="3.26953125" style="19" customWidth="1"/>
    <col min="10029" max="10035" width="9" style="19" customWidth="1"/>
    <col min="10036" max="10036" width="3.1796875" style="19" customWidth="1"/>
    <col min="10037" max="10039" width="9.26953125" style="19" bestFit="1" customWidth="1"/>
    <col min="10040" max="10040" width="3.26953125" style="19" customWidth="1"/>
    <col min="10041" max="10043" width="9.26953125" style="19" bestFit="1" customWidth="1"/>
    <col min="10044" max="10044" width="6.54296875" style="19" customWidth="1"/>
    <col min="10045" max="10045" width="3.26953125" style="19" customWidth="1"/>
    <col min="10046" max="10049" width="9.26953125" style="19" bestFit="1" customWidth="1"/>
    <col min="10050" max="10050" width="3.26953125" style="19" customWidth="1"/>
    <col min="10051" max="10053" width="9.26953125" style="19" bestFit="1" customWidth="1"/>
    <col min="10054" max="10054" width="10" style="19" bestFit="1" customWidth="1"/>
    <col min="10055" max="10055" width="3.26953125" style="19" customWidth="1"/>
    <col min="10056" max="10056" width="9.26953125" style="19" bestFit="1" customWidth="1"/>
    <col min="10057" max="10058" width="10" style="19" customWidth="1"/>
    <col min="10059" max="10059" width="3.26953125" style="19" customWidth="1"/>
    <col min="10060" max="10068" width="9.26953125" style="19" bestFit="1" customWidth="1"/>
    <col min="10069" max="10069" width="3.26953125" style="19" customWidth="1"/>
    <col min="10070" max="10073" width="9.26953125" style="19" bestFit="1" customWidth="1"/>
    <col min="10074" max="10074" width="10" style="19" bestFit="1" customWidth="1"/>
    <col min="10075" max="10075" width="9.26953125" style="19" bestFit="1" customWidth="1"/>
    <col min="10076" max="10076" width="10" style="19" bestFit="1" customWidth="1"/>
    <col min="10077" max="10077" width="9.26953125" style="19" bestFit="1" customWidth="1"/>
    <col min="10078" max="10078" width="3.26953125" style="19" customWidth="1"/>
    <col min="10079" max="10079" width="9.54296875" style="19" bestFit="1" customWidth="1"/>
    <col min="10080" max="10086" width="9.26953125" style="19" bestFit="1" customWidth="1"/>
    <col min="10087" max="10241" width="8.7265625" style="19"/>
    <col min="10242" max="10242" width="9.54296875" style="19" customWidth="1"/>
    <col min="10243" max="10243" width="6.26953125" style="19" customWidth="1"/>
    <col min="10244" max="10244" width="3.26953125" style="19" customWidth="1"/>
    <col min="10245" max="10245" width="9.54296875" style="19" bestFit="1" customWidth="1"/>
    <col min="10246" max="10253" width="9.26953125" style="19" bestFit="1" customWidth="1"/>
    <col min="10254" max="10254" width="3.26953125" style="19" customWidth="1"/>
    <col min="10255" max="10256" width="9.26953125" style="19" bestFit="1" customWidth="1"/>
    <col min="10257" max="10257" width="9.453125" style="19" bestFit="1" customWidth="1"/>
    <col min="10258" max="10258" width="10.1796875" style="19" bestFit="1" customWidth="1"/>
    <col min="10259" max="10259" width="9.54296875" style="19" bestFit="1" customWidth="1"/>
    <col min="10260" max="10260" width="9.453125" style="19" bestFit="1" customWidth="1"/>
    <col min="10261" max="10263" width="9.26953125" style="19" bestFit="1" customWidth="1"/>
    <col min="10264" max="10264" width="3.26953125" style="19" customWidth="1"/>
    <col min="10265" max="10265" width="10.1796875" style="19" bestFit="1" customWidth="1"/>
    <col min="10266" max="10273" width="9.453125" style="19" bestFit="1" customWidth="1"/>
    <col min="10274" max="10274" width="9.26953125" style="19" customWidth="1"/>
    <col min="10275" max="10275" width="3.26953125" style="19" customWidth="1"/>
    <col min="10276" max="10276" width="10.1796875" style="19" bestFit="1" customWidth="1"/>
    <col min="10277" max="10280" width="9.453125" style="19" bestFit="1" customWidth="1"/>
    <col min="10281" max="10283" width="9.26953125" style="19" bestFit="1" customWidth="1"/>
    <col min="10284" max="10284" width="3.26953125" style="19" customWidth="1"/>
    <col min="10285" max="10291" width="9" style="19" customWidth="1"/>
    <col min="10292" max="10292" width="3.1796875" style="19" customWidth="1"/>
    <col min="10293" max="10295" width="9.26953125" style="19" bestFit="1" customWidth="1"/>
    <col min="10296" max="10296" width="3.26953125" style="19" customWidth="1"/>
    <col min="10297" max="10299" width="9.26953125" style="19" bestFit="1" customWidth="1"/>
    <col min="10300" max="10300" width="6.54296875" style="19" customWidth="1"/>
    <col min="10301" max="10301" width="3.26953125" style="19" customWidth="1"/>
    <col min="10302" max="10305" width="9.26953125" style="19" bestFit="1" customWidth="1"/>
    <col min="10306" max="10306" width="3.26953125" style="19" customWidth="1"/>
    <col min="10307" max="10309" width="9.26953125" style="19" bestFit="1" customWidth="1"/>
    <col min="10310" max="10310" width="10" style="19" bestFit="1" customWidth="1"/>
    <col min="10311" max="10311" width="3.26953125" style="19" customWidth="1"/>
    <col min="10312" max="10312" width="9.26953125" style="19" bestFit="1" customWidth="1"/>
    <col min="10313" max="10314" width="10" style="19" customWidth="1"/>
    <col min="10315" max="10315" width="3.26953125" style="19" customWidth="1"/>
    <col min="10316" max="10324" width="9.26953125" style="19" bestFit="1" customWidth="1"/>
    <col min="10325" max="10325" width="3.26953125" style="19" customWidth="1"/>
    <col min="10326" max="10329" width="9.26953125" style="19" bestFit="1" customWidth="1"/>
    <col min="10330" max="10330" width="10" style="19" bestFit="1" customWidth="1"/>
    <col min="10331" max="10331" width="9.26953125" style="19" bestFit="1" customWidth="1"/>
    <col min="10332" max="10332" width="10" style="19" bestFit="1" customWidth="1"/>
    <col min="10333" max="10333" width="9.26953125" style="19" bestFit="1" customWidth="1"/>
    <col min="10334" max="10334" width="3.26953125" style="19" customWidth="1"/>
    <col min="10335" max="10335" width="9.54296875" style="19" bestFit="1" customWidth="1"/>
    <col min="10336" max="10342" width="9.26953125" style="19" bestFit="1" customWidth="1"/>
    <col min="10343" max="10497" width="8.7265625" style="19"/>
    <col min="10498" max="10498" width="9.54296875" style="19" customWidth="1"/>
    <col min="10499" max="10499" width="6.26953125" style="19" customWidth="1"/>
    <col min="10500" max="10500" width="3.26953125" style="19" customWidth="1"/>
    <col min="10501" max="10501" width="9.54296875" style="19" bestFit="1" customWidth="1"/>
    <col min="10502" max="10509" width="9.26953125" style="19" bestFit="1" customWidth="1"/>
    <col min="10510" max="10510" width="3.26953125" style="19" customWidth="1"/>
    <col min="10511" max="10512" width="9.26953125" style="19" bestFit="1" customWidth="1"/>
    <col min="10513" max="10513" width="9.453125" style="19" bestFit="1" customWidth="1"/>
    <col min="10514" max="10514" width="10.1796875" style="19" bestFit="1" customWidth="1"/>
    <col min="10515" max="10515" width="9.54296875" style="19" bestFit="1" customWidth="1"/>
    <col min="10516" max="10516" width="9.453125" style="19" bestFit="1" customWidth="1"/>
    <col min="10517" max="10519" width="9.26953125" style="19" bestFit="1" customWidth="1"/>
    <col min="10520" max="10520" width="3.26953125" style="19" customWidth="1"/>
    <col min="10521" max="10521" width="10.1796875" style="19" bestFit="1" customWidth="1"/>
    <col min="10522" max="10529" width="9.453125" style="19" bestFit="1" customWidth="1"/>
    <col min="10530" max="10530" width="9.26953125" style="19" customWidth="1"/>
    <col min="10531" max="10531" width="3.26953125" style="19" customWidth="1"/>
    <col min="10532" max="10532" width="10.1796875" style="19" bestFit="1" customWidth="1"/>
    <col min="10533" max="10536" width="9.453125" style="19" bestFit="1" customWidth="1"/>
    <col min="10537" max="10539" width="9.26953125" style="19" bestFit="1" customWidth="1"/>
    <col min="10540" max="10540" width="3.26953125" style="19" customWidth="1"/>
    <col min="10541" max="10547" width="9" style="19" customWidth="1"/>
    <col min="10548" max="10548" width="3.1796875" style="19" customWidth="1"/>
    <col min="10549" max="10551" width="9.26953125" style="19" bestFit="1" customWidth="1"/>
    <col min="10552" max="10552" width="3.26953125" style="19" customWidth="1"/>
    <col min="10553" max="10555" width="9.26953125" style="19" bestFit="1" customWidth="1"/>
    <col min="10556" max="10556" width="6.54296875" style="19" customWidth="1"/>
    <col min="10557" max="10557" width="3.26953125" style="19" customWidth="1"/>
    <col min="10558" max="10561" width="9.26953125" style="19" bestFit="1" customWidth="1"/>
    <col min="10562" max="10562" width="3.26953125" style="19" customWidth="1"/>
    <col min="10563" max="10565" width="9.26953125" style="19" bestFit="1" customWidth="1"/>
    <col min="10566" max="10566" width="10" style="19" bestFit="1" customWidth="1"/>
    <col min="10567" max="10567" width="3.26953125" style="19" customWidth="1"/>
    <col min="10568" max="10568" width="9.26953125" style="19" bestFit="1" customWidth="1"/>
    <col min="10569" max="10570" width="10" style="19" customWidth="1"/>
    <col min="10571" max="10571" width="3.26953125" style="19" customWidth="1"/>
    <col min="10572" max="10580" width="9.26953125" style="19" bestFit="1" customWidth="1"/>
    <col min="10581" max="10581" width="3.26953125" style="19" customWidth="1"/>
    <col min="10582" max="10585" width="9.26953125" style="19" bestFit="1" customWidth="1"/>
    <col min="10586" max="10586" width="10" style="19" bestFit="1" customWidth="1"/>
    <col min="10587" max="10587" width="9.26953125" style="19" bestFit="1" customWidth="1"/>
    <col min="10588" max="10588" width="10" style="19" bestFit="1" customWidth="1"/>
    <col min="10589" max="10589" width="9.26953125" style="19" bestFit="1" customWidth="1"/>
    <col min="10590" max="10590" width="3.26953125" style="19" customWidth="1"/>
    <col min="10591" max="10591" width="9.54296875" style="19" bestFit="1" customWidth="1"/>
    <col min="10592" max="10598" width="9.26953125" style="19" bestFit="1" customWidth="1"/>
    <col min="10599" max="10753" width="8.7265625" style="19"/>
    <col min="10754" max="10754" width="9.54296875" style="19" customWidth="1"/>
    <col min="10755" max="10755" width="6.26953125" style="19" customWidth="1"/>
    <col min="10756" max="10756" width="3.26953125" style="19" customWidth="1"/>
    <col min="10757" max="10757" width="9.54296875" style="19" bestFit="1" customWidth="1"/>
    <col min="10758" max="10765" width="9.26953125" style="19" bestFit="1" customWidth="1"/>
    <col min="10766" max="10766" width="3.26953125" style="19" customWidth="1"/>
    <col min="10767" max="10768" width="9.26953125" style="19" bestFit="1" customWidth="1"/>
    <col min="10769" max="10769" width="9.453125" style="19" bestFit="1" customWidth="1"/>
    <col min="10770" max="10770" width="10.1796875" style="19" bestFit="1" customWidth="1"/>
    <col min="10771" max="10771" width="9.54296875" style="19" bestFit="1" customWidth="1"/>
    <col min="10772" max="10772" width="9.453125" style="19" bestFit="1" customWidth="1"/>
    <col min="10773" max="10775" width="9.26953125" style="19" bestFit="1" customWidth="1"/>
    <col min="10776" max="10776" width="3.26953125" style="19" customWidth="1"/>
    <col min="10777" max="10777" width="10.1796875" style="19" bestFit="1" customWidth="1"/>
    <col min="10778" max="10785" width="9.453125" style="19" bestFit="1" customWidth="1"/>
    <col min="10786" max="10786" width="9.26953125" style="19" customWidth="1"/>
    <col min="10787" max="10787" width="3.26953125" style="19" customWidth="1"/>
    <col min="10788" max="10788" width="10.1796875" style="19" bestFit="1" customWidth="1"/>
    <col min="10789" max="10792" width="9.453125" style="19" bestFit="1" customWidth="1"/>
    <col min="10793" max="10795" width="9.26953125" style="19" bestFit="1" customWidth="1"/>
    <col min="10796" max="10796" width="3.26953125" style="19" customWidth="1"/>
    <col min="10797" max="10803" width="9" style="19" customWidth="1"/>
    <col min="10804" max="10804" width="3.1796875" style="19" customWidth="1"/>
    <col min="10805" max="10807" width="9.26953125" style="19" bestFit="1" customWidth="1"/>
    <col min="10808" max="10808" width="3.26953125" style="19" customWidth="1"/>
    <col min="10809" max="10811" width="9.26953125" style="19" bestFit="1" customWidth="1"/>
    <col min="10812" max="10812" width="6.54296875" style="19" customWidth="1"/>
    <col min="10813" max="10813" width="3.26953125" style="19" customWidth="1"/>
    <col min="10814" max="10817" width="9.26953125" style="19" bestFit="1" customWidth="1"/>
    <col min="10818" max="10818" width="3.26953125" style="19" customWidth="1"/>
    <col min="10819" max="10821" width="9.26953125" style="19" bestFit="1" customWidth="1"/>
    <col min="10822" max="10822" width="10" style="19" bestFit="1" customWidth="1"/>
    <col min="10823" max="10823" width="3.26953125" style="19" customWidth="1"/>
    <col min="10824" max="10824" width="9.26953125" style="19" bestFit="1" customWidth="1"/>
    <col min="10825" max="10826" width="10" style="19" customWidth="1"/>
    <col min="10827" max="10827" width="3.26953125" style="19" customWidth="1"/>
    <col min="10828" max="10836" width="9.26953125" style="19" bestFit="1" customWidth="1"/>
    <col min="10837" max="10837" width="3.26953125" style="19" customWidth="1"/>
    <col min="10838" max="10841" width="9.26953125" style="19" bestFit="1" customWidth="1"/>
    <col min="10842" max="10842" width="10" style="19" bestFit="1" customWidth="1"/>
    <col min="10843" max="10843" width="9.26953125" style="19" bestFit="1" customWidth="1"/>
    <col min="10844" max="10844" width="10" style="19" bestFit="1" customWidth="1"/>
    <col min="10845" max="10845" width="9.26953125" style="19" bestFit="1" customWidth="1"/>
    <col min="10846" max="10846" width="3.26953125" style="19" customWidth="1"/>
    <col min="10847" max="10847" width="9.54296875" style="19" bestFit="1" customWidth="1"/>
    <col min="10848" max="10854" width="9.26953125" style="19" bestFit="1" customWidth="1"/>
    <col min="10855" max="11009" width="8.7265625" style="19"/>
    <col min="11010" max="11010" width="9.54296875" style="19" customWidth="1"/>
    <col min="11011" max="11011" width="6.26953125" style="19" customWidth="1"/>
    <col min="11012" max="11012" width="3.26953125" style="19" customWidth="1"/>
    <col min="11013" max="11013" width="9.54296875" style="19" bestFit="1" customWidth="1"/>
    <col min="11014" max="11021" width="9.26953125" style="19" bestFit="1" customWidth="1"/>
    <col min="11022" max="11022" width="3.26953125" style="19" customWidth="1"/>
    <col min="11023" max="11024" width="9.26953125" style="19" bestFit="1" customWidth="1"/>
    <col min="11025" max="11025" width="9.453125" style="19" bestFit="1" customWidth="1"/>
    <col min="11026" max="11026" width="10.1796875" style="19" bestFit="1" customWidth="1"/>
    <col min="11027" max="11027" width="9.54296875" style="19" bestFit="1" customWidth="1"/>
    <col min="11028" max="11028" width="9.453125" style="19" bestFit="1" customWidth="1"/>
    <col min="11029" max="11031" width="9.26953125" style="19" bestFit="1" customWidth="1"/>
    <col min="11032" max="11032" width="3.26953125" style="19" customWidth="1"/>
    <col min="11033" max="11033" width="10.1796875" style="19" bestFit="1" customWidth="1"/>
    <col min="11034" max="11041" width="9.453125" style="19" bestFit="1" customWidth="1"/>
    <col min="11042" max="11042" width="9.26953125" style="19" customWidth="1"/>
    <col min="11043" max="11043" width="3.26953125" style="19" customWidth="1"/>
    <col min="11044" max="11044" width="10.1796875" style="19" bestFit="1" customWidth="1"/>
    <col min="11045" max="11048" width="9.453125" style="19" bestFit="1" customWidth="1"/>
    <col min="11049" max="11051" width="9.26953125" style="19" bestFit="1" customWidth="1"/>
    <col min="11052" max="11052" width="3.26953125" style="19" customWidth="1"/>
    <col min="11053" max="11059" width="9" style="19" customWidth="1"/>
    <col min="11060" max="11060" width="3.1796875" style="19" customWidth="1"/>
    <col min="11061" max="11063" width="9.26953125" style="19" bestFit="1" customWidth="1"/>
    <col min="11064" max="11064" width="3.26953125" style="19" customWidth="1"/>
    <col min="11065" max="11067" width="9.26953125" style="19" bestFit="1" customWidth="1"/>
    <col min="11068" max="11068" width="6.54296875" style="19" customWidth="1"/>
    <col min="11069" max="11069" width="3.26953125" style="19" customWidth="1"/>
    <col min="11070" max="11073" width="9.26953125" style="19" bestFit="1" customWidth="1"/>
    <col min="11074" max="11074" width="3.26953125" style="19" customWidth="1"/>
    <col min="11075" max="11077" width="9.26953125" style="19" bestFit="1" customWidth="1"/>
    <col min="11078" max="11078" width="10" style="19" bestFit="1" customWidth="1"/>
    <col min="11079" max="11079" width="3.26953125" style="19" customWidth="1"/>
    <col min="11080" max="11080" width="9.26953125" style="19" bestFit="1" customWidth="1"/>
    <col min="11081" max="11082" width="10" style="19" customWidth="1"/>
    <col min="11083" max="11083" width="3.26953125" style="19" customWidth="1"/>
    <col min="11084" max="11092" width="9.26953125" style="19" bestFit="1" customWidth="1"/>
    <col min="11093" max="11093" width="3.26953125" style="19" customWidth="1"/>
    <col min="11094" max="11097" width="9.26953125" style="19" bestFit="1" customWidth="1"/>
    <col min="11098" max="11098" width="10" style="19" bestFit="1" customWidth="1"/>
    <col min="11099" max="11099" width="9.26953125" style="19" bestFit="1" customWidth="1"/>
    <col min="11100" max="11100" width="10" style="19" bestFit="1" customWidth="1"/>
    <col min="11101" max="11101" width="9.26953125" style="19" bestFit="1" customWidth="1"/>
    <col min="11102" max="11102" width="3.26953125" style="19" customWidth="1"/>
    <col min="11103" max="11103" width="9.54296875" style="19" bestFit="1" customWidth="1"/>
    <col min="11104" max="11110" width="9.26953125" style="19" bestFit="1" customWidth="1"/>
    <col min="11111" max="11265" width="8.7265625" style="19"/>
    <col min="11266" max="11266" width="9.54296875" style="19" customWidth="1"/>
    <col min="11267" max="11267" width="6.26953125" style="19" customWidth="1"/>
    <col min="11268" max="11268" width="3.26953125" style="19" customWidth="1"/>
    <col min="11269" max="11269" width="9.54296875" style="19" bestFit="1" customWidth="1"/>
    <col min="11270" max="11277" width="9.26953125" style="19" bestFit="1" customWidth="1"/>
    <col min="11278" max="11278" width="3.26953125" style="19" customWidth="1"/>
    <col min="11279" max="11280" width="9.26953125" style="19" bestFit="1" customWidth="1"/>
    <col min="11281" max="11281" width="9.453125" style="19" bestFit="1" customWidth="1"/>
    <col min="11282" max="11282" width="10.1796875" style="19" bestFit="1" customWidth="1"/>
    <col min="11283" max="11283" width="9.54296875" style="19" bestFit="1" customWidth="1"/>
    <col min="11284" max="11284" width="9.453125" style="19" bestFit="1" customWidth="1"/>
    <col min="11285" max="11287" width="9.26953125" style="19" bestFit="1" customWidth="1"/>
    <col min="11288" max="11288" width="3.26953125" style="19" customWidth="1"/>
    <col min="11289" max="11289" width="10.1796875" style="19" bestFit="1" customWidth="1"/>
    <col min="11290" max="11297" width="9.453125" style="19" bestFit="1" customWidth="1"/>
    <col min="11298" max="11298" width="9.26953125" style="19" customWidth="1"/>
    <col min="11299" max="11299" width="3.26953125" style="19" customWidth="1"/>
    <col min="11300" max="11300" width="10.1796875" style="19" bestFit="1" customWidth="1"/>
    <col min="11301" max="11304" width="9.453125" style="19" bestFit="1" customWidth="1"/>
    <col min="11305" max="11307" width="9.26953125" style="19" bestFit="1" customWidth="1"/>
    <col min="11308" max="11308" width="3.26953125" style="19" customWidth="1"/>
    <col min="11309" max="11315" width="9" style="19" customWidth="1"/>
    <col min="11316" max="11316" width="3.1796875" style="19" customWidth="1"/>
    <col min="11317" max="11319" width="9.26953125" style="19" bestFit="1" customWidth="1"/>
    <col min="11320" max="11320" width="3.26953125" style="19" customWidth="1"/>
    <col min="11321" max="11323" width="9.26953125" style="19" bestFit="1" customWidth="1"/>
    <col min="11324" max="11324" width="6.54296875" style="19" customWidth="1"/>
    <col min="11325" max="11325" width="3.26953125" style="19" customWidth="1"/>
    <col min="11326" max="11329" width="9.26953125" style="19" bestFit="1" customWidth="1"/>
    <col min="11330" max="11330" width="3.26953125" style="19" customWidth="1"/>
    <col min="11331" max="11333" width="9.26953125" style="19" bestFit="1" customWidth="1"/>
    <col min="11334" max="11334" width="10" style="19" bestFit="1" customWidth="1"/>
    <col min="11335" max="11335" width="3.26953125" style="19" customWidth="1"/>
    <col min="11336" max="11336" width="9.26953125" style="19" bestFit="1" customWidth="1"/>
    <col min="11337" max="11338" width="10" style="19" customWidth="1"/>
    <col min="11339" max="11339" width="3.26953125" style="19" customWidth="1"/>
    <col min="11340" max="11348" width="9.26953125" style="19" bestFit="1" customWidth="1"/>
    <col min="11349" max="11349" width="3.26953125" style="19" customWidth="1"/>
    <col min="11350" max="11353" width="9.26953125" style="19" bestFit="1" customWidth="1"/>
    <col min="11354" max="11354" width="10" style="19" bestFit="1" customWidth="1"/>
    <col min="11355" max="11355" width="9.26953125" style="19" bestFit="1" customWidth="1"/>
    <col min="11356" max="11356" width="10" style="19" bestFit="1" customWidth="1"/>
    <col min="11357" max="11357" width="9.26953125" style="19" bestFit="1" customWidth="1"/>
    <col min="11358" max="11358" width="3.26953125" style="19" customWidth="1"/>
    <col min="11359" max="11359" width="9.54296875" style="19" bestFit="1" customWidth="1"/>
    <col min="11360" max="11366" width="9.26953125" style="19" bestFit="1" customWidth="1"/>
    <col min="11367" max="11521" width="8.7265625" style="19"/>
    <col min="11522" max="11522" width="9.54296875" style="19" customWidth="1"/>
    <col min="11523" max="11523" width="6.26953125" style="19" customWidth="1"/>
    <col min="11524" max="11524" width="3.26953125" style="19" customWidth="1"/>
    <col min="11525" max="11525" width="9.54296875" style="19" bestFit="1" customWidth="1"/>
    <col min="11526" max="11533" width="9.26953125" style="19" bestFit="1" customWidth="1"/>
    <col min="11534" max="11534" width="3.26953125" style="19" customWidth="1"/>
    <col min="11535" max="11536" width="9.26953125" style="19" bestFit="1" customWidth="1"/>
    <col min="11537" max="11537" width="9.453125" style="19" bestFit="1" customWidth="1"/>
    <col min="11538" max="11538" width="10.1796875" style="19" bestFit="1" customWidth="1"/>
    <col min="11539" max="11539" width="9.54296875" style="19" bestFit="1" customWidth="1"/>
    <col min="11540" max="11540" width="9.453125" style="19" bestFit="1" customWidth="1"/>
    <col min="11541" max="11543" width="9.26953125" style="19" bestFit="1" customWidth="1"/>
    <col min="11544" max="11544" width="3.26953125" style="19" customWidth="1"/>
    <col min="11545" max="11545" width="10.1796875" style="19" bestFit="1" customWidth="1"/>
    <col min="11546" max="11553" width="9.453125" style="19" bestFit="1" customWidth="1"/>
    <col min="11554" max="11554" width="9.26953125" style="19" customWidth="1"/>
    <col min="11555" max="11555" width="3.26953125" style="19" customWidth="1"/>
    <col min="11556" max="11556" width="10.1796875" style="19" bestFit="1" customWidth="1"/>
    <col min="11557" max="11560" width="9.453125" style="19" bestFit="1" customWidth="1"/>
    <col min="11561" max="11563" width="9.26953125" style="19" bestFit="1" customWidth="1"/>
    <col min="11564" max="11564" width="3.26953125" style="19" customWidth="1"/>
    <col min="11565" max="11571" width="9" style="19" customWidth="1"/>
    <col min="11572" max="11572" width="3.1796875" style="19" customWidth="1"/>
    <col min="11573" max="11575" width="9.26953125" style="19" bestFit="1" customWidth="1"/>
    <col min="11576" max="11576" width="3.26953125" style="19" customWidth="1"/>
    <col min="11577" max="11579" width="9.26953125" style="19" bestFit="1" customWidth="1"/>
    <col min="11580" max="11580" width="6.54296875" style="19" customWidth="1"/>
    <col min="11581" max="11581" width="3.26953125" style="19" customWidth="1"/>
    <col min="11582" max="11585" width="9.26953125" style="19" bestFit="1" customWidth="1"/>
    <col min="11586" max="11586" width="3.26953125" style="19" customWidth="1"/>
    <col min="11587" max="11589" width="9.26953125" style="19" bestFit="1" customWidth="1"/>
    <col min="11590" max="11590" width="10" style="19" bestFit="1" customWidth="1"/>
    <col min="11591" max="11591" width="3.26953125" style="19" customWidth="1"/>
    <col min="11592" max="11592" width="9.26953125" style="19" bestFit="1" customWidth="1"/>
    <col min="11593" max="11594" width="10" style="19" customWidth="1"/>
    <col min="11595" max="11595" width="3.26953125" style="19" customWidth="1"/>
    <col min="11596" max="11604" width="9.26953125" style="19" bestFit="1" customWidth="1"/>
    <col min="11605" max="11605" width="3.26953125" style="19" customWidth="1"/>
    <col min="11606" max="11609" width="9.26953125" style="19" bestFit="1" customWidth="1"/>
    <col min="11610" max="11610" width="10" style="19" bestFit="1" customWidth="1"/>
    <col min="11611" max="11611" width="9.26953125" style="19" bestFit="1" customWidth="1"/>
    <col min="11612" max="11612" width="10" style="19" bestFit="1" customWidth="1"/>
    <col min="11613" max="11613" width="9.26953125" style="19" bestFit="1" customWidth="1"/>
    <col min="11614" max="11614" width="3.26953125" style="19" customWidth="1"/>
    <col min="11615" max="11615" width="9.54296875" style="19" bestFit="1" customWidth="1"/>
    <col min="11616" max="11622" width="9.26953125" style="19" bestFit="1" customWidth="1"/>
    <col min="11623" max="11777" width="8.7265625" style="19"/>
    <col min="11778" max="11778" width="9.54296875" style="19" customWidth="1"/>
    <col min="11779" max="11779" width="6.26953125" style="19" customWidth="1"/>
    <col min="11780" max="11780" width="3.26953125" style="19" customWidth="1"/>
    <col min="11781" max="11781" width="9.54296875" style="19" bestFit="1" customWidth="1"/>
    <col min="11782" max="11789" width="9.26953125" style="19" bestFit="1" customWidth="1"/>
    <col min="11790" max="11790" width="3.26953125" style="19" customWidth="1"/>
    <col min="11791" max="11792" width="9.26953125" style="19" bestFit="1" customWidth="1"/>
    <col min="11793" max="11793" width="9.453125" style="19" bestFit="1" customWidth="1"/>
    <col min="11794" max="11794" width="10.1796875" style="19" bestFit="1" customWidth="1"/>
    <col min="11795" max="11795" width="9.54296875" style="19" bestFit="1" customWidth="1"/>
    <col min="11796" max="11796" width="9.453125" style="19" bestFit="1" customWidth="1"/>
    <col min="11797" max="11799" width="9.26953125" style="19" bestFit="1" customWidth="1"/>
    <col min="11800" max="11800" width="3.26953125" style="19" customWidth="1"/>
    <col min="11801" max="11801" width="10.1796875" style="19" bestFit="1" customWidth="1"/>
    <col min="11802" max="11809" width="9.453125" style="19" bestFit="1" customWidth="1"/>
    <col min="11810" max="11810" width="9.26953125" style="19" customWidth="1"/>
    <col min="11811" max="11811" width="3.26953125" style="19" customWidth="1"/>
    <col min="11812" max="11812" width="10.1796875" style="19" bestFit="1" customWidth="1"/>
    <col min="11813" max="11816" width="9.453125" style="19" bestFit="1" customWidth="1"/>
    <col min="11817" max="11819" width="9.26953125" style="19" bestFit="1" customWidth="1"/>
    <col min="11820" max="11820" width="3.26953125" style="19" customWidth="1"/>
    <col min="11821" max="11827" width="9" style="19" customWidth="1"/>
    <col min="11828" max="11828" width="3.1796875" style="19" customWidth="1"/>
    <col min="11829" max="11831" width="9.26953125" style="19" bestFit="1" customWidth="1"/>
    <col min="11832" max="11832" width="3.26953125" style="19" customWidth="1"/>
    <col min="11833" max="11835" width="9.26953125" style="19" bestFit="1" customWidth="1"/>
    <col min="11836" max="11836" width="6.54296875" style="19" customWidth="1"/>
    <col min="11837" max="11837" width="3.26953125" style="19" customWidth="1"/>
    <col min="11838" max="11841" width="9.26953125" style="19" bestFit="1" customWidth="1"/>
    <col min="11842" max="11842" width="3.26953125" style="19" customWidth="1"/>
    <col min="11843" max="11845" width="9.26953125" style="19" bestFit="1" customWidth="1"/>
    <col min="11846" max="11846" width="10" style="19" bestFit="1" customWidth="1"/>
    <col min="11847" max="11847" width="3.26953125" style="19" customWidth="1"/>
    <col min="11848" max="11848" width="9.26953125" style="19" bestFit="1" customWidth="1"/>
    <col min="11849" max="11850" width="10" style="19" customWidth="1"/>
    <col min="11851" max="11851" width="3.26953125" style="19" customWidth="1"/>
    <col min="11852" max="11860" width="9.26953125" style="19" bestFit="1" customWidth="1"/>
    <col min="11861" max="11861" width="3.26953125" style="19" customWidth="1"/>
    <col min="11862" max="11865" width="9.26953125" style="19" bestFit="1" customWidth="1"/>
    <col min="11866" max="11866" width="10" style="19" bestFit="1" customWidth="1"/>
    <col min="11867" max="11867" width="9.26953125" style="19" bestFit="1" customWidth="1"/>
    <col min="11868" max="11868" width="10" style="19" bestFit="1" customWidth="1"/>
    <col min="11869" max="11869" width="9.26953125" style="19" bestFit="1" customWidth="1"/>
    <col min="11870" max="11870" width="3.26953125" style="19" customWidth="1"/>
    <col min="11871" max="11871" width="9.54296875" style="19" bestFit="1" customWidth="1"/>
    <col min="11872" max="11878" width="9.26953125" style="19" bestFit="1" customWidth="1"/>
    <col min="11879" max="12033" width="8.7265625" style="19"/>
    <col min="12034" max="12034" width="9.54296875" style="19" customWidth="1"/>
    <col min="12035" max="12035" width="6.26953125" style="19" customWidth="1"/>
    <col min="12036" max="12036" width="3.26953125" style="19" customWidth="1"/>
    <col min="12037" max="12037" width="9.54296875" style="19" bestFit="1" customWidth="1"/>
    <col min="12038" max="12045" width="9.26953125" style="19" bestFit="1" customWidth="1"/>
    <col min="12046" max="12046" width="3.26953125" style="19" customWidth="1"/>
    <col min="12047" max="12048" width="9.26953125" style="19" bestFit="1" customWidth="1"/>
    <col min="12049" max="12049" width="9.453125" style="19" bestFit="1" customWidth="1"/>
    <col min="12050" max="12050" width="10.1796875" style="19" bestFit="1" customWidth="1"/>
    <col min="12051" max="12051" width="9.54296875" style="19" bestFit="1" customWidth="1"/>
    <col min="12052" max="12052" width="9.453125" style="19" bestFit="1" customWidth="1"/>
    <col min="12053" max="12055" width="9.26953125" style="19" bestFit="1" customWidth="1"/>
    <col min="12056" max="12056" width="3.26953125" style="19" customWidth="1"/>
    <col min="12057" max="12057" width="10.1796875" style="19" bestFit="1" customWidth="1"/>
    <col min="12058" max="12065" width="9.453125" style="19" bestFit="1" customWidth="1"/>
    <col min="12066" max="12066" width="9.26953125" style="19" customWidth="1"/>
    <col min="12067" max="12067" width="3.26953125" style="19" customWidth="1"/>
    <col min="12068" max="12068" width="10.1796875" style="19" bestFit="1" customWidth="1"/>
    <col min="12069" max="12072" width="9.453125" style="19" bestFit="1" customWidth="1"/>
    <col min="12073" max="12075" width="9.26953125" style="19" bestFit="1" customWidth="1"/>
    <col min="12076" max="12076" width="3.26953125" style="19" customWidth="1"/>
    <col min="12077" max="12083" width="9" style="19" customWidth="1"/>
    <col min="12084" max="12084" width="3.1796875" style="19" customWidth="1"/>
    <col min="12085" max="12087" width="9.26953125" style="19" bestFit="1" customWidth="1"/>
    <col min="12088" max="12088" width="3.26953125" style="19" customWidth="1"/>
    <col min="12089" max="12091" width="9.26953125" style="19" bestFit="1" customWidth="1"/>
    <col min="12092" max="12092" width="6.54296875" style="19" customWidth="1"/>
    <col min="12093" max="12093" width="3.26953125" style="19" customWidth="1"/>
    <col min="12094" max="12097" width="9.26953125" style="19" bestFit="1" customWidth="1"/>
    <col min="12098" max="12098" width="3.26953125" style="19" customWidth="1"/>
    <col min="12099" max="12101" width="9.26953125" style="19" bestFit="1" customWidth="1"/>
    <col min="12102" max="12102" width="10" style="19" bestFit="1" customWidth="1"/>
    <col min="12103" max="12103" width="3.26953125" style="19" customWidth="1"/>
    <col min="12104" max="12104" width="9.26953125" style="19" bestFit="1" customWidth="1"/>
    <col min="12105" max="12106" width="10" style="19" customWidth="1"/>
    <col min="12107" max="12107" width="3.26953125" style="19" customWidth="1"/>
    <col min="12108" max="12116" width="9.26953125" style="19" bestFit="1" customWidth="1"/>
    <col min="12117" max="12117" width="3.26953125" style="19" customWidth="1"/>
    <col min="12118" max="12121" width="9.26953125" style="19" bestFit="1" customWidth="1"/>
    <col min="12122" max="12122" width="10" style="19" bestFit="1" customWidth="1"/>
    <col min="12123" max="12123" width="9.26953125" style="19" bestFit="1" customWidth="1"/>
    <col min="12124" max="12124" width="10" style="19" bestFit="1" customWidth="1"/>
    <col min="12125" max="12125" width="9.26953125" style="19" bestFit="1" customWidth="1"/>
    <col min="12126" max="12126" width="3.26953125" style="19" customWidth="1"/>
    <col min="12127" max="12127" width="9.54296875" style="19" bestFit="1" customWidth="1"/>
    <col min="12128" max="12134" width="9.26953125" style="19" bestFit="1" customWidth="1"/>
    <col min="12135" max="12289" width="8.7265625" style="19"/>
    <col min="12290" max="12290" width="9.54296875" style="19" customWidth="1"/>
    <col min="12291" max="12291" width="6.26953125" style="19" customWidth="1"/>
    <col min="12292" max="12292" width="3.26953125" style="19" customWidth="1"/>
    <col min="12293" max="12293" width="9.54296875" style="19" bestFit="1" customWidth="1"/>
    <col min="12294" max="12301" width="9.26953125" style="19" bestFit="1" customWidth="1"/>
    <col min="12302" max="12302" width="3.26953125" style="19" customWidth="1"/>
    <col min="12303" max="12304" width="9.26953125" style="19" bestFit="1" customWidth="1"/>
    <col min="12305" max="12305" width="9.453125" style="19" bestFit="1" customWidth="1"/>
    <col min="12306" max="12306" width="10.1796875" style="19" bestFit="1" customWidth="1"/>
    <col min="12307" max="12307" width="9.54296875" style="19" bestFit="1" customWidth="1"/>
    <col min="12308" max="12308" width="9.453125" style="19" bestFit="1" customWidth="1"/>
    <col min="12309" max="12311" width="9.26953125" style="19" bestFit="1" customWidth="1"/>
    <col min="12312" max="12312" width="3.26953125" style="19" customWidth="1"/>
    <col min="12313" max="12313" width="10.1796875" style="19" bestFit="1" customWidth="1"/>
    <col min="12314" max="12321" width="9.453125" style="19" bestFit="1" customWidth="1"/>
    <col min="12322" max="12322" width="9.26953125" style="19" customWidth="1"/>
    <col min="12323" max="12323" width="3.26953125" style="19" customWidth="1"/>
    <col min="12324" max="12324" width="10.1796875" style="19" bestFit="1" customWidth="1"/>
    <col min="12325" max="12328" width="9.453125" style="19" bestFit="1" customWidth="1"/>
    <col min="12329" max="12331" width="9.26953125" style="19" bestFit="1" customWidth="1"/>
    <col min="12332" max="12332" width="3.26953125" style="19" customWidth="1"/>
    <col min="12333" max="12339" width="9" style="19" customWidth="1"/>
    <col min="12340" max="12340" width="3.1796875" style="19" customWidth="1"/>
    <col min="12341" max="12343" width="9.26953125" style="19" bestFit="1" customWidth="1"/>
    <col min="12344" max="12344" width="3.26953125" style="19" customWidth="1"/>
    <col min="12345" max="12347" width="9.26953125" style="19" bestFit="1" customWidth="1"/>
    <col min="12348" max="12348" width="6.54296875" style="19" customWidth="1"/>
    <col min="12349" max="12349" width="3.26953125" style="19" customWidth="1"/>
    <col min="12350" max="12353" width="9.26953125" style="19" bestFit="1" customWidth="1"/>
    <col min="12354" max="12354" width="3.26953125" style="19" customWidth="1"/>
    <col min="12355" max="12357" width="9.26953125" style="19" bestFit="1" customWidth="1"/>
    <col min="12358" max="12358" width="10" style="19" bestFit="1" customWidth="1"/>
    <col min="12359" max="12359" width="3.26953125" style="19" customWidth="1"/>
    <col min="12360" max="12360" width="9.26953125" style="19" bestFit="1" customWidth="1"/>
    <col min="12361" max="12362" width="10" style="19" customWidth="1"/>
    <col min="12363" max="12363" width="3.26953125" style="19" customWidth="1"/>
    <col min="12364" max="12372" width="9.26953125" style="19" bestFit="1" customWidth="1"/>
    <col min="12373" max="12373" width="3.26953125" style="19" customWidth="1"/>
    <col min="12374" max="12377" width="9.26953125" style="19" bestFit="1" customWidth="1"/>
    <col min="12378" max="12378" width="10" style="19" bestFit="1" customWidth="1"/>
    <col min="12379" max="12379" width="9.26953125" style="19" bestFit="1" customWidth="1"/>
    <col min="12380" max="12380" width="10" style="19" bestFit="1" customWidth="1"/>
    <col min="12381" max="12381" width="9.26953125" style="19" bestFit="1" customWidth="1"/>
    <col min="12382" max="12382" width="3.26953125" style="19" customWidth="1"/>
    <col min="12383" max="12383" width="9.54296875" style="19" bestFit="1" customWidth="1"/>
    <col min="12384" max="12390" width="9.26953125" style="19" bestFit="1" customWidth="1"/>
    <col min="12391" max="12545" width="8.7265625" style="19"/>
    <col min="12546" max="12546" width="9.54296875" style="19" customWidth="1"/>
    <col min="12547" max="12547" width="6.26953125" style="19" customWidth="1"/>
    <col min="12548" max="12548" width="3.26953125" style="19" customWidth="1"/>
    <col min="12549" max="12549" width="9.54296875" style="19" bestFit="1" customWidth="1"/>
    <col min="12550" max="12557" width="9.26953125" style="19" bestFit="1" customWidth="1"/>
    <col min="12558" max="12558" width="3.26953125" style="19" customWidth="1"/>
    <col min="12559" max="12560" width="9.26953125" style="19" bestFit="1" customWidth="1"/>
    <col min="12561" max="12561" width="9.453125" style="19" bestFit="1" customWidth="1"/>
    <col min="12562" max="12562" width="10.1796875" style="19" bestFit="1" customWidth="1"/>
    <col min="12563" max="12563" width="9.54296875" style="19" bestFit="1" customWidth="1"/>
    <col min="12564" max="12564" width="9.453125" style="19" bestFit="1" customWidth="1"/>
    <col min="12565" max="12567" width="9.26953125" style="19" bestFit="1" customWidth="1"/>
    <col min="12568" max="12568" width="3.26953125" style="19" customWidth="1"/>
    <col min="12569" max="12569" width="10.1796875" style="19" bestFit="1" customWidth="1"/>
    <col min="12570" max="12577" width="9.453125" style="19" bestFit="1" customWidth="1"/>
    <col min="12578" max="12578" width="9.26953125" style="19" customWidth="1"/>
    <col min="12579" max="12579" width="3.26953125" style="19" customWidth="1"/>
    <col min="12580" max="12580" width="10.1796875" style="19" bestFit="1" customWidth="1"/>
    <col min="12581" max="12584" width="9.453125" style="19" bestFit="1" customWidth="1"/>
    <col min="12585" max="12587" width="9.26953125" style="19" bestFit="1" customWidth="1"/>
    <col min="12588" max="12588" width="3.26953125" style="19" customWidth="1"/>
    <col min="12589" max="12595" width="9" style="19" customWidth="1"/>
    <col min="12596" max="12596" width="3.1796875" style="19" customWidth="1"/>
    <col min="12597" max="12599" width="9.26953125" style="19" bestFit="1" customWidth="1"/>
    <col min="12600" max="12600" width="3.26953125" style="19" customWidth="1"/>
    <col min="12601" max="12603" width="9.26953125" style="19" bestFit="1" customWidth="1"/>
    <col min="12604" max="12604" width="6.54296875" style="19" customWidth="1"/>
    <col min="12605" max="12605" width="3.26953125" style="19" customWidth="1"/>
    <col min="12606" max="12609" width="9.26953125" style="19" bestFit="1" customWidth="1"/>
    <col min="12610" max="12610" width="3.26953125" style="19" customWidth="1"/>
    <col min="12611" max="12613" width="9.26953125" style="19" bestFit="1" customWidth="1"/>
    <col min="12614" max="12614" width="10" style="19" bestFit="1" customWidth="1"/>
    <col min="12615" max="12615" width="3.26953125" style="19" customWidth="1"/>
    <col min="12616" max="12616" width="9.26953125" style="19" bestFit="1" customWidth="1"/>
    <col min="12617" max="12618" width="10" style="19" customWidth="1"/>
    <col min="12619" max="12619" width="3.26953125" style="19" customWidth="1"/>
    <col min="12620" max="12628" width="9.26953125" style="19" bestFit="1" customWidth="1"/>
    <col min="12629" max="12629" width="3.26953125" style="19" customWidth="1"/>
    <col min="12630" max="12633" width="9.26953125" style="19" bestFit="1" customWidth="1"/>
    <col min="12634" max="12634" width="10" style="19" bestFit="1" customWidth="1"/>
    <col min="12635" max="12635" width="9.26953125" style="19" bestFit="1" customWidth="1"/>
    <col min="12636" max="12636" width="10" style="19" bestFit="1" customWidth="1"/>
    <col min="12637" max="12637" width="9.26953125" style="19" bestFit="1" customWidth="1"/>
    <col min="12638" max="12638" width="3.26953125" style="19" customWidth="1"/>
    <col min="12639" max="12639" width="9.54296875" style="19" bestFit="1" customWidth="1"/>
    <col min="12640" max="12646" width="9.26953125" style="19" bestFit="1" customWidth="1"/>
    <col min="12647" max="12801" width="8.7265625" style="19"/>
    <col min="12802" max="12802" width="9.54296875" style="19" customWidth="1"/>
    <col min="12803" max="12803" width="6.26953125" style="19" customWidth="1"/>
    <col min="12804" max="12804" width="3.26953125" style="19" customWidth="1"/>
    <col min="12805" max="12805" width="9.54296875" style="19" bestFit="1" customWidth="1"/>
    <col min="12806" max="12813" width="9.26953125" style="19" bestFit="1" customWidth="1"/>
    <col min="12814" max="12814" width="3.26953125" style="19" customWidth="1"/>
    <col min="12815" max="12816" width="9.26953125" style="19" bestFit="1" customWidth="1"/>
    <col min="12817" max="12817" width="9.453125" style="19" bestFit="1" customWidth="1"/>
    <col min="12818" max="12818" width="10.1796875" style="19" bestFit="1" customWidth="1"/>
    <col min="12819" max="12819" width="9.54296875" style="19" bestFit="1" customWidth="1"/>
    <col min="12820" max="12820" width="9.453125" style="19" bestFit="1" customWidth="1"/>
    <col min="12821" max="12823" width="9.26953125" style="19" bestFit="1" customWidth="1"/>
    <col min="12824" max="12824" width="3.26953125" style="19" customWidth="1"/>
    <col min="12825" max="12825" width="10.1796875" style="19" bestFit="1" customWidth="1"/>
    <col min="12826" max="12833" width="9.453125" style="19" bestFit="1" customWidth="1"/>
    <col min="12834" max="12834" width="9.26953125" style="19" customWidth="1"/>
    <col min="12835" max="12835" width="3.26953125" style="19" customWidth="1"/>
    <col min="12836" max="12836" width="10.1796875" style="19" bestFit="1" customWidth="1"/>
    <col min="12837" max="12840" width="9.453125" style="19" bestFit="1" customWidth="1"/>
    <col min="12841" max="12843" width="9.26953125" style="19" bestFit="1" customWidth="1"/>
    <col min="12844" max="12844" width="3.26953125" style="19" customWidth="1"/>
    <col min="12845" max="12851" width="9" style="19" customWidth="1"/>
    <col min="12852" max="12852" width="3.1796875" style="19" customWidth="1"/>
    <col min="12853" max="12855" width="9.26953125" style="19" bestFit="1" customWidth="1"/>
    <col min="12856" max="12856" width="3.26953125" style="19" customWidth="1"/>
    <col min="12857" max="12859" width="9.26953125" style="19" bestFit="1" customWidth="1"/>
    <col min="12860" max="12860" width="6.54296875" style="19" customWidth="1"/>
    <col min="12861" max="12861" width="3.26953125" style="19" customWidth="1"/>
    <col min="12862" max="12865" width="9.26953125" style="19" bestFit="1" customWidth="1"/>
    <col min="12866" max="12866" width="3.26953125" style="19" customWidth="1"/>
    <col min="12867" max="12869" width="9.26953125" style="19" bestFit="1" customWidth="1"/>
    <col min="12870" max="12870" width="10" style="19" bestFit="1" customWidth="1"/>
    <col min="12871" max="12871" width="3.26953125" style="19" customWidth="1"/>
    <col min="12872" max="12872" width="9.26953125" style="19" bestFit="1" customWidth="1"/>
    <col min="12873" max="12874" width="10" style="19" customWidth="1"/>
    <col min="12875" max="12875" width="3.26953125" style="19" customWidth="1"/>
    <col min="12876" max="12884" width="9.26953125" style="19" bestFit="1" customWidth="1"/>
    <col min="12885" max="12885" width="3.26953125" style="19" customWidth="1"/>
    <col min="12886" max="12889" width="9.26953125" style="19" bestFit="1" customWidth="1"/>
    <col min="12890" max="12890" width="10" style="19" bestFit="1" customWidth="1"/>
    <col min="12891" max="12891" width="9.26953125" style="19" bestFit="1" customWidth="1"/>
    <col min="12892" max="12892" width="10" style="19" bestFit="1" customWidth="1"/>
    <col min="12893" max="12893" width="9.26953125" style="19" bestFit="1" customWidth="1"/>
    <col min="12894" max="12894" width="3.26953125" style="19" customWidth="1"/>
    <col min="12895" max="12895" width="9.54296875" style="19" bestFit="1" customWidth="1"/>
    <col min="12896" max="12902" width="9.26953125" style="19" bestFit="1" customWidth="1"/>
    <col min="12903" max="13057" width="8.7265625" style="19"/>
    <col min="13058" max="13058" width="9.54296875" style="19" customWidth="1"/>
    <col min="13059" max="13059" width="6.26953125" style="19" customWidth="1"/>
    <col min="13060" max="13060" width="3.26953125" style="19" customWidth="1"/>
    <col min="13061" max="13061" width="9.54296875" style="19" bestFit="1" customWidth="1"/>
    <col min="13062" max="13069" width="9.26953125" style="19" bestFit="1" customWidth="1"/>
    <col min="13070" max="13070" width="3.26953125" style="19" customWidth="1"/>
    <col min="13071" max="13072" width="9.26953125" style="19" bestFit="1" customWidth="1"/>
    <col min="13073" max="13073" width="9.453125" style="19" bestFit="1" customWidth="1"/>
    <col min="13074" max="13074" width="10.1796875" style="19" bestFit="1" customWidth="1"/>
    <col min="13075" max="13075" width="9.54296875" style="19" bestFit="1" customWidth="1"/>
    <col min="13076" max="13076" width="9.453125" style="19" bestFit="1" customWidth="1"/>
    <col min="13077" max="13079" width="9.26953125" style="19" bestFit="1" customWidth="1"/>
    <col min="13080" max="13080" width="3.26953125" style="19" customWidth="1"/>
    <col min="13081" max="13081" width="10.1796875" style="19" bestFit="1" customWidth="1"/>
    <col min="13082" max="13089" width="9.453125" style="19" bestFit="1" customWidth="1"/>
    <col min="13090" max="13090" width="9.26953125" style="19" customWidth="1"/>
    <col min="13091" max="13091" width="3.26953125" style="19" customWidth="1"/>
    <col min="13092" max="13092" width="10.1796875" style="19" bestFit="1" customWidth="1"/>
    <col min="13093" max="13096" width="9.453125" style="19" bestFit="1" customWidth="1"/>
    <col min="13097" max="13099" width="9.26953125" style="19" bestFit="1" customWidth="1"/>
    <col min="13100" max="13100" width="3.26953125" style="19" customWidth="1"/>
    <col min="13101" max="13107" width="9" style="19" customWidth="1"/>
    <col min="13108" max="13108" width="3.1796875" style="19" customWidth="1"/>
    <col min="13109" max="13111" width="9.26953125" style="19" bestFit="1" customWidth="1"/>
    <col min="13112" max="13112" width="3.26953125" style="19" customWidth="1"/>
    <col min="13113" max="13115" width="9.26953125" style="19" bestFit="1" customWidth="1"/>
    <col min="13116" max="13116" width="6.54296875" style="19" customWidth="1"/>
    <col min="13117" max="13117" width="3.26953125" style="19" customWidth="1"/>
    <col min="13118" max="13121" width="9.26953125" style="19" bestFit="1" customWidth="1"/>
    <col min="13122" max="13122" width="3.26953125" style="19" customWidth="1"/>
    <col min="13123" max="13125" width="9.26953125" style="19" bestFit="1" customWidth="1"/>
    <col min="13126" max="13126" width="10" style="19" bestFit="1" customWidth="1"/>
    <col min="13127" max="13127" width="3.26953125" style="19" customWidth="1"/>
    <col min="13128" max="13128" width="9.26953125" style="19" bestFit="1" customWidth="1"/>
    <col min="13129" max="13130" width="10" style="19" customWidth="1"/>
    <col min="13131" max="13131" width="3.26953125" style="19" customWidth="1"/>
    <col min="13132" max="13140" width="9.26953125" style="19" bestFit="1" customWidth="1"/>
    <col min="13141" max="13141" width="3.26953125" style="19" customWidth="1"/>
    <col min="13142" max="13145" width="9.26953125" style="19" bestFit="1" customWidth="1"/>
    <col min="13146" max="13146" width="10" style="19" bestFit="1" customWidth="1"/>
    <col min="13147" max="13147" width="9.26953125" style="19" bestFit="1" customWidth="1"/>
    <col min="13148" max="13148" width="10" style="19" bestFit="1" customWidth="1"/>
    <col min="13149" max="13149" width="9.26953125" style="19" bestFit="1" customWidth="1"/>
    <col min="13150" max="13150" width="3.26953125" style="19" customWidth="1"/>
    <col min="13151" max="13151" width="9.54296875" style="19" bestFit="1" customWidth="1"/>
    <col min="13152" max="13158" width="9.26953125" style="19" bestFit="1" customWidth="1"/>
    <col min="13159" max="13313" width="8.7265625" style="19"/>
    <col min="13314" max="13314" width="9.54296875" style="19" customWidth="1"/>
    <col min="13315" max="13315" width="6.26953125" style="19" customWidth="1"/>
    <col min="13316" max="13316" width="3.26953125" style="19" customWidth="1"/>
    <col min="13317" max="13317" width="9.54296875" style="19" bestFit="1" customWidth="1"/>
    <col min="13318" max="13325" width="9.26953125" style="19" bestFit="1" customWidth="1"/>
    <col min="13326" max="13326" width="3.26953125" style="19" customWidth="1"/>
    <col min="13327" max="13328" width="9.26953125" style="19" bestFit="1" customWidth="1"/>
    <col min="13329" max="13329" width="9.453125" style="19" bestFit="1" customWidth="1"/>
    <col min="13330" max="13330" width="10.1796875" style="19" bestFit="1" customWidth="1"/>
    <col min="13331" max="13331" width="9.54296875" style="19" bestFit="1" customWidth="1"/>
    <col min="13332" max="13332" width="9.453125" style="19" bestFit="1" customWidth="1"/>
    <col min="13333" max="13335" width="9.26953125" style="19" bestFit="1" customWidth="1"/>
    <col min="13336" max="13336" width="3.26953125" style="19" customWidth="1"/>
    <col min="13337" max="13337" width="10.1796875" style="19" bestFit="1" customWidth="1"/>
    <col min="13338" max="13345" width="9.453125" style="19" bestFit="1" customWidth="1"/>
    <col min="13346" max="13346" width="9.26953125" style="19" customWidth="1"/>
    <col min="13347" max="13347" width="3.26953125" style="19" customWidth="1"/>
    <col min="13348" max="13348" width="10.1796875" style="19" bestFit="1" customWidth="1"/>
    <col min="13349" max="13352" width="9.453125" style="19" bestFit="1" customWidth="1"/>
    <col min="13353" max="13355" width="9.26953125" style="19" bestFit="1" customWidth="1"/>
    <col min="13356" max="13356" width="3.26953125" style="19" customWidth="1"/>
    <col min="13357" max="13363" width="9" style="19" customWidth="1"/>
    <col min="13364" max="13364" width="3.1796875" style="19" customWidth="1"/>
    <col min="13365" max="13367" width="9.26953125" style="19" bestFit="1" customWidth="1"/>
    <col min="13368" max="13368" width="3.26953125" style="19" customWidth="1"/>
    <col min="13369" max="13371" width="9.26953125" style="19" bestFit="1" customWidth="1"/>
    <col min="13372" max="13372" width="6.54296875" style="19" customWidth="1"/>
    <col min="13373" max="13373" width="3.26953125" style="19" customWidth="1"/>
    <col min="13374" max="13377" width="9.26953125" style="19" bestFit="1" customWidth="1"/>
    <col min="13378" max="13378" width="3.26953125" style="19" customWidth="1"/>
    <col min="13379" max="13381" width="9.26953125" style="19" bestFit="1" customWidth="1"/>
    <col min="13382" max="13382" width="10" style="19" bestFit="1" customWidth="1"/>
    <col min="13383" max="13383" width="3.26953125" style="19" customWidth="1"/>
    <col min="13384" max="13384" width="9.26953125" style="19" bestFit="1" customWidth="1"/>
    <col min="13385" max="13386" width="10" style="19" customWidth="1"/>
    <col min="13387" max="13387" width="3.26953125" style="19" customWidth="1"/>
    <col min="13388" max="13396" width="9.26953125" style="19" bestFit="1" customWidth="1"/>
    <col min="13397" max="13397" width="3.26953125" style="19" customWidth="1"/>
    <col min="13398" max="13401" width="9.26953125" style="19" bestFit="1" customWidth="1"/>
    <col min="13402" max="13402" width="10" style="19" bestFit="1" customWidth="1"/>
    <col min="13403" max="13403" width="9.26953125" style="19" bestFit="1" customWidth="1"/>
    <col min="13404" max="13404" width="10" style="19" bestFit="1" customWidth="1"/>
    <col min="13405" max="13405" width="9.26953125" style="19" bestFit="1" customWidth="1"/>
    <col min="13406" max="13406" width="3.26953125" style="19" customWidth="1"/>
    <col min="13407" max="13407" width="9.54296875" style="19" bestFit="1" customWidth="1"/>
    <col min="13408" max="13414" width="9.26953125" style="19" bestFit="1" customWidth="1"/>
    <col min="13415" max="13569" width="8.7265625" style="19"/>
    <col min="13570" max="13570" width="9.54296875" style="19" customWidth="1"/>
    <col min="13571" max="13571" width="6.26953125" style="19" customWidth="1"/>
    <col min="13572" max="13572" width="3.26953125" style="19" customWidth="1"/>
    <col min="13573" max="13573" width="9.54296875" style="19" bestFit="1" customWidth="1"/>
    <col min="13574" max="13581" width="9.26953125" style="19" bestFit="1" customWidth="1"/>
    <col min="13582" max="13582" width="3.26953125" style="19" customWidth="1"/>
    <col min="13583" max="13584" width="9.26953125" style="19" bestFit="1" customWidth="1"/>
    <col min="13585" max="13585" width="9.453125" style="19" bestFit="1" customWidth="1"/>
    <col min="13586" max="13586" width="10.1796875" style="19" bestFit="1" customWidth="1"/>
    <col min="13587" max="13587" width="9.54296875" style="19" bestFit="1" customWidth="1"/>
    <col min="13588" max="13588" width="9.453125" style="19" bestFit="1" customWidth="1"/>
    <col min="13589" max="13591" width="9.26953125" style="19" bestFit="1" customWidth="1"/>
    <col min="13592" max="13592" width="3.26953125" style="19" customWidth="1"/>
    <col min="13593" max="13593" width="10.1796875" style="19" bestFit="1" customWidth="1"/>
    <col min="13594" max="13601" width="9.453125" style="19" bestFit="1" customWidth="1"/>
    <col min="13602" max="13602" width="9.26953125" style="19" customWidth="1"/>
    <col min="13603" max="13603" width="3.26953125" style="19" customWidth="1"/>
    <col min="13604" max="13604" width="10.1796875" style="19" bestFit="1" customWidth="1"/>
    <col min="13605" max="13608" width="9.453125" style="19" bestFit="1" customWidth="1"/>
    <col min="13609" max="13611" width="9.26953125" style="19" bestFit="1" customWidth="1"/>
    <col min="13612" max="13612" width="3.26953125" style="19" customWidth="1"/>
    <col min="13613" max="13619" width="9" style="19" customWidth="1"/>
    <col min="13620" max="13620" width="3.1796875" style="19" customWidth="1"/>
    <col min="13621" max="13623" width="9.26953125" style="19" bestFit="1" customWidth="1"/>
    <col min="13624" max="13624" width="3.26953125" style="19" customWidth="1"/>
    <col min="13625" max="13627" width="9.26953125" style="19" bestFit="1" customWidth="1"/>
    <col min="13628" max="13628" width="6.54296875" style="19" customWidth="1"/>
    <col min="13629" max="13629" width="3.26953125" style="19" customWidth="1"/>
    <col min="13630" max="13633" width="9.26953125" style="19" bestFit="1" customWidth="1"/>
    <col min="13634" max="13634" width="3.26953125" style="19" customWidth="1"/>
    <col min="13635" max="13637" width="9.26953125" style="19" bestFit="1" customWidth="1"/>
    <col min="13638" max="13638" width="10" style="19" bestFit="1" customWidth="1"/>
    <col min="13639" max="13639" width="3.26953125" style="19" customWidth="1"/>
    <col min="13640" max="13640" width="9.26953125" style="19" bestFit="1" customWidth="1"/>
    <col min="13641" max="13642" width="10" style="19" customWidth="1"/>
    <col min="13643" max="13643" width="3.26953125" style="19" customWidth="1"/>
    <col min="13644" max="13652" width="9.26953125" style="19" bestFit="1" customWidth="1"/>
    <col min="13653" max="13653" width="3.26953125" style="19" customWidth="1"/>
    <col min="13654" max="13657" width="9.26953125" style="19" bestFit="1" customWidth="1"/>
    <col min="13658" max="13658" width="10" style="19" bestFit="1" customWidth="1"/>
    <col min="13659" max="13659" width="9.26953125" style="19" bestFit="1" customWidth="1"/>
    <col min="13660" max="13660" width="10" style="19" bestFit="1" customWidth="1"/>
    <col min="13661" max="13661" width="9.26953125" style="19" bestFit="1" customWidth="1"/>
    <col min="13662" max="13662" width="3.26953125" style="19" customWidth="1"/>
    <col min="13663" max="13663" width="9.54296875" style="19" bestFit="1" customWidth="1"/>
    <col min="13664" max="13670" width="9.26953125" style="19" bestFit="1" customWidth="1"/>
    <col min="13671" max="13825" width="8.7265625" style="19"/>
    <col min="13826" max="13826" width="9.54296875" style="19" customWidth="1"/>
    <col min="13827" max="13827" width="6.26953125" style="19" customWidth="1"/>
    <col min="13828" max="13828" width="3.26953125" style="19" customWidth="1"/>
    <col min="13829" max="13829" width="9.54296875" style="19" bestFit="1" customWidth="1"/>
    <col min="13830" max="13837" width="9.26953125" style="19" bestFit="1" customWidth="1"/>
    <col min="13838" max="13838" width="3.26953125" style="19" customWidth="1"/>
    <col min="13839" max="13840" width="9.26953125" style="19" bestFit="1" customWidth="1"/>
    <col min="13841" max="13841" width="9.453125" style="19" bestFit="1" customWidth="1"/>
    <col min="13842" max="13842" width="10.1796875" style="19" bestFit="1" customWidth="1"/>
    <col min="13843" max="13843" width="9.54296875" style="19" bestFit="1" customWidth="1"/>
    <col min="13844" max="13844" width="9.453125" style="19" bestFit="1" customWidth="1"/>
    <col min="13845" max="13847" width="9.26953125" style="19" bestFit="1" customWidth="1"/>
    <col min="13848" max="13848" width="3.26953125" style="19" customWidth="1"/>
    <col min="13849" max="13849" width="10.1796875" style="19" bestFit="1" customWidth="1"/>
    <col min="13850" max="13857" width="9.453125" style="19" bestFit="1" customWidth="1"/>
    <col min="13858" max="13858" width="9.26953125" style="19" customWidth="1"/>
    <col min="13859" max="13859" width="3.26953125" style="19" customWidth="1"/>
    <col min="13860" max="13860" width="10.1796875" style="19" bestFit="1" customWidth="1"/>
    <col min="13861" max="13864" width="9.453125" style="19" bestFit="1" customWidth="1"/>
    <col min="13865" max="13867" width="9.26953125" style="19" bestFit="1" customWidth="1"/>
    <col min="13868" max="13868" width="3.26953125" style="19" customWidth="1"/>
    <col min="13869" max="13875" width="9" style="19" customWidth="1"/>
    <col min="13876" max="13876" width="3.1796875" style="19" customWidth="1"/>
    <col min="13877" max="13879" width="9.26953125" style="19" bestFit="1" customWidth="1"/>
    <col min="13880" max="13880" width="3.26953125" style="19" customWidth="1"/>
    <col min="13881" max="13883" width="9.26953125" style="19" bestFit="1" customWidth="1"/>
    <col min="13884" max="13884" width="6.54296875" style="19" customWidth="1"/>
    <col min="13885" max="13885" width="3.26953125" style="19" customWidth="1"/>
    <col min="13886" max="13889" width="9.26953125" style="19" bestFit="1" customWidth="1"/>
    <col min="13890" max="13890" width="3.26953125" style="19" customWidth="1"/>
    <col min="13891" max="13893" width="9.26953125" style="19" bestFit="1" customWidth="1"/>
    <col min="13894" max="13894" width="10" style="19" bestFit="1" customWidth="1"/>
    <col min="13895" max="13895" width="3.26953125" style="19" customWidth="1"/>
    <col min="13896" max="13896" width="9.26953125" style="19" bestFit="1" customWidth="1"/>
    <col min="13897" max="13898" width="10" style="19" customWidth="1"/>
    <col min="13899" max="13899" width="3.26953125" style="19" customWidth="1"/>
    <col min="13900" max="13908" width="9.26953125" style="19" bestFit="1" customWidth="1"/>
    <col min="13909" max="13909" width="3.26953125" style="19" customWidth="1"/>
    <col min="13910" max="13913" width="9.26953125" style="19" bestFit="1" customWidth="1"/>
    <col min="13914" max="13914" width="10" style="19" bestFit="1" customWidth="1"/>
    <col min="13915" max="13915" width="9.26953125" style="19" bestFit="1" customWidth="1"/>
    <col min="13916" max="13916" width="10" style="19" bestFit="1" customWidth="1"/>
    <col min="13917" max="13917" width="9.26953125" style="19" bestFit="1" customWidth="1"/>
    <col min="13918" max="13918" width="3.26953125" style="19" customWidth="1"/>
    <col min="13919" max="13919" width="9.54296875" style="19" bestFit="1" customWidth="1"/>
    <col min="13920" max="13926" width="9.26953125" style="19" bestFit="1" customWidth="1"/>
    <col min="13927" max="14081" width="8.7265625" style="19"/>
    <col min="14082" max="14082" width="9.54296875" style="19" customWidth="1"/>
    <col min="14083" max="14083" width="6.26953125" style="19" customWidth="1"/>
    <col min="14084" max="14084" width="3.26953125" style="19" customWidth="1"/>
    <col min="14085" max="14085" width="9.54296875" style="19" bestFit="1" customWidth="1"/>
    <col min="14086" max="14093" width="9.26953125" style="19" bestFit="1" customWidth="1"/>
    <col min="14094" max="14094" width="3.26953125" style="19" customWidth="1"/>
    <col min="14095" max="14096" width="9.26953125" style="19" bestFit="1" customWidth="1"/>
    <col min="14097" max="14097" width="9.453125" style="19" bestFit="1" customWidth="1"/>
    <col min="14098" max="14098" width="10.1796875" style="19" bestFit="1" customWidth="1"/>
    <col min="14099" max="14099" width="9.54296875" style="19" bestFit="1" customWidth="1"/>
    <col min="14100" max="14100" width="9.453125" style="19" bestFit="1" customWidth="1"/>
    <col min="14101" max="14103" width="9.26953125" style="19" bestFit="1" customWidth="1"/>
    <col min="14104" max="14104" width="3.26953125" style="19" customWidth="1"/>
    <col min="14105" max="14105" width="10.1796875" style="19" bestFit="1" customWidth="1"/>
    <col min="14106" max="14113" width="9.453125" style="19" bestFit="1" customWidth="1"/>
    <col min="14114" max="14114" width="9.26953125" style="19" customWidth="1"/>
    <col min="14115" max="14115" width="3.26953125" style="19" customWidth="1"/>
    <col min="14116" max="14116" width="10.1796875" style="19" bestFit="1" customWidth="1"/>
    <col min="14117" max="14120" width="9.453125" style="19" bestFit="1" customWidth="1"/>
    <col min="14121" max="14123" width="9.26953125" style="19" bestFit="1" customWidth="1"/>
    <col min="14124" max="14124" width="3.26953125" style="19" customWidth="1"/>
    <col min="14125" max="14131" width="9" style="19" customWidth="1"/>
    <col min="14132" max="14132" width="3.1796875" style="19" customWidth="1"/>
    <col min="14133" max="14135" width="9.26953125" style="19" bestFit="1" customWidth="1"/>
    <col min="14136" max="14136" width="3.26953125" style="19" customWidth="1"/>
    <col min="14137" max="14139" width="9.26953125" style="19" bestFit="1" customWidth="1"/>
    <col min="14140" max="14140" width="6.54296875" style="19" customWidth="1"/>
    <col min="14141" max="14141" width="3.26953125" style="19" customWidth="1"/>
    <col min="14142" max="14145" width="9.26953125" style="19" bestFit="1" customWidth="1"/>
    <col min="14146" max="14146" width="3.26953125" style="19" customWidth="1"/>
    <col min="14147" max="14149" width="9.26953125" style="19" bestFit="1" customWidth="1"/>
    <col min="14150" max="14150" width="10" style="19" bestFit="1" customWidth="1"/>
    <col min="14151" max="14151" width="3.26953125" style="19" customWidth="1"/>
    <col min="14152" max="14152" width="9.26953125" style="19" bestFit="1" customWidth="1"/>
    <col min="14153" max="14154" width="10" style="19" customWidth="1"/>
    <col min="14155" max="14155" width="3.26953125" style="19" customWidth="1"/>
    <col min="14156" max="14164" width="9.26953125" style="19" bestFit="1" customWidth="1"/>
    <col min="14165" max="14165" width="3.26953125" style="19" customWidth="1"/>
    <col min="14166" max="14169" width="9.26953125" style="19" bestFit="1" customWidth="1"/>
    <col min="14170" max="14170" width="10" style="19" bestFit="1" customWidth="1"/>
    <col min="14171" max="14171" width="9.26953125" style="19" bestFit="1" customWidth="1"/>
    <col min="14172" max="14172" width="10" style="19" bestFit="1" customWidth="1"/>
    <col min="14173" max="14173" width="9.26953125" style="19" bestFit="1" customWidth="1"/>
    <col min="14174" max="14174" width="3.26953125" style="19" customWidth="1"/>
    <col min="14175" max="14175" width="9.54296875" style="19" bestFit="1" customWidth="1"/>
    <col min="14176" max="14182" width="9.26953125" style="19" bestFit="1" customWidth="1"/>
    <col min="14183" max="14337" width="8.7265625" style="19"/>
    <col min="14338" max="14338" width="9.54296875" style="19" customWidth="1"/>
    <col min="14339" max="14339" width="6.26953125" style="19" customWidth="1"/>
    <col min="14340" max="14340" width="3.26953125" style="19" customWidth="1"/>
    <col min="14341" max="14341" width="9.54296875" style="19" bestFit="1" customWidth="1"/>
    <col min="14342" max="14349" width="9.26953125" style="19" bestFit="1" customWidth="1"/>
    <col min="14350" max="14350" width="3.26953125" style="19" customWidth="1"/>
    <col min="14351" max="14352" width="9.26953125" style="19" bestFit="1" customWidth="1"/>
    <col min="14353" max="14353" width="9.453125" style="19" bestFit="1" customWidth="1"/>
    <col min="14354" max="14354" width="10.1796875" style="19" bestFit="1" customWidth="1"/>
    <col min="14355" max="14355" width="9.54296875" style="19" bestFit="1" customWidth="1"/>
    <col min="14356" max="14356" width="9.453125" style="19" bestFit="1" customWidth="1"/>
    <col min="14357" max="14359" width="9.26953125" style="19" bestFit="1" customWidth="1"/>
    <col min="14360" max="14360" width="3.26953125" style="19" customWidth="1"/>
    <col min="14361" max="14361" width="10.1796875" style="19" bestFit="1" customWidth="1"/>
    <col min="14362" max="14369" width="9.453125" style="19" bestFit="1" customWidth="1"/>
    <col min="14370" max="14370" width="9.26953125" style="19" customWidth="1"/>
    <col min="14371" max="14371" width="3.26953125" style="19" customWidth="1"/>
    <col min="14372" max="14372" width="10.1796875" style="19" bestFit="1" customWidth="1"/>
    <col min="14373" max="14376" width="9.453125" style="19" bestFit="1" customWidth="1"/>
    <col min="14377" max="14379" width="9.26953125" style="19" bestFit="1" customWidth="1"/>
    <col min="14380" max="14380" width="3.26953125" style="19" customWidth="1"/>
    <col min="14381" max="14387" width="9" style="19" customWidth="1"/>
    <col min="14388" max="14388" width="3.1796875" style="19" customWidth="1"/>
    <col min="14389" max="14391" width="9.26953125" style="19" bestFit="1" customWidth="1"/>
    <col min="14392" max="14392" width="3.26953125" style="19" customWidth="1"/>
    <col min="14393" max="14395" width="9.26953125" style="19" bestFit="1" customWidth="1"/>
    <col min="14396" max="14396" width="6.54296875" style="19" customWidth="1"/>
    <col min="14397" max="14397" width="3.26953125" style="19" customWidth="1"/>
    <col min="14398" max="14401" width="9.26953125" style="19" bestFit="1" customWidth="1"/>
    <col min="14402" max="14402" width="3.26953125" style="19" customWidth="1"/>
    <col min="14403" max="14405" width="9.26953125" style="19" bestFit="1" customWidth="1"/>
    <col min="14406" max="14406" width="10" style="19" bestFit="1" customWidth="1"/>
    <col min="14407" max="14407" width="3.26953125" style="19" customWidth="1"/>
    <col min="14408" max="14408" width="9.26953125" style="19" bestFit="1" customWidth="1"/>
    <col min="14409" max="14410" width="10" style="19" customWidth="1"/>
    <col min="14411" max="14411" width="3.26953125" style="19" customWidth="1"/>
    <col min="14412" max="14420" width="9.26953125" style="19" bestFit="1" customWidth="1"/>
    <col min="14421" max="14421" width="3.26953125" style="19" customWidth="1"/>
    <col min="14422" max="14425" width="9.26953125" style="19" bestFit="1" customWidth="1"/>
    <col min="14426" max="14426" width="10" style="19" bestFit="1" customWidth="1"/>
    <col min="14427" max="14427" width="9.26953125" style="19" bestFit="1" customWidth="1"/>
    <col min="14428" max="14428" width="10" style="19" bestFit="1" customWidth="1"/>
    <col min="14429" max="14429" width="9.26953125" style="19" bestFit="1" customWidth="1"/>
    <col min="14430" max="14430" width="3.26953125" style="19" customWidth="1"/>
    <col min="14431" max="14431" width="9.54296875" style="19" bestFit="1" customWidth="1"/>
    <col min="14432" max="14438" width="9.26953125" style="19" bestFit="1" customWidth="1"/>
    <col min="14439" max="14593" width="8.7265625" style="19"/>
    <col min="14594" max="14594" width="9.54296875" style="19" customWidth="1"/>
    <col min="14595" max="14595" width="6.26953125" style="19" customWidth="1"/>
    <col min="14596" max="14596" width="3.26953125" style="19" customWidth="1"/>
    <col min="14597" max="14597" width="9.54296875" style="19" bestFit="1" customWidth="1"/>
    <col min="14598" max="14605" width="9.26953125" style="19" bestFit="1" customWidth="1"/>
    <col min="14606" max="14606" width="3.26953125" style="19" customWidth="1"/>
    <col min="14607" max="14608" width="9.26953125" style="19" bestFit="1" customWidth="1"/>
    <col min="14609" max="14609" width="9.453125" style="19" bestFit="1" customWidth="1"/>
    <col min="14610" max="14610" width="10.1796875" style="19" bestFit="1" customWidth="1"/>
    <col min="14611" max="14611" width="9.54296875" style="19" bestFit="1" customWidth="1"/>
    <col min="14612" max="14612" width="9.453125" style="19" bestFit="1" customWidth="1"/>
    <col min="14613" max="14615" width="9.26953125" style="19" bestFit="1" customWidth="1"/>
    <col min="14616" max="14616" width="3.26953125" style="19" customWidth="1"/>
    <col min="14617" max="14617" width="10.1796875" style="19" bestFit="1" customWidth="1"/>
    <col min="14618" max="14625" width="9.453125" style="19" bestFit="1" customWidth="1"/>
    <col min="14626" max="14626" width="9.26953125" style="19" customWidth="1"/>
    <col min="14627" max="14627" width="3.26953125" style="19" customWidth="1"/>
    <col min="14628" max="14628" width="10.1796875" style="19" bestFit="1" customWidth="1"/>
    <col min="14629" max="14632" width="9.453125" style="19" bestFit="1" customWidth="1"/>
    <col min="14633" max="14635" width="9.26953125" style="19" bestFit="1" customWidth="1"/>
    <col min="14636" max="14636" width="3.26953125" style="19" customWidth="1"/>
    <col min="14637" max="14643" width="9" style="19" customWidth="1"/>
    <col min="14644" max="14644" width="3.1796875" style="19" customWidth="1"/>
    <col min="14645" max="14647" width="9.26953125" style="19" bestFit="1" customWidth="1"/>
    <col min="14648" max="14648" width="3.26953125" style="19" customWidth="1"/>
    <col min="14649" max="14651" width="9.26953125" style="19" bestFit="1" customWidth="1"/>
    <col min="14652" max="14652" width="6.54296875" style="19" customWidth="1"/>
    <col min="14653" max="14653" width="3.26953125" style="19" customWidth="1"/>
    <col min="14654" max="14657" width="9.26953125" style="19" bestFit="1" customWidth="1"/>
    <col min="14658" max="14658" width="3.26953125" style="19" customWidth="1"/>
    <col min="14659" max="14661" width="9.26953125" style="19" bestFit="1" customWidth="1"/>
    <col min="14662" max="14662" width="10" style="19" bestFit="1" customWidth="1"/>
    <col min="14663" max="14663" width="3.26953125" style="19" customWidth="1"/>
    <col min="14664" max="14664" width="9.26953125" style="19" bestFit="1" customWidth="1"/>
    <col min="14665" max="14666" width="10" style="19" customWidth="1"/>
    <col min="14667" max="14667" width="3.26953125" style="19" customWidth="1"/>
    <col min="14668" max="14676" width="9.26953125" style="19" bestFit="1" customWidth="1"/>
    <col min="14677" max="14677" width="3.26953125" style="19" customWidth="1"/>
    <col min="14678" max="14681" width="9.26953125" style="19" bestFit="1" customWidth="1"/>
    <col min="14682" max="14682" width="10" style="19" bestFit="1" customWidth="1"/>
    <col min="14683" max="14683" width="9.26953125" style="19" bestFit="1" customWidth="1"/>
    <col min="14684" max="14684" width="10" style="19" bestFit="1" customWidth="1"/>
    <col min="14685" max="14685" width="9.26953125" style="19" bestFit="1" customWidth="1"/>
    <col min="14686" max="14686" width="3.26953125" style="19" customWidth="1"/>
    <col min="14687" max="14687" width="9.54296875" style="19" bestFit="1" customWidth="1"/>
    <col min="14688" max="14694" width="9.26953125" style="19" bestFit="1" customWidth="1"/>
    <col min="14695" max="14849" width="8.7265625" style="19"/>
    <col min="14850" max="14850" width="9.54296875" style="19" customWidth="1"/>
    <col min="14851" max="14851" width="6.26953125" style="19" customWidth="1"/>
    <col min="14852" max="14852" width="3.26953125" style="19" customWidth="1"/>
    <col min="14853" max="14853" width="9.54296875" style="19" bestFit="1" customWidth="1"/>
    <col min="14854" max="14861" width="9.26953125" style="19" bestFit="1" customWidth="1"/>
    <col min="14862" max="14862" width="3.26953125" style="19" customWidth="1"/>
    <col min="14863" max="14864" width="9.26953125" style="19" bestFit="1" customWidth="1"/>
    <col min="14865" max="14865" width="9.453125" style="19" bestFit="1" customWidth="1"/>
    <col min="14866" max="14866" width="10.1796875" style="19" bestFit="1" customWidth="1"/>
    <col min="14867" max="14867" width="9.54296875" style="19" bestFit="1" customWidth="1"/>
    <col min="14868" max="14868" width="9.453125" style="19" bestFit="1" customWidth="1"/>
    <col min="14869" max="14871" width="9.26953125" style="19" bestFit="1" customWidth="1"/>
    <col min="14872" max="14872" width="3.26953125" style="19" customWidth="1"/>
    <col min="14873" max="14873" width="10.1796875" style="19" bestFit="1" customWidth="1"/>
    <col min="14874" max="14881" width="9.453125" style="19" bestFit="1" customWidth="1"/>
    <col min="14882" max="14882" width="9.26953125" style="19" customWidth="1"/>
    <col min="14883" max="14883" width="3.26953125" style="19" customWidth="1"/>
    <col min="14884" max="14884" width="10.1796875" style="19" bestFit="1" customWidth="1"/>
    <col min="14885" max="14888" width="9.453125" style="19" bestFit="1" customWidth="1"/>
    <col min="14889" max="14891" width="9.26953125" style="19" bestFit="1" customWidth="1"/>
    <col min="14892" max="14892" width="3.26953125" style="19" customWidth="1"/>
    <col min="14893" max="14899" width="9" style="19" customWidth="1"/>
    <col min="14900" max="14900" width="3.1796875" style="19" customWidth="1"/>
    <col min="14901" max="14903" width="9.26953125" style="19" bestFit="1" customWidth="1"/>
    <col min="14904" max="14904" width="3.26953125" style="19" customWidth="1"/>
    <col min="14905" max="14907" width="9.26953125" style="19" bestFit="1" customWidth="1"/>
    <col min="14908" max="14908" width="6.54296875" style="19" customWidth="1"/>
    <col min="14909" max="14909" width="3.26953125" style="19" customWidth="1"/>
    <col min="14910" max="14913" width="9.26953125" style="19" bestFit="1" customWidth="1"/>
    <col min="14914" max="14914" width="3.26953125" style="19" customWidth="1"/>
    <col min="14915" max="14917" width="9.26953125" style="19" bestFit="1" customWidth="1"/>
    <col min="14918" max="14918" width="10" style="19" bestFit="1" customWidth="1"/>
    <col min="14919" max="14919" width="3.26953125" style="19" customWidth="1"/>
    <col min="14920" max="14920" width="9.26953125" style="19" bestFit="1" customWidth="1"/>
    <col min="14921" max="14922" width="10" style="19" customWidth="1"/>
    <col min="14923" max="14923" width="3.26953125" style="19" customWidth="1"/>
    <col min="14924" max="14932" width="9.26953125" style="19" bestFit="1" customWidth="1"/>
    <col min="14933" max="14933" width="3.26953125" style="19" customWidth="1"/>
    <col min="14934" max="14937" width="9.26953125" style="19" bestFit="1" customWidth="1"/>
    <col min="14938" max="14938" width="10" style="19" bestFit="1" customWidth="1"/>
    <col min="14939" max="14939" width="9.26953125" style="19" bestFit="1" customWidth="1"/>
    <col min="14940" max="14940" width="10" style="19" bestFit="1" customWidth="1"/>
    <col min="14941" max="14941" width="9.26953125" style="19" bestFit="1" customWidth="1"/>
    <col min="14942" max="14942" width="3.26953125" style="19" customWidth="1"/>
    <col min="14943" max="14943" width="9.54296875" style="19" bestFit="1" customWidth="1"/>
    <col min="14944" max="14950" width="9.26953125" style="19" bestFit="1" customWidth="1"/>
    <col min="14951" max="15105" width="8.7265625" style="19"/>
    <col min="15106" max="15106" width="9.54296875" style="19" customWidth="1"/>
    <col min="15107" max="15107" width="6.26953125" style="19" customWidth="1"/>
    <col min="15108" max="15108" width="3.26953125" style="19" customWidth="1"/>
    <col min="15109" max="15109" width="9.54296875" style="19" bestFit="1" customWidth="1"/>
    <col min="15110" max="15117" width="9.26953125" style="19" bestFit="1" customWidth="1"/>
    <col min="15118" max="15118" width="3.26953125" style="19" customWidth="1"/>
    <col min="15119" max="15120" width="9.26953125" style="19" bestFit="1" customWidth="1"/>
    <col min="15121" max="15121" width="9.453125" style="19" bestFit="1" customWidth="1"/>
    <col min="15122" max="15122" width="10.1796875" style="19" bestFit="1" customWidth="1"/>
    <col min="15123" max="15123" width="9.54296875" style="19" bestFit="1" customWidth="1"/>
    <col min="15124" max="15124" width="9.453125" style="19" bestFit="1" customWidth="1"/>
    <col min="15125" max="15127" width="9.26953125" style="19" bestFit="1" customWidth="1"/>
    <col min="15128" max="15128" width="3.26953125" style="19" customWidth="1"/>
    <col min="15129" max="15129" width="10.1796875" style="19" bestFit="1" customWidth="1"/>
    <col min="15130" max="15137" width="9.453125" style="19" bestFit="1" customWidth="1"/>
    <col min="15138" max="15138" width="9.26953125" style="19" customWidth="1"/>
    <col min="15139" max="15139" width="3.26953125" style="19" customWidth="1"/>
    <col min="15140" max="15140" width="10.1796875" style="19" bestFit="1" customWidth="1"/>
    <col min="15141" max="15144" width="9.453125" style="19" bestFit="1" customWidth="1"/>
    <col min="15145" max="15147" width="9.26953125" style="19" bestFit="1" customWidth="1"/>
    <col min="15148" max="15148" width="3.26953125" style="19" customWidth="1"/>
    <col min="15149" max="15155" width="9" style="19" customWidth="1"/>
    <col min="15156" max="15156" width="3.1796875" style="19" customWidth="1"/>
    <col min="15157" max="15159" width="9.26953125" style="19" bestFit="1" customWidth="1"/>
    <col min="15160" max="15160" width="3.26953125" style="19" customWidth="1"/>
    <col min="15161" max="15163" width="9.26953125" style="19" bestFit="1" customWidth="1"/>
    <col min="15164" max="15164" width="6.54296875" style="19" customWidth="1"/>
    <col min="15165" max="15165" width="3.26953125" style="19" customWidth="1"/>
    <col min="15166" max="15169" width="9.26953125" style="19" bestFit="1" customWidth="1"/>
    <col min="15170" max="15170" width="3.26953125" style="19" customWidth="1"/>
    <col min="15171" max="15173" width="9.26953125" style="19" bestFit="1" customWidth="1"/>
    <col min="15174" max="15174" width="10" style="19" bestFit="1" customWidth="1"/>
    <col min="15175" max="15175" width="3.26953125" style="19" customWidth="1"/>
    <col min="15176" max="15176" width="9.26953125" style="19" bestFit="1" customWidth="1"/>
    <col min="15177" max="15178" width="10" style="19" customWidth="1"/>
    <col min="15179" max="15179" width="3.26953125" style="19" customWidth="1"/>
    <col min="15180" max="15188" width="9.26953125" style="19" bestFit="1" customWidth="1"/>
    <col min="15189" max="15189" width="3.26953125" style="19" customWidth="1"/>
    <col min="15190" max="15193" width="9.26953125" style="19" bestFit="1" customWidth="1"/>
    <col min="15194" max="15194" width="10" style="19" bestFit="1" customWidth="1"/>
    <col min="15195" max="15195" width="9.26953125" style="19" bestFit="1" customWidth="1"/>
    <col min="15196" max="15196" width="10" style="19" bestFit="1" customWidth="1"/>
    <col min="15197" max="15197" width="9.26953125" style="19" bestFit="1" customWidth="1"/>
    <col min="15198" max="15198" width="3.26953125" style="19" customWidth="1"/>
    <col min="15199" max="15199" width="9.54296875" style="19" bestFit="1" customWidth="1"/>
    <col min="15200" max="15206" width="9.26953125" style="19" bestFit="1" customWidth="1"/>
    <col min="15207" max="15361" width="8.7265625" style="19"/>
    <col min="15362" max="15362" width="9.54296875" style="19" customWidth="1"/>
    <col min="15363" max="15363" width="6.26953125" style="19" customWidth="1"/>
    <col min="15364" max="15364" width="3.26953125" style="19" customWidth="1"/>
    <col min="15365" max="15365" width="9.54296875" style="19" bestFit="1" customWidth="1"/>
    <col min="15366" max="15373" width="9.26953125" style="19" bestFit="1" customWidth="1"/>
    <col min="15374" max="15374" width="3.26953125" style="19" customWidth="1"/>
    <col min="15375" max="15376" width="9.26953125" style="19" bestFit="1" customWidth="1"/>
    <col min="15377" max="15377" width="9.453125" style="19" bestFit="1" customWidth="1"/>
    <col min="15378" max="15378" width="10.1796875" style="19" bestFit="1" customWidth="1"/>
    <col min="15379" max="15379" width="9.54296875" style="19" bestFit="1" customWidth="1"/>
    <col min="15380" max="15380" width="9.453125" style="19" bestFit="1" customWidth="1"/>
    <col min="15381" max="15383" width="9.26953125" style="19" bestFit="1" customWidth="1"/>
    <col min="15384" max="15384" width="3.26953125" style="19" customWidth="1"/>
    <col min="15385" max="15385" width="10.1796875" style="19" bestFit="1" customWidth="1"/>
    <col min="15386" max="15393" width="9.453125" style="19" bestFit="1" customWidth="1"/>
    <col min="15394" max="15394" width="9.26953125" style="19" customWidth="1"/>
    <col min="15395" max="15395" width="3.26953125" style="19" customWidth="1"/>
    <col min="15396" max="15396" width="10.1796875" style="19" bestFit="1" customWidth="1"/>
    <col min="15397" max="15400" width="9.453125" style="19" bestFit="1" customWidth="1"/>
    <col min="15401" max="15403" width="9.26953125" style="19" bestFit="1" customWidth="1"/>
    <col min="15404" max="15404" width="3.26953125" style="19" customWidth="1"/>
    <col min="15405" max="15411" width="9" style="19" customWidth="1"/>
    <col min="15412" max="15412" width="3.1796875" style="19" customWidth="1"/>
    <col min="15413" max="15415" width="9.26953125" style="19" bestFit="1" customWidth="1"/>
    <col min="15416" max="15416" width="3.26953125" style="19" customWidth="1"/>
    <col min="15417" max="15419" width="9.26953125" style="19" bestFit="1" customWidth="1"/>
    <col min="15420" max="15420" width="6.54296875" style="19" customWidth="1"/>
    <col min="15421" max="15421" width="3.26953125" style="19" customWidth="1"/>
    <col min="15422" max="15425" width="9.26953125" style="19" bestFit="1" customWidth="1"/>
    <col min="15426" max="15426" width="3.26953125" style="19" customWidth="1"/>
    <col min="15427" max="15429" width="9.26953125" style="19" bestFit="1" customWidth="1"/>
    <col min="15430" max="15430" width="10" style="19" bestFit="1" customWidth="1"/>
    <col min="15431" max="15431" width="3.26953125" style="19" customWidth="1"/>
    <col min="15432" max="15432" width="9.26953125" style="19" bestFit="1" customWidth="1"/>
    <col min="15433" max="15434" width="10" style="19" customWidth="1"/>
    <col min="15435" max="15435" width="3.26953125" style="19" customWidth="1"/>
    <col min="15436" max="15444" width="9.26953125" style="19" bestFit="1" customWidth="1"/>
    <col min="15445" max="15445" width="3.26953125" style="19" customWidth="1"/>
    <col min="15446" max="15449" width="9.26953125" style="19" bestFit="1" customWidth="1"/>
    <col min="15450" max="15450" width="10" style="19" bestFit="1" customWidth="1"/>
    <col min="15451" max="15451" width="9.26953125" style="19" bestFit="1" customWidth="1"/>
    <col min="15452" max="15452" width="10" style="19" bestFit="1" customWidth="1"/>
    <col min="15453" max="15453" width="9.26953125" style="19" bestFit="1" customWidth="1"/>
    <col min="15454" max="15454" width="3.26953125" style="19" customWidth="1"/>
    <col min="15455" max="15455" width="9.54296875" style="19" bestFit="1" customWidth="1"/>
    <col min="15456" max="15462" width="9.26953125" style="19" bestFit="1" customWidth="1"/>
    <col min="15463" max="15617" width="8.7265625" style="19"/>
    <col min="15618" max="15618" width="9.54296875" style="19" customWidth="1"/>
    <col min="15619" max="15619" width="6.26953125" style="19" customWidth="1"/>
    <col min="15620" max="15620" width="3.26953125" style="19" customWidth="1"/>
    <col min="15621" max="15621" width="9.54296875" style="19" bestFit="1" customWidth="1"/>
    <col min="15622" max="15629" width="9.26953125" style="19" bestFit="1" customWidth="1"/>
    <col min="15630" max="15630" width="3.26953125" style="19" customWidth="1"/>
    <col min="15631" max="15632" width="9.26953125" style="19" bestFit="1" customWidth="1"/>
    <col min="15633" max="15633" width="9.453125" style="19" bestFit="1" customWidth="1"/>
    <col min="15634" max="15634" width="10.1796875" style="19" bestFit="1" customWidth="1"/>
    <col min="15635" max="15635" width="9.54296875" style="19" bestFit="1" customWidth="1"/>
    <col min="15636" max="15636" width="9.453125" style="19" bestFit="1" customWidth="1"/>
    <col min="15637" max="15639" width="9.26953125" style="19" bestFit="1" customWidth="1"/>
    <col min="15640" max="15640" width="3.26953125" style="19" customWidth="1"/>
    <col min="15641" max="15641" width="10.1796875" style="19" bestFit="1" customWidth="1"/>
    <col min="15642" max="15649" width="9.453125" style="19" bestFit="1" customWidth="1"/>
    <col min="15650" max="15650" width="9.26953125" style="19" customWidth="1"/>
    <col min="15651" max="15651" width="3.26953125" style="19" customWidth="1"/>
    <col min="15652" max="15652" width="10.1796875" style="19" bestFit="1" customWidth="1"/>
    <col min="15653" max="15656" width="9.453125" style="19" bestFit="1" customWidth="1"/>
    <col min="15657" max="15659" width="9.26953125" style="19" bestFit="1" customWidth="1"/>
    <col min="15660" max="15660" width="3.26953125" style="19" customWidth="1"/>
    <col min="15661" max="15667" width="9" style="19" customWidth="1"/>
    <col min="15668" max="15668" width="3.1796875" style="19" customWidth="1"/>
    <col min="15669" max="15671" width="9.26953125" style="19" bestFit="1" customWidth="1"/>
    <col min="15672" max="15672" width="3.26953125" style="19" customWidth="1"/>
    <col min="15673" max="15675" width="9.26953125" style="19" bestFit="1" customWidth="1"/>
    <col min="15676" max="15676" width="6.54296875" style="19" customWidth="1"/>
    <col min="15677" max="15677" width="3.26953125" style="19" customWidth="1"/>
    <col min="15678" max="15681" width="9.26953125" style="19" bestFit="1" customWidth="1"/>
    <col min="15682" max="15682" width="3.26953125" style="19" customWidth="1"/>
    <col min="15683" max="15685" width="9.26953125" style="19" bestFit="1" customWidth="1"/>
    <col min="15686" max="15686" width="10" style="19" bestFit="1" customWidth="1"/>
    <col min="15687" max="15687" width="3.26953125" style="19" customWidth="1"/>
    <col min="15688" max="15688" width="9.26953125" style="19" bestFit="1" customWidth="1"/>
    <col min="15689" max="15690" width="10" style="19" customWidth="1"/>
    <col min="15691" max="15691" width="3.26953125" style="19" customWidth="1"/>
    <col min="15692" max="15700" width="9.26953125" style="19" bestFit="1" customWidth="1"/>
    <col min="15701" max="15701" width="3.26953125" style="19" customWidth="1"/>
    <col min="15702" max="15705" width="9.26953125" style="19" bestFit="1" customWidth="1"/>
    <col min="15706" max="15706" width="10" style="19" bestFit="1" customWidth="1"/>
    <col min="15707" max="15707" width="9.26953125" style="19" bestFit="1" customWidth="1"/>
    <col min="15708" max="15708" width="10" style="19" bestFit="1" customWidth="1"/>
    <col min="15709" max="15709" width="9.26953125" style="19" bestFit="1" customWidth="1"/>
    <col min="15710" max="15710" width="3.26953125" style="19" customWidth="1"/>
    <col min="15711" max="15711" width="9.54296875" style="19" bestFit="1" customWidth="1"/>
    <col min="15712" max="15718" width="9.26953125" style="19" bestFit="1" customWidth="1"/>
    <col min="15719" max="15873" width="8.7265625" style="19"/>
    <col min="15874" max="15874" width="9.54296875" style="19" customWidth="1"/>
    <col min="15875" max="15875" width="6.26953125" style="19" customWidth="1"/>
    <col min="15876" max="15876" width="3.26953125" style="19" customWidth="1"/>
    <col min="15877" max="15877" width="9.54296875" style="19" bestFit="1" customWidth="1"/>
    <col min="15878" max="15885" width="9.26953125" style="19" bestFit="1" customWidth="1"/>
    <col min="15886" max="15886" width="3.26953125" style="19" customWidth="1"/>
    <col min="15887" max="15888" width="9.26953125" style="19" bestFit="1" customWidth="1"/>
    <col min="15889" max="15889" width="9.453125" style="19" bestFit="1" customWidth="1"/>
    <col min="15890" max="15890" width="10.1796875" style="19" bestFit="1" customWidth="1"/>
    <col min="15891" max="15891" width="9.54296875" style="19" bestFit="1" customWidth="1"/>
    <col min="15892" max="15892" width="9.453125" style="19" bestFit="1" customWidth="1"/>
    <col min="15893" max="15895" width="9.26953125" style="19" bestFit="1" customWidth="1"/>
    <col min="15896" max="15896" width="3.26953125" style="19" customWidth="1"/>
    <col min="15897" max="15897" width="10.1796875" style="19" bestFit="1" customWidth="1"/>
    <col min="15898" max="15905" width="9.453125" style="19" bestFit="1" customWidth="1"/>
    <col min="15906" max="15906" width="9.26953125" style="19" customWidth="1"/>
    <col min="15907" max="15907" width="3.26953125" style="19" customWidth="1"/>
    <col min="15908" max="15908" width="10.1796875" style="19" bestFit="1" customWidth="1"/>
    <col min="15909" max="15912" width="9.453125" style="19" bestFit="1" customWidth="1"/>
    <col min="15913" max="15915" width="9.26953125" style="19" bestFit="1" customWidth="1"/>
    <col min="15916" max="15916" width="3.26953125" style="19" customWidth="1"/>
    <col min="15917" max="15923" width="9" style="19" customWidth="1"/>
    <col min="15924" max="15924" width="3.1796875" style="19" customWidth="1"/>
    <col min="15925" max="15927" width="9.26953125" style="19" bestFit="1" customWidth="1"/>
    <col min="15928" max="15928" width="3.26953125" style="19" customWidth="1"/>
    <col min="15929" max="15931" width="9.26953125" style="19" bestFit="1" customWidth="1"/>
    <col min="15932" max="15932" width="6.54296875" style="19" customWidth="1"/>
    <col min="15933" max="15933" width="3.26953125" style="19" customWidth="1"/>
    <col min="15934" max="15937" width="9.26953125" style="19" bestFit="1" customWidth="1"/>
    <col min="15938" max="15938" width="3.26953125" style="19" customWidth="1"/>
    <col min="15939" max="15941" width="9.26953125" style="19" bestFit="1" customWidth="1"/>
    <col min="15942" max="15942" width="10" style="19" bestFit="1" customWidth="1"/>
    <col min="15943" max="15943" width="3.26953125" style="19" customWidth="1"/>
    <col min="15944" max="15944" width="9.26953125" style="19" bestFit="1" customWidth="1"/>
    <col min="15945" max="15946" width="10" style="19" customWidth="1"/>
    <col min="15947" max="15947" width="3.26953125" style="19" customWidth="1"/>
    <col min="15948" max="15956" width="9.26953125" style="19" bestFit="1" customWidth="1"/>
    <col min="15957" max="15957" width="3.26953125" style="19" customWidth="1"/>
    <col min="15958" max="15961" width="9.26953125" style="19" bestFit="1" customWidth="1"/>
    <col min="15962" max="15962" width="10" style="19" bestFit="1" customWidth="1"/>
    <col min="15963" max="15963" width="9.26953125" style="19" bestFit="1" customWidth="1"/>
    <col min="15964" max="15964" width="10" style="19" bestFit="1" customWidth="1"/>
    <col min="15965" max="15965" width="9.26953125" style="19" bestFit="1" customWidth="1"/>
    <col min="15966" max="15966" width="3.26953125" style="19" customWidth="1"/>
    <col min="15967" max="15967" width="9.54296875" style="19" bestFit="1" customWidth="1"/>
    <col min="15968" max="15974" width="9.26953125" style="19" bestFit="1" customWidth="1"/>
    <col min="15975" max="16129" width="8.7265625" style="19"/>
    <col min="16130" max="16130" width="9.54296875" style="19" customWidth="1"/>
    <col min="16131" max="16131" width="6.26953125" style="19" customWidth="1"/>
    <col min="16132" max="16132" width="3.26953125" style="19" customWidth="1"/>
    <col min="16133" max="16133" width="9.54296875" style="19" bestFit="1" customWidth="1"/>
    <col min="16134" max="16141" width="9.26953125" style="19" bestFit="1" customWidth="1"/>
    <col min="16142" max="16142" width="3.26953125" style="19" customWidth="1"/>
    <col min="16143" max="16144" width="9.26953125" style="19" bestFit="1" customWidth="1"/>
    <col min="16145" max="16145" width="9.453125" style="19" bestFit="1" customWidth="1"/>
    <col min="16146" max="16146" width="10.1796875" style="19" bestFit="1" customWidth="1"/>
    <col min="16147" max="16147" width="9.54296875" style="19" bestFit="1" customWidth="1"/>
    <col min="16148" max="16148" width="9.453125" style="19" bestFit="1" customWidth="1"/>
    <col min="16149" max="16151" width="9.26953125" style="19" bestFit="1" customWidth="1"/>
    <col min="16152" max="16152" width="3.26953125" style="19" customWidth="1"/>
    <col min="16153" max="16153" width="10.1796875" style="19" bestFit="1" customWidth="1"/>
    <col min="16154" max="16161" width="9.453125" style="19" bestFit="1" customWidth="1"/>
    <col min="16162" max="16162" width="9.26953125" style="19" customWidth="1"/>
    <col min="16163" max="16163" width="3.26953125" style="19" customWidth="1"/>
    <col min="16164" max="16164" width="10.1796875" style="19" bestFit="1" customWidth="1"/>
    <col min="16165" max="16168" width="9.453125" style="19" bestFit="1" customWidth="1"/>
    <col min="16169" max="16171" width="9.26953125" style="19" bestFit="1" customWidth="1"/>
    <col min="16172" max="16172" width="3.26953125" style="19" customWidth="1"/>
    <col min="16173" max="16179" width="9" style="19" customWidth="1"/>
    <col min="16180" max="16180" width="3.1796875" style="19" customWidth="1"/>
    <col min="16181" max="16183" width="9.26953125" style="19" bestFit="1" customWidth="1"/>
    <col min="16184" max="16184" width="3.26953125" style="19" customWidth="1"/>
    <col min="16185" max="16187" width="9.26953125" style="19" bestFit="1" customWidth="1"/>
    <col min="16188" max="16188" width="6.54296875" style="19" customWidth="1"/>
    <col min="16189" max="16189" width="3.26953125" style="19" customWidth="1"/>
    <col min="16190" max="16193" width="9.26953125" style="19" bestFit="1" customWidth="1"/>
    <col min="16194" max="16194" width="3.26953125" style="19" customWidth="1"/>
    <col min="16195" max="16197" width="9.26953125" style="19" bestFit="1" customWidth="1"/>
    <col min="16198" max="16198" width="10" style="19" bestFit="1" customWidth="1"/>
    <col min="16199" max="16199" width="3.26953125" style="19" customWidth="1"/>
    <col min="16200" max="16200" width="9.26953125" style="19" bestFit="1" customWidth="1"/>
    <col min="16201" max="16202" width="10" style="19" customWidth="1"/>
    <col min="16203" max="16203" width="3.26953125" style="19" customWidth="1"/>
    <col min="16204" max="16212" width="9.26953125" style="19" bestFit="1" customWidth="1"/>
    <col min="16213" max="16213" width="3.26953125" style="19" customWidth="1"/>
    <col min="16214" max="16217" width="9.26953125" style="19" bestFit="1" customWidth="1"/>
    <col min="16218" max="16218" width="10" style="19" bestFit="1" customWidth="1"/>
    <col min="16219" max="16219" width="9.26953125" style="19" bestFit="1" customWidth="1"/>
    <col min="16220" max="16220" width="10" style="19" bestFit="1" customWidth="1"/>
    <col min="16221" max="16221" width="9.26953125" style="19" bestFit="1" customWidth="1"/>
    <col min="16222" max="16222" width="3.26953125" style="19" customWidth="1"/>
    <col min="16223" max="16223" width="9.54296875" style="19" bestFit="1" customWidth="1"/>
    <col min="16224" max="16230" width="9.26953125" style="19" bestFit="1" customWidth="1"/>
    <col min="16231" max="16384" width="8.7265625" style="19"/>
  </cols>
  <sheetData>
    <row r="1" spans="1:87" s="2" customFormat="1" ht="45" customHeight="1" x14ac:dyDescent="0.35">
      <c r="A1" s="38" t="s">
        <v>329</v>
      </c>
    </row>
    <row r="2" spans="1:87" s="3" customFormat="1" ht="20.25" customHeight="1" x14ac:dyDescent="0.35">
      <c r="A2" s="3" t="s">
        <v>15</v>
      </c>
    </row>
    <row r="3" spans="1:87" s="3" customFormat="1" ht="20.25" customHeight="1" x14ac:dyDescent="0.35">
      <c r="A3" s="44" t="s">
        <v>158</v>
      </c>
    </row>
    <row r="4" spans="1:87" s="3" customFormat="1" ht="20.25" customHeight="1" x14ac:dyDescent="0.35">
      <c r="A4" s="3" t="s">
        <v>159</v>
      </c>
    </row>
    <row r="5" spans="1:87" s="39" customFormat="1" ht="49" customHeight="1" x14ac:dyDescent="0.35">
      <c r="A5" s="69" t="s">
        <v>88</v>
      </c>
      <c r="B5" s="65" t="s">
        <v>277</v>
      </c>
      <c r="C5" s="66" t="s">
        <v>56</v>
      </c>
      <c r="D5" s="66" t="s">
        <v>317</v>
      </c>
      <c r="E5" s="66" t="s">
        <v>279</v>
      </c>
      <c r="F5" s="66" t="s">
        <v>90</v>
      </c>
      <c r="G5" s="67" t="s">
        <v>313</v>
      </c>
      <c r="H5" s="66" t="s">
        <v>312</v>
      </c>
      <c r="I5" s="66" t="s">
        <v>58</v>
      </c>
      <c r="J5" s="66" t="s">
        <v>59</v>
      </c>
      <c r="K5" s="66" t="s">
        <v>341</v>
      </c>
      <c r="L5" s="66" t="s">
        <v>89</v>
      </c>
      <c r="M5" s="66" t="s">
        <v>342</v>
      </c>
      <c r="N5" s="66" t="s">
        <v>343</v>
      </c>
      <c r="O5" s="66" t="s">
        <v>282</v>
      </c>
      <c r="P5" s="67" t="s">
        <v>304</v>
      </c>
      <c r="Q5" s="66" t="s">
        <v>305</v>
      </c>
      <c r="R5" s="66" t="s">
        <v>344</v>
      </c>
      <c r="S5" s="66" t="s">
        <v>345</v>
      </c>
      <c r="T5" s="66" t="s">
        <v>330</v>
      </c>
      <c r="U5" s="66" t="s">
        <v>278</v>
      </c>
      <c r="V5" s="66" t="s">
        <v>280</v>
      </c>
      <c r="W5" s="66" t="s">
        <v>346</v>
      </c>
      <c r="X5" s="66" t="s">
        <v>284</v>
      </c>
      <c r="Y5" s="67" t="s">
        <v>347</v>
      </c>
      <c r="Z5" s="66" t="s">
        <v>348</v>
      </c>
      <c r="AA5" s="66" t="s">
        <v>349</v>
      </c>
      <c r="AB5" s="66" t="s">
        <v>283</v>
      </c>
      <c r="AC5" s="66" t="s">
        <v>60</v>
      </c>
      <c r="AD5" s="66" t="s">
        <v>331</v>
      </c>
      <c r="AE5" s="66" t="s">
        <v>350</v>
      </c>
      <c r="AF5" s="66" t="s">
        <v>351</v>
      </c>
      <c r="AG5" s="66" t="s">
        <v>352</v>
      </c>
      <c r="AH5" s="67" t="s">
        <v>353</v>
      </c>
      <c r="AI5" s="66" t="s">
        <v>354</v>
      </c>
      <c r="AJ5" s="66" t="s">
        <v>355</v>
      </c>
      <c r="AK5" s="66" t="s">
        <v>356</v>
      </c>
      <c r="AL5" s="66" t="s">
        <v>332</v>
      </c>
      <c r="AM5" s="66" t="s">
        <v>285</v>
      </c>
      <c r="AN5" s="66" t="s">
        <v>300</v>
      </c>
      <c r="AO5" s="66" t="s">
        <v>287</v>
      </c>
      <c r="AP5" s="67" t="s">
        <v>357</v>
      </c>
      <c r="AQ5" s="66" t="s">
        <v>358</v>
      </c>
      <c r="AR5" s="66" t="s">
        <v>359</v>
      </c>
      <c r="AS5" s="66" t="s">
        <v>333</v>
      </c>
      <c r="AT5" s="66" t="s">
        <v>289</v>
      </c>
      <c r="AU5" s="66" t="s">
        <v>290</v>
      </c>
      <c r="AV5" s="66" t="s">
        <v>334</v>
      </c>
      <c r="AW5" s="66" t="s">
        <v>293</v>
      </c>
      <c r="AX5" s="66" t="s">
        <v>294</v>
      </c>
      <c r="AY5" s="66" t="s">
        <v>296</v>
      </c>
      <c r="AZ5" s="66" t="s">
        <v>335</v>
      </c>
      <c r="BA5" s="66" t="s">
        <v>299</v>
      </c>
      <c r="BB5" s="66" t="s">
        <v>360</v>
      </c>
      <c r="BC5" s="66" t="s">
        <v>302</v>
      </c>
      <c r="BD5" s="66" t="s">
        <v>336</v>
      </c>
      <c r="BE5" s="66" t="s">
        <v>361</v>
      </c>
      <c r="BF5" s="66" t="s">
        <v>362</v>
      </c>
      <c r="BG5" s="66" t="s">
        <v>363</v>
      </c>
      <c r="BH5" s="66" t="s">
        <v>364</v>
      </c>
      <c r="BI5" s="66" t="s">
        <v>365</v>
      </c>
      <c r="BJ5" s="66" t="s">
        <v>366</v>
      </c>
      <c r="BK5" s="66" t="s">
        <v>337</v>
      </c>
      <c r="BL5" s="66" t="s">
        <v>367</v>
      </c>
      <c r="BM5" s="66" t="s">
        <v>368</v>
      </c>
      <c r="BN5" s="66" t="s">
        <v>369</v>
      </c>
      <c r="BO5" s="66" t="s">
        <v>370</v>
      </c>
      <c r="BP5" s="67" t="s">
        <v>371</v>
      </c>
      <c r="BQ5" s="66" t="s">
        <v>372</v>
      </c>
      <c r="BR5" s="66" t="s">
        <v>373</v>
      </c>
      <c r="BS5" s="66" t="s">
        <v>374</v>
      </c>
      <c r="BT5" s="66" t="s">
        <v>338</v>
      </c>
      <c r="BU5" s="66" t="s">
        <v>375</v>
      </c>
      <c r="BV5" s="66" t="s">
        <v>376</v>
      </c>
      <c r="BW5" s="66" t="s">
        <v>377</v>
      </c>
      <c r="BX5" s="66" t="s">
        <v>378</v>
      </c>
      <c r="BY5" s="67" t="s">
        <v>379</v>
      </c>
      <c r="BZ5" s="66" t="s">
        <v>380</v>
      </c>
      <c r="CA5" s="66" t="s">
        <v>381</v>
      </c>
      <c r="CB5" s="66" t="s">
        <v>339</v>
      </c>
      <c r="CC5" s="66" t="s">
        <v>382</v>
      </c>
      <c r="CD5" s="66" t="s">
        <v>383</v>
      </c>
      <c r="CE5" s="66" t="s">
        <v>340</v>
      </c>
      <c r="CF5" s="67" t="s">
        <v>384</v>
      </c>
      <c r="CG5" s="66" t="s">
        <v>385</v>
      </c>
      <c r="CH5" s="66" t="s">
        <v>386</v>
      </c>
      <c r="CI5" s="68" t="s">
        <v>387</v>
      </c>
    </row>
    <row r="6" spans="1:87" ht="15.5" x14ac:dyDescent="0.35">
      <c r="A6" s="60" t="s">
        <v>171</v>
      </c>
      <c r="B6" s="58">
        <f t="shared" ref="B6:B37" si="0">SUM(C6:J6)</f>
        <v>68268.069999999992</v>
      </c>
      <c r="C6" s="58">
        <f t="shared" ref="C6:C37" si="1">-L6-U6+BL6+BU6+CC6</f>
        <v>11469.81</v>
      </c>
      <c r="D6" s="58">
        <f t="shared" ref="D6:D37" si="2">-M6-V6+BM6+BV6+CD6</f>
        <v>118.80999999999995</v>
      </c>
      <c r="E6" s="58">
        <f t="shared" ref="E6:E37" si="3">-N6-W6+BN6+BW6</f>
        <v>25449.519999999997</v>
      </c>
      <c r="F6" s="58">
        <f t="shared" ref="F6:F37" si="4">-O6-X6+BO6+BX6+CE6</f>
        <v>-3348.7099999999991</v>
      </c>
      <c r="G6" s="58">
        <f t="shared" ref="G6:G37" si="5">-P6-Y6+BP6+BY6+CF6</f>
        <v>27412.139999999996</v>
      </c>
      <c r="H6" s="58">
        <f t="shared" ref="H6:H37" si="6">-Q6-Z6+BQ6+BZ6+CG6</f>
        <v>562.31999999999994</v>
      </c>
      <c r="I6" s="58">
        <f t="shared" ref="I6:I37" si="7">-R6-AA6</f>
        <v>6290.81</v>
      </c>
      <c r="J6" s="58">
        <f t="shared" ref="J6:J37" si="8">-S6-AB6+BR6+CA6+CH6</f>
        <v>313.37000000000171</v>
      </c>
      <c r="K6" s="58">
        <f>SUM(L6:S6)</f>
        <v>-44.999999999999943</v>
      </c>
      <c r="L6" s="59">
        <v>0</v>
      </c>
      <c r="M6" s="59">
        <v>-20.81</v>
      </c>
      <c r="N6" s="59">
        <v>-688.76</v>
      </c>
      <c r="O6" s="59">
        <v>677.64</v>
      </c>
      <c r="P6" s="59">
        <v>-13.07</v>
      </c>
      <c r="Q6" s="59">
        <v>0</v>
      </c>
      <c r="R6" s="59">
        <v>-176.42</v>
      </c>
      <c r="S6" s="59">
        <v>176.42</v>
      </c>
      <c r="T6" s="58">
        <f>SUM(U6:AC6)</f>
        <v>-14398.679999999997</v>
      </c>
      <c r="U6" s="58">
        <f t="shared" ref="U6:U37" si="9">AE6+AM6+AW6+BA6+BE6</f>
        <v>-10369.64</v>
      </c>
      <c r="V6" s="58">
        <f t="shared" ref="V6:V37" si="10">AF6+AN6+AX6+BB6+BF6</f>
        <v>798.69</v>
      </c>
      <c r="W6" s="58">
        <f>AT6</f>
        <v>-24643.85</v>
      </c>
      <c r="X6" s="58">
        <f t="shared" ref="X6:X37" si="11">AG6+AO6+AU6+AY6+BC6+BG6</f>
        <v>23882</v>
      </c>
      <c r="Y6" s="58">
        <f t="shared" ref="Y6:Y37" si="12">AH6+AP6</f>
        <v>-5912.49</v>
      </c>
      <c r="Z6" s="58">
        <f t="shared" ref="Z6:Z37" si="13">AI6+AQ6</f>
        <v>-286.70999999999998</v>
      </c>
      <c r="AA6" s="58">
        <f>AJ6</f>
        <v>-6114.39</v>
      </c>
      <c r="AB6" s="58">
        <f>AK6</f>
        <v>8247.7099999999991</v>
      </c>
      <c r="AC6" s="58">
        <f>AR6</f>
        <v>0</v>
      </c>
      <c r="AD6" s="58">
        <f>SUM(AE6:AK6)</f>
        <v>-13387.259999999998</v>
      </c>
      <c r="AE6" s="59">
        <v>-8668.9699999999993</v>
      </c>
      <c r="AF6" s="59">
        <v>-228.5</v>
      </c>
      <c r="AG6" s="59">
        <v>-423.91</v>
      </c>
      <c r="AH6" s="59">
        <v>-5912.49</v>
      </c>
      <c r="AI6" s="59">
        <v>-286.70999999999998</v>
      </c>
      <c r="AJ6" s="59">
        <v>-6114.39</v>
      </c>
      <c r="AK6" s="61">
        <v>8247.7099999999991</v>
      </c>
      <c r="AL6" s="58">
        <f t="shared" ref="AL6:AL71" si="14">SUM(AM6:AR6)</f>
        <v>0</v>
      </c>
      <c r="AM6" s="56">
        <v>0</v>
      </c>
      <c r="AN6" s="56">
        <v>0</v>
      </c>
      <c r="AO6" s="56">
        <v>0</v>
      </c>
      <c r="AP6" s="56">
        <v>0</v>
      </c>
      <c r="AQ6" s="56">
        <v>0</v>
      </c>
      <c r="AR6" s="56">
        <v>0</v>
      </c>
      <c r="AS6" s="58">
        <f>SUM(AT6:AU6)</f>
        <v>-246.5</v>
      </c>
      <c r="AT6" s="59">
        <v>-24643.85</v>
      </c>
      <c r="AU6" s="59">
        <v>24397.35</v>
      </c>
      <c r="AV6" s="58">
        <f>SUM(AW6:AY6)</f>
        <v>-90.039999999999964</v>
      </c>
      <c r="AW6" s="59">
        <v>-1507.26</v>
      </c>
      <c r="AX6" s="59">
        <v>1417.22</v>
      </c>
      <c r="AY6" s="59">
        <v>0</v>
      </c>
      <c r="AZ6" s="58">
        <f>SUM(BA6:BC6)</f>
        <v>-670.86999999999989</v>
      </c>
      <c r="BA6" s="59">
        <v>-101.09</v>
      </c>
      <c r="BB6" s="59">
        <v>-478.34</v>
      </c>
      <c r="BC6" s="59">
        <v>-91.44</v>
      </c>
      <c r="BD6" s="58">
        <f>SUM(BE6:BG6)</f>
        <v>-4.0099999999999909</v>
      </c>
      <c r="BE6" s="59">
        <v>-92.32</v>
      </c>
      <c r="BF6" s="59">
        <v>88.31</v>
      </c>
      <c r="BG6" s="59">
        <v>0</v>
      </c>
      <c r="BH6" s="58">
        <f t="shared" ref="BH6:BH65" si="15">SUM(BI6:BJ6)</f>
        <v>0</v>
      </c>
      <c r="BI6" s="59">
        <v>0</v>
      </c>
      <c r="BJ6" s="59">
        <v>0</v>
      </c>
      <c r="BK6" s="58">
        <f>SUM(BL6:BS6)</f>
        <v>4349.01</v>
      </c>
      <c r="BL6" s="59">
        <v>0.89</v>
      </c>
      <c r="BM6" s="59">
        <v>291.17</v>
      </c>
      <c r="BN6" s="59">
        <v>116.91</v>
      </c>
      <c r="BO6" s="59">
        <v>1613.06</v>
      </c>
      <c r="BP6" s="59">
        <v>1691.23</v>
      </c>
      <c r="BQ6" s="59">
        <v>0</v>
      </c>
      <c r="BR6" s="59">
        <v>635.75</v>
      </c>
      <c r="BS6" s="59">
        <v>0</v>
      </c>
      <c r="BT6" s="58">
        <f>SUM(BU6:CA6)</f>
        <v>996.01</v>
      </c>
      <c r="BU6" s="59">
        <v>0</v>
      </c>
      <c r="BV6" s="59">
        <v>37.32</v>
      </c>
      <c r="BW6" s="59">
        <v>0</v>
      </c>
      <c r="BX6" s="59">
        <v>0</v>
      </c>
      <c r="BY6" s="59">
        <v>332.2</v>
      </c>
      <c r="BZ6" s="59">
        <v>0</v>
      </c>
      <c r="CA6" s="59">
        <v>626.49</v>
      </c>
      <c r="CB6" s="58">
        <f>'Quarter final consumption'!B6</f>
        <v>48479.37</v>
      </c>
      <c r="CC6" s="58">
        <f>'Quarter final consumption'!C6</f>
        <v>1099.2800000000002</v>
      </c>
      <c r="CD6" s="58">
        <f>'Quarter final consumption'!D6</f>
        <v>568.20000000000005</v>
      </c>
      <c r="CE6" s="58">
        <f>'Quarter final consumption'!E6</f>
        <v>19597.87</v>
      </c>
      <c r="CF6" s="58">
        <f>'Quarter final consumption'!F6</f>
        <v>19463.149999999998</v>
      </c>
      <c r="CG6" s="58">
        <f>'Quarter final consumption'!G6</f>
        <v>275.61</v>
      </c>
      <c r="CH6" s="58">
        <f>'Quarter final consumption'!H6</f>
        <v>7475.2600000000011</v>
      </c>
      <c r="CI6" s="70">
        <f>'Quarter final consumption'!I6</f>
        <v>0</v>
      </c>
    </row>
    <row r="7" spans="1:87" ht="15.5" x14ac:dyDescent="0.35">
      <c r="A7" s="50" t="s">
        <v>172</v>
      </c>
      <c r="B7" s="58">
        <f t="shared" si="0"/>
        <v>56385.899999999994</v>
      </c>
      <c r="C7" s="58">
        <f t="shared" si="1"/>
        <v>9486.3499999999985</v>
      </c>
      <c r="D7" s="58">
        <f t="shared" si="2"/>
        <v>128.3000000000003</v>
      </c>
      <c r="E7" s="58">
        <f t="shared" si="3"/>
        <v>27659</v>
      </c>
      <c r="F7" s="58">
        <f t="shared" si="4"/>
        <v>-6649.5700000000033</v>
      </c>
      <c r="G7" s="58">
        <f t="shared" si="5"/>
        <v>19357.009999999998</v>
      </c>
      <c r="H7" s="58">
        <f t="shared" si="6"/>
        <v>495.18</v>
      </c>
      <c r="I7" s="58">
        <f t="shared" si="7"/>
        <v>5657.21</v>
      </c>
      <c r="J7" s="58">
        <f t="shared" si="8"/>
        <v>252.42000000000007</v>
      </c>
      <c r="K7" s="58">
        <f t="shared" ref="K7:K17" si="16">SUM(L7:S7)</f>
        <v>-24.870000000000061</v>
      </c>
      <c r="L7" s="59">
        <v>0</v>
      </c>
      <c r="M7" s="59">
        <v>-7.59</v>
      </c>
      <c r="N7" s="59">
        <v>-644.86</v>
      </c>
      <c r="O7" s="59">
        <v>640.65</v>
      </c>
      <c r="P7" s="59">
        <v>-13.07</v>
      </c>
      <c r="Q7" s="59">
        <v>0</v>
      </c>
      <c r="R7" s="59">
        <v>-90.87</v>
      </c>
      <c r="S7" s="59">
        <v>90.87</v>
      </c>
      <c r="T7" s="58">
        <f t="shared" ref="T7:T22" si="17">SUM(U7:AC7)</f>
        <v>-12531.01</v>
      </c>
      <c r="U7" s="58">
        <f t="shared" si="9"/>
        <v>-8636.07</v>
      </c>
      <c r="V7" s="58">
        <f t="shared" si="10"/>
        <v>795.01999999999975</v>
      </c>
      <c r="W7" s="58">
        <f t="shared" ref="W7:W36" si="18">AT7</f>
        <v>-26905.45</v>
      </c>
      <c r="X7" s="58">
        <f t="shared" si="11"/>
        <v>26352.93</v>
      </c>
      <c r="Y7" s="58">
        <f t="shared" si="12"/>
        <v>-5358.01</v>
      </c>
      <c r="Z7" s="58">
        <f t="shared" si="13"/>
        <v>-297.17</v>
      </c>
      <c r="AA7" s="58">
        <f t="shared" ref="AA7:AB22" si="19">AJ7</f>
        <v>-5566.34</v>
      </c>
      <c r="AB7" s="58">
        <f t="shared" si="19"/>
        <v>7084.08</v>
      </c>
      <c r="AC7" s="58">
        <f t="shared" ref="AC7:AC36" si="20">AR7</f>
        <v>0</v>
      </c>
      <c r="AD7" s="58">
        <f t="shared" ref="AD7:AD16" si="21">SUM(AE7:AK7)</f>
        <v>-11574.479999999998</v>
      </c>
      <c r="AE7" s="59">
        <v>-6878.33</v>
      </c>
      <c r="AF7" s="59">
        <v>-233.92</v>
      </c>
      <c r="AG7" s="59">
        <v>-324.79000000000002</v>
      </c>
      <c r="AH7" s="59">
        <v>-5358.01</v>
      </c>
      <c r="AI7" s="59">
        <v>-297.17</v>
      </c>
      <c r="AJ7" s="59">
        <v>-5566.34</v>
      </c>
      <c r="AK7" s="59">
        <v>7084.08</v>
      </c>
      <c r="AL7" s="58">
        <f t="shared" si="14"/>
        <v>0</v>
      </c>
      <c r="AM7" s="56">
        <v>0</v>
      </c>
      <c r="AN7" s="56">
        <v>0</v>
      </c>
      <c r="AO7" s="56">
        <v>0</v>
      </c>
      <c r="AP7" s="56">
        <v>0</v>
      </c>
      <c r="AQ7" s="56">
        <v>0</v>
      </c>
      <c r="AR7" s="56">
        <v>0</v>
      </c>
      <c r="AS7" s="58">
        <f t="shared" ref="AS7:AS70" si="22">SUM(AT7:AU7)</f>
        <v>-152.68000000000029</v>
      </c>
      <c r="AT7" s="59">
        <v>-26905.45</v>
      </c>
      <c r="AU7" s="59">
        <v>26752.77</v>
      </c>
      <c r="AV7" s="58">
        <f t="shared" ref="AV7:AV71" si="23">SUM(AW7:AY7)</f>
        <v>-77.940000000000055</v>
      </c>
      <c r="AW7" s="59">
        <v>-1522.52</v>
      </c>
      <c r="AX7" s="59">
        <v>1444.58</v>
      </c>
      <c r="AY7" s="59">
        <v>0</v>
      </c>
      <c r="AZ7" s="58">
        <f t="shared" ref="AZ7:AZ71" si="24">SUM(BA7:BC7)</f>
        <v>-724.56999999999994</v>
      </c>
      <c r="BA7" s="59">
        <v>-126.82</v>
      </c>
      <c r="BB7" s="59">
        <v>-522.70000000000005</v>
      </c>
      <c r="BC7" s="59">
        <v>-75.05</v>
      </c>
      <c r="BD7" s="58">
        <f t="shared" ref="BD7:BD71" si="25">SUM(BE7:BG7)</f>
        <v>-1.3400000000000034</v>
      </c>
      <c r="BE7" s="59">
        <v>-108.4</v>
      </c>
      <c r="BF7" s="59">
        <v>107.06</v>
      </c>
      <c r="BG7" s="59">
        <v>0</v>
      </c>
      <c r="BH7" s="58">
        <f t="shared" si="15"/>
        <v>0</v>
      </c>
      <c r="BI7" s="59">
        <v>0</v>
      </c>
      <c r="BJ7" s="59">
        <v>0</v>
      </c>
      <c r="BK7" s="58">
        <f t="shared" ref="BK7:BK71" si="26">SUM(BL7:BS7)</f>
        <v>4431.16</v>
      </c>
      <c r="BL7" s="59">
        <v>2.2999999999999998</v>
      </c>
      <c r="BM7" s="59">
        <v>303.39</v>
      </c>
      <c r="BN7" s="59">
        <v>108.69</v>
      </c>
      <c r="BO7" s="59">
        <v>1697.08</v>
      </c>
      <c r="BP7" s="59">
        <v>1742.82</v>
      </c>
      <c r="BQ7" s="59">
        <v>0</v>
      </c>
      <c r="BR7" s="59">
        <v>576.88</v>
      </c>
      <c r="BS7" s="59">
        <v>0</v>
      </c>
      <c r="BT7" s="58">
        <f t="shared" ref="BT7:BT70" si="27">SUM(BU7:CA7)</f>
        <v>854.43</v>
      </c>
      <c r="BU7" s="59">
        <v>0</v>
      </c>
      <c r="BV7" s="59">
        <v>37.869999999999997</v>
      </c>
      <c r="BW7" s="59">
        <v>0</v>
      </c>
      <c r="BX7" s="59">
        <v>0</v>
      </c>
      <c r="BY7" s="59">
        <v>293.88</v>
      </c>
      <c r="BZ7" s="59">
        <v>0</v>
      </c>
      <c r="CA7" s="59">
        <v>522.67999999999995</v>
      </c>
      <c r="CB7" s="58">
        <f>'Quarter final consumption'!B7</f>
        <v>38544.429999999993</v>
      </c>
      <c r="CC7" s="58">
        <f>'Quarter final consumption'!C7</f>
        <v>847.98</v>
      </c>
      <c r="CD7" s="58">
        <f>'Quarter final consumption'!D7</f>
        <v>574.47</v>
      </c>
      <c r="CE7" s="58">
        <f>'Quarter final consumption'!E7</f>
        <v>18646.929999999997</v>
      </c>
      <c r="CF7" s="58">
        <f>'Quarter final consumption'!F7</f>
        <v>11949.229999999998</v>
      </c>
      <c r="CG7" s="58">
        <f>'Quarter final consumption'!G7</f>
        <v>198.01</v>
      </c>
      <c r="CH7" s="58">
        <f>'Quarter final consumption'!H7</f>
        <v>6327.8099999999995</v>
      </c>
      <c r="CI7" s="71">
        <f>'Quarter final consumption'!I7</f>
        <v>0</v>
      </c>
    </row>
    <row r="8" spans="1:87" ht="15.5" x14ac:dyDescent="0.35">
      <c r="A8" s="50" t="s">
        <v>173</v>
      </c>
      <c r="B8" s="58">
        <f t="shared" si="0"/>
        <v>51686.759999999995</v>
      </c>
      <c r="C8" s="58">
        <f t="shared" si="1"/>
        <v>9196.6200000000008</v>
      </c>
      <c r="D8" s="58">
        <f t="shared" si="2"/>
        <v>27.590000000000032</v>
      </c>
      <c r="E8" s="58">
        <f t="shared" si="3"/>
        <v>25615.22</v>
      </c>
      <c r="F8" s="58">
        <f t="shared" si="4"/>
        <v>-3751.190000000006</v>
      </c>
      <c r="G8" s="58">
        <f t="shared" si="5"/>
        <v>14595.759999999998</v>
      </c>
      <c r="H8" s="58">
        <f t="shared" si="6"/>
        <v>461.62</v>
      </c>
      <c r="I8" s="58">
        <f t="shared" si="7"/>
        <v>5498.72</v>
      </c>
      <c r="J8" s="58">
        <f t="shared" si="8"/>
        <v>42.420000000000982</v>
      </c>
      <c r="K8" s="58">
        <f t="shared" si="16"/>
        <v>-60.67000000000003</v>
      </c>
      <c r="L8" s="59">
        <v>0</v>
      </c>
      <c r="M8" s="59">
        <v>-40.36</v>
      </c>
      <c r="N8" s="59">
        <v>-647.23</v>
      </c>
      <c r="O8" s="59">
        <v>639.99</v>
      </c>
      <c r="P8" s="59">
        <v>-13.07</v>
      </c>
      <c r="Q8" s="59">
        <v>0</v>
      </c>
      <c r="R8" s="59">
        <v>-96.96</v>
      </c>
      <c r="S8" s="59">
        <v>96.96</v>
      </c>
      <c r="T8" s="58">
        <f t="shared" si="17"/>
        <v>-12234.179999999997</v>
      </c>
      <c r="U8" s="58">
        <f t="shared" si="9"/>
        <v>-8442.85</v>
      </c>
      <c r="V8" s="58">
        <f t="shared" si="10"/>
        <v>921.26</v>
      </c>
      <c r="W8" s="58">
        <f t="shared" si="18"/>
        <v>-24867.18</v>
      </c>
      <c r="X8" s="58">
        <f t="shared" si="11"/>
        <v>24279.140000000003</v>
      </c>
      <c r="Y8" s="58">
        <f t="shared" si="12"/>
        <v>-5413.87</v>
      </c>
      <c r="Z8" s="58">
        <f t="shared" si="13"/>
        <v>-308.42</v>
      </c>
      <c r="AA8" s="58">
        <f t="shared" si="19"/>
        <v>-5401.76</v>
      </c>
      <c r="AB8" s="58">
        <f t="shared" si="19"/>
        <v>6999.5</v>
      </c>
      <c r="AC8" s="58">
        <f t="shared" si="20"/>
        <v>0</v>
      </c>
      <c r="AD8" s="58">
        <f t="shared" si="21"/>
        <v>-11368.59</v>
      </c>
      <c r="AE8" s="59">
        <v>-6655.38</v>
      </c>
      <c r="AF8" s="59">
        <v>-231.72</v>
      </c>
      <c r="AG8" s="59">
        <v>-356.94</v>
      </c>
      <c r="AH8" s="59">
        <v>-5413.87</v>
      </c>
      <c r="AI8" s="59">
        <v>-308.42</v>
      </c>
      <c r="AJ8" s="59">
        <v>-5401.76</v>
      </c>
      <c r="AK8" s="59">
        <v>6999.5</v>
      </c>
      <c r="AL8" s="58">
        <f t="shared" si="14"/>
        <v>0</v>
      </c>
      <c r="AM8" s="56">
        <v>0</v>
      </c>
      <c r="AN8" s="56">
        <v>0</v>
      </c>
      <c r="AO8" s="56">
        <v>0</v>
      </c>
      <c r="AP8" s="56">
        <v>0</v>
      </c>
      <c r="AQ8" s="56">
        <v>0</v>
      </c>
      <c r="AR8" s="56">
        <v>0</v>
      </c>
      <c r="AS8" s="58">
        <f t="shared" si="22"/>
        <v>-179.43999999999869</v>
      </c>
      <c r="AT8" s="59">
        <v>-24867.18</v>
      </c>
      <c r="AU8" s="59">
        <v>24687.74</v>
      </c>
      <c r="AV8" s="58">
        <f t="shared" si="23"/>
        <v>-79.279999999999973</v>
      </c>
      <c r="AW8" s="59">
        <v>-1553.97</v>
      </c>
      <c r="AX8" s="59">
        <v>1474.69</v>
      </c>
      <c r="AY8" s="59">
        <v>0</v>
      </c>
      <c r="AZ8" s="58">
        <f t="shared" si="24"/>
        <v>-606.94999999999993</v>
      </c>
      <c r="BA8" s="59">
        <v>-104.79</v>
      </c>
      <c r="BB8" s="59">
        <v>-450.5</v>
      </c>
      <c r="BC8" s="59">
        <v>-51.66</v>
      </c>
      <c r="BD8" s="58">
        <f t="shared" si="25"/>
        <v>7.9999999999984084E-2</v>
      </c>
      <c r="BE8" s="59">
        <v>-128.71</v>
      </c>
      <c r="BF8" s="59">
        <v>128.79</v>
      </c>
      <c r="BG8" s="59">
        <v>0</v>
      </c>
      <c r="BH8" s="58">
        <f t="shared" si="15"/>
        <v>0</v>
      </c>
      <c r="BI8" s="59">
        <v>0</v>
      </c>
      <c r="BJ8" s="59">
        <v>0</v>
      </c>
      <c r="BK8" s="58">
        <f t="shared" si="26"/>
        <v>4055.4500000000003</v>
      </c>
      <c r="BL8" s="59">
        <v>0.18</v>
      </c>
      <c r="BM8" s="59">
        <v>311.04000000000002</v>
      </c>
      <c r="BN8" s="59">
        <v>100.81</v>
      </c>
      <c r="BO8" s="59">
        <v>1657.48</v>
      </c>
      <c r="BP8" s="59">
        <v>1408.77</v>
      </c>
      <c r="BQ8" s="59">
        <v>0</v>
      </c>
      <c r="BR8" s="59">
        <v>577.16999999999996</v>
      </c>
      <c r="BS8" s="59">
        <v>0</v>
      </c>
      <c r="BT8" s="58">
        <f t="shared" si="27"/>
        <v>924.92000000000007</v>
      </c>
      <c r="BU8" s="59">
        <v>0</v>
      </c>
      <c r="BV8" s="59">
        <v>48.81</v>
      </c>
      <c r="BW8" s="59">
        <v>0</v>
      </c>
      <c r="BX8" s="59">
        <v>0</v>
      </c>
      <c r="BY8" s="59">
        <v>303.51</v>
      </c>
      <c r="BZ8" s="59">
        <v>0</v>
      </c>
      <c r="CA8" s="59">
        <v>572.6</v>
      </c>
      <c r="CB8" s="58">
        <f>'Quarter final consumption'!B8</f>
        <v>34411.54</v>
      </c>
      <c r="CC8" s="58">
        <f>'Quarter final consumption'!C8</f>
        <v>753.59000000000015</v>
      </c>
      <c r="CD8" s="58">
        <f>'Quarter final consumption'!D8</f>
        <v>548.64</v>
      </c>
      <c r="CE8" s="58">
        <f>'Quarter final consumption'!E8</f>
        <v>19510.46</v>
      </c>
      <c r="CF8" s="58">
        <f>'Quarter final consumption'!F8</f>
        <v>7456.54</v>
      </c>
      <c r="CG8" s="58">
        <f>'Quarter final consumption'!G8</f>
        <v>153.20000000000002</v>
      </c>
      <c r="CH8" s="58">
        <f>'Quarter final consumption'!H8</f>
        <v>5989.1100000000006</v>
      </c>
      <c r="CI8" s="71">
        <f>'Quarter final consumption'!I8</f>
        <v>0</v>
      </c>
    </row>
    <row r="9" spans="1:87" ht="15.5" x14ac:dyDescent="0.35">
      <c r="A9" s="50" t="s">
        <v>174</v>
      </c>
      <c r="B9" s="58">
        <f t="shared" si="0"/>
        <v>67176.98</v>
      </c>
      <c r="C9" s="58">
        <f t="shared" si="1"/>
        <v>10457.9</v>
      </c>
      <c r="D9" s="58">
        <f t="shared" si="2"/>
        <v>45.490000000000066</v>
      </c>
      <c r="E9" s="58">
        <f t="shared" si="3"/>
        <v>26873.360000000001</v>
      </c>
      <c r="F9" s="58">
        <f t="shared" si="4"/>
        <v>-4090.9700000000012</v>
      </c>
      <c r="G9" s="58">
        <f t="shared" si="5"/>
        <v>26525.739999999998</v>
      </c>
      <c r="H9" s="58">
        <f t="shared" si="6"/>
        <v>557.91999999999996</v>
      </c>
      <c r="I9" s="58">
        <f t="shared" si="7"/>
        <v>6503.7300000000005</v>
      </c>
      <c r="J9" s="58">
        <f t="shared" si="8"/>
        <v>303.80999999999949</v>
      </c>
      <c r="K9" s="58">
        <f t="shared" si="16"/>
        <v>-75.259999999999934</v>
      </c>
      <c r="L9" s="59">
        <v>0</v>
      </c>
      <c r="M9" s="59">
        <v>-60.56</v>
      </c>
      <c r="N9" s="59">
        <v>-748.31</v>
      </c>
      <c r="O9" s="59">
        <v>746.68</v>
      </c>
      <c r="P9" s="59">
        <v>-13.07</v>
      </c>
      <c r="Q9" s="59">
        <v>0</v>
      </c>
      <c r="R9" s="59">
        <v>-151.13999999999999</v>
      </c>
      <c r="S9" s="59">
        <v>151.13999999999999</v>
      </c>
      <c r="T9" s="58">
        <f t="shared" si="17"/>
        <v>-14365.130000000001</v>
      </c>
      <c r="U9" s="58">
        <f t="shared" si="9"/>
        <v>-9442.33</v>
      </c>
      <c r="V9" s="58">
        <f t="shared" si="10"/>
        <v>868.59999999999991</v>
      </c>
      <c r="W9" s="58">
        <f t="shared" si="18"/>
        <v>-26025.93</v>
      </c>
      <c r="X9" s="58">
        <f t="shared" si="11"/>
        <v>25042.800000000003</v>
      </c>
      <c r="Y9" s="58">
        <f t="shared" si="12"/>
        <v>-6336.52</v>
      </c>
      <c r="Z9" s="58">
        <f t="shared" si="13"/>
        <v>-319.58999999999997</v>
      </c>
      <c r="AA9" s="58">
        <f t="shared" si="19"/>
        <v>-6352.59</v>
      </c>
      <c r="AB9" s="58">
        <f t="shared" si="19"/>
        <v>8200.43</v>
      </c>
      <c r="AC9" s="58">
        <f t="shared" si="20"/>
        <v>0</v>
      </c>
      <c r="AD9" s="58">
        <f t="shared" si="21"/>
        <v>-13090.79</v>
      </c>
      <c r="AE9" s="59">
        <v>-7699.62</v>
      </c>
      <c r="AF9" s="59">
        <v>-206.55</v>
      </c>
      <c r="AG9" s="59">
        <v>-376.35</v>
      </c>
      <c r="AH9" s="59">
        <v>-6336.52</v>
      </c>
      <c r="AI9" s="59">
        <v>-319.58999999999997</v>
      </c>
      <c r="AJ9" s="59">
        <v>-6352.59</v>
      </c>
      <c r="AK9" s="59">
        <v>8200.43</v>
      </c>
      <c r="AL9" s="58">
        <f t="shared" si="14"/>
        <v>0</v>
      </c>
      <c r="AM9" s="56">
        <v>0</v>
      </c>
      <c r="AN9" s="56">
        <v>0</v>
      </c>
      <c r="AO9" s="56">
        <v>0</v>
      </c>
      <c r="AP9" s="56">
        <v>0</v>
      </c>
      <c r="AQ9" s="56">
        <v>0</v>
      </c>
      <c r="AR9" s="56">
        <v>0</v>
      </c>
      <c r="AS9" s="58">
        <f t="shared" si="22"/>
        <v>-548.11999999999898</v>
      </c>
      <c r="AT9" s="59">
        <v>-26025.93</v>
      </c>
      <c r="AU9" s="59">
        <v>25477.81</v>
      </c>
      <c r="AV9" s="58">
        <f t="shared" si="23"/>
        <v>-127.58999999999992</v>
      </c>
      <c r="AW9" s="59">
        <v>-1527.86</v>
      </c>
      <c r="AX9" s="59">
        <v>1400.27</v>
      </c>
      <c r="AY9" s="59">
        <v>0</v>
      </c>
      <c r="AZ9" s="58">
        <f t="shared" si="24"/>
        <v>-596.85</v>
      </c>
      <c r="BA9" s="59">
        <v>-85.52</v>
      </c>
      <c r="BB9" s="59">
        <v>-452.67</v>
      </c>
      <c r="BC9" s="59">
        <v>-58.66</v>
      </c>
      <c r="BD9" s="58">
        <f t="shared" si="25"/>
        <v>-1.7800000000000153</v>
      </c>
      <c r="BE9" s="59">
        <v>-129.33000000000001</v>
      </c>
      <c r="BF9" s="59">
        <v>127.55</v>
      </c>
      <c r="BG9" s="59">
        <v>0</v>
      </c>
      <c r="BH9" s="58">
        <f t="shared" si="15"/>
        <v>0</v>
      </c>
      <c r="BI9" s="59">
        <v>0</v>
      </c>
      <c r="BJ9" s="59">
        <v>0</v>
      </c>
      <c r="BK9" s="58">
        <f t="shared" si="26"/>
        <v>4331.8999999999996</v>
      </c>
      <c r="BL9" s="59">
        <v>0.18</v>
      </c>
      <c r="BM9" s="59">
        <v>279.24</v>
      </c>
      <c r="BN9" s="59">
        <v>99.12</v>
      </c>
      <c r="BO9" s="59">
        <v>1639.9</v>
      </c>
      <c r="BP9" s="59">
        <v>1691.4</v>
      </c>
      <c r="BQ9" s="59">
        <v>0</v>
      </c>
      <c r="BR9" s="59">
        <v>622.05999999999995</v>
      </c>
      <c r="BS9" s="59">
        <v>0</v>
      </c>
      <c r="BT9" s="58">
        <f t="shared" si="27"/>
        <v>1181.6600000000001</v>
      </c>
      <c r="BU9" s="59">
        <v>0</v>
      </c>
      <c r="BV9" s="59">
        <v>31.55</v>
      </c>
      <c r="BW9" s="59">
        <v>0</v>
      </c>
      <c r="BX9" s="59">
        <v>0</v>
      </c>
      <c r="BY9" s="59">
        <v>468.01</v>
      </c>
      <c r="BZ9" s="59">
        <v>0</v>
      </c>
      <c r="CA9" s="59">
        <v>682.1</v>
      </c>
      <c r="CB9" s="58">
        <f>'Quarter final consumption'!B9</f>
        <v>47223.03</v>
      </c>
      <c r="CC9" s="58">
        <f>'Quarter final consumption'!C9</f>
        <v>1015.3900000000001</v>
      </c>
      <c r="CD9" s="58">
        <f>'Quarter final consumption'!D9</f>
        <v>542.74</v>
      </c>
      <c r="CE9" s="58">
        <f>'Quarter final consumption'!E9</f>
        <v>20058.61</v>
      </c>
      <c r="CF9" s="58">
        <f>'Quarter final consumption'!F9</f>
        <v>18016.739999999998</v>
      </c>
      <c r="CG9" s="58">
        <f>'Quarter final consumption'!G9</f>
        <v>238.32999999999998</v>
      </c>
      <c r="CH9" s="58">
        <f>'Quarter final consumption'!H9</f>
        <v>7351.2199999999993</v>
      </c>
      <c r="CI9" s="71">
        <f>'Quarter final consumption'!I9</f>
        <v>0</v>
      </c>
    </row>
    <row r="10" spans="1:87" ht="15.5" x14ac:dyDescent="0.35">
      <c r="A10" s="50" t="s">
        <v>175</v>
      </c>
      <c r="B10" s="58">
        <f t="shared" si="0"/>
        <v>70026.350000000006</v>
      </c>
      <c r="C10" s="58">
        <f t="shared" si="1"/>
        <v>10182.030000000001</v>
      </c>
      <c r="D10" s="58">
        <f t="shared" si="2"/>
        <v>120.00999999999993</v>
      </c>
      <c r="E10" s="58">
        <f t="shared" si="3"/>
        <v>25327.46</v>
      </c>
      <c r="F10" s="58">
        <f t="shared" si="4"/>
        <v>-2981.6699999999946</v>
      </c>
      <c r="G10" s="58">
        <f t="shared" si="5"/>
        <v>30054.17</v>
      </c>
      <c r="H10" s="58">
        <f t="shared" si="6"/>
        <v>600.76</v>
      </c>
      <c r="I10" s="58">
        <f t="shared" si="7"/>
        <v>6359.73</v>
      </c>
      <c r="J10" s="58">
        <f t="shared" si="8"/>
        <v>363.85999999999876</v>
      </c>
      <c r="K10" s="58">
        <f t="shared" si="16"/>
        <v>-11.439999999999998</v>
      </c>
      <c r="L10" s="59">
        <v>0</v>
      </c>
      <c r="M10" s="59">
        <v>-10.01</v>
      </c>
      <c r="N10" s="59">
        <v>-481.14</v>
      </c>
      <c r="O10" s="59">
        <v>490.59</v>
      </c>
      <c r="P10" s="59">
        <v>-10.88</v>
      </c>
      <c r="Q10" s="59">
        <v>0</v>
      </c>
      <c r="R10" s="59">
        <v>-178.5</v>
      </c>
      <c r="S10" s="59">
        <v>178.5</v>
      </c>
      <c r="T10" s="58">
        <f t="shared" si="17"/>
        <v>-14736.880000000001</v>
      </c>
      <c r="U10" s="58">
        <f t="shared" si="9"/>
        <v>-9182.81</v>
      </c>
      <c r="V10" s="58">
        <f t="shared" si="10"/>
        <v>677.98</v>
      </c>
      <c r="W10" s="58">
        <f t="shared" si="18"/>
        <v>-24745.03</v>
      </c>
      <c r="X10" s="58">
        <f t="shared" si="11"/>
        <v>23567.71</v>
      </c>
      <c r="Y10" s="58">
        <f t="shared" si="12"/>
        <v>-7727.13</v>
      </c>
      <c r="Z10" s="58">
        <f t="shared" si="13"/>
        <v>-365.18</v>
      </c>
      <c r="AA10" s="58">
        <f t="shared" si="19"/>
        <v>-6181.23</v>
      </c>
      <c r="AB10" s="58">
        <f t="shared" si="19"/>
        <v>8441.2800000000007</v>
      </c>
      <c r="AC10" s="58">
        <f t="shared" si="20"/>
        <v>777.53</v>
      </c>
      <c r="AD10" s="58">
        <f t="shared" si="21"/>
        <v>-12997.199999999999</v>
      </c>
      <c r="AE10" s="59">
        <v>-7379.16</v>
      </c>
      <c r="AF10" s="59">
        <v>-218.51</v>
      </c>
      <c r="AG10" s="59">
        <v>-348.46</v>
      </c>
      <c r="AH10" s="59">
        <v>-6971.95</v>
      </c>
      <c r="AI10" s="59">
        <v>-339.17</v>
      </c>
      <c r="AJ10" s="59">
        <v>-6181.23</v>
      </c>
      <c r="AK10" s="59">
        <v>8441.2800000000007</v>
      </c>
      <c r="AL10" s="58">
        <f t="shared" si="14"/>
        <v>-356.82999999999993</v>
      </c>
      <c r="AM10" s="59">
        <v>-108.33</v>
      </c>
      <c r="AN10" s="59">
        <v>-61.44</v>
      </c>
      <c r="AO10" s="59">
        <v>-183.4</v>
      </c>
      <c r="AP10" s="59">
        <v>-755.18</v>
      </c>
      <c r="AQ10" s="59">
        <v>-26.01</v>
      </c>
      <c r="AR10" s="59">
        <v>777.53</v>
      </c>
      <c r="AS10" s="58">
        <f t="shared" si="22"/>
        <v>-552.5</v>
      </c>
      <c r="AT10" s="59">
        <v>-24745.03</v>
      </c>
      <c r="AU10" s="59">
        <v>24192.53</v>
      </c>
      <c r="AV10" s="58">
        <f t="shared" si="23"/>
        <v>-155.06999999999994</v>
      </c>
      <c r="AW10" s="59">
        <v>-1490.78</v>
      </c>
      <c r="AX10" s="59">
        <v>1335.71</v>
      </c>
      <c r="AY10" s="59">
        <v>0</v>
      </c>
      <c r="AZ10" s="58">
        <f t="shared" si="24"/>
        <v>-687.33</v>
      </c>
      <c r="BA10" s="59">
        <v>-85.08</v>
      </c>
      <c r="BB10" s="59">
        <v>-509.29</v>
      </c>
      <c r="BC10" s="59">
        <v>-92.96</v>
      </c>
      <c r="BD10" s="58">
        <f t="shared" si="25"/>
        <v>12.049999999999997</v>
      </c>
      <c r="BE10" s="59">
        <v>-119.46</v>
      </c>
      <c r="BF10" s="59">
        <v>131.51</v>
      </c>
      <c r="BG10" s="59">
        <v>0</v>
      </c>
      <c r="BH10" s="58">
        <f t="shared" si="15"/>
        <v>0</v>
      </c>
      <c r="BI10" s="59">
        <v>0</v>
      </c>
      <c r="BJ10" s="59">
        <v>0</v>
      </c>
      <c r="BK10" s="58">
        <f t="shared" si="26"/>
        <v>4344.2199999999993</v>
      </c>
      <c r="BL10" s="59">
        <v>2.35</v>
      </c>
      <c r="BM10" s="59">
        <v>279.95</v>
      </c>
      <c r="BN10" s="59">
        <v>101.29</v>
      </c>
      <c r="BO10" s="59">
        <v>1532.22</v>
      </c>
      <c r="BP10" s="59">
        <v>1807.8</v>
      </c>
      <c r="BQ10" s="59">
        <v>0</v>
      </c>
      <c r="BR10" s="59">
        <v>620.61</v>
      </c>
      <c r="BS10" s="59">
        <v>0</v>
      </c>
      <c r="BT10" s="58">
        <f t="shared" si="27"/>
        <v>1002.9000000000001</v>
      </c>
      <c r="BU10" s="59">
        <v>0</v>
      </c>
      <c r="BV10" s="59">
        <v>38.75</v>
      </c>
      <c r="BW10" s="59">
        <v>0</v>
      </c>
      <c r="BX10" s="59">
        <v>0</v>
      </c>
      <c r="BY10" s="59">
        <v>360.45</v>
      </c>
      <c r="BZ10" s="59">
        <v>0</v>
      </c>
      <c r="CA10" s="59">
        <v>603.70000000000005</v>
      </c>
      <c r="CB10" s="58">
        <f>'Quarter final consumption'!B10</f>
        <v>50345.750000000007</v>
      </c>
      <c r="CC10" s="58">
        <f>'Quarter final consumption'!C10</f>
        <v>996.87</v>
      </c>
      <c r="CD10" s="58">
        <f>'Quarter final consumption'!D10</f>
        <v>469.28</v>
      </c>
      <c r="CE10" s="58">
        <f>'Quarter final consumption'!E10</f>
        <v>19544.410000000003</v>
      </c>
      <c r="CF10" s="58">
        <f>'Quarter final consumption'!F10</f>
        <v>20147.91</v>
      </c>
      <c r="CG10" s="58">
        <f>'Quarter final consumption'!G10</f>
        <v>235.57999999999998</v>
      </c>
      <c r="CH10" s="58">
        <f>'Quarter final consumption'!H10</f>
        <v>7759.33</v>
      </c>
      <c r="CI10" s="71">
        <f>'Quarter final consumption'!I10</f>
        <v>1192.3699999999999</v>
      </c>
    </row>
    <row r="11" spans="1:87" ht="15.5" x14ac:dyDescent="0.35">
      <c r="A11" s="50" t="s">
        <v>176</v>
      </c>
      <c r="B11" s="58">
        <f t="shared" si="0"/>
        <v>55680.770000000004</v>
      </c>
      <c r="C11" s="58">
        <f t="shared" si="1"/>
        <v>8112.2900000000009</v>
      </c>
      <c r="D11" s="58">
        <f t="shared" si="2"/>
        <v>156.47999999999962</v>
      </c>
      <c r="E11" s="58">
        <f t="shared" si="3"/>
        <v>24741.489999999998</v>
      </c>
      <c r="F11" s="58">
        <f t="shared" si="4"/>
        <v>-3986.5699999999961</v>
      </c>
      <c r="G11" s="58">
        <f t="shared" si="5"/>
        <v>19954.919999999998</v>
      </c>
      <c r="H11" s="58">
        <f t="shared" si="6"/>
        <v>531.57999999999993</v>
      </c>
      <c r="I11" s="58">
        <f t="shared" si="7"/>
        <v>5916.99</v>
      </c>
      <c r="J11" s="58">
        <f t="shared" si="8"/>
        <v>253.59000000000015</v>
      </c>
      <c r="K11" s="58">
        <f t="shared" si="16"/>
        <v>-17.17999999999995</v>
      </c>
      <c r="L11" s="59">
        <v>0</v>
      </c>
      <c r="M11" s="59">
        <v>-15.42</v>
      </c>
      <c r="N11" s="59">
        <v>-598.41999999999996</v>
      </c>
      <c r="O11" s="59">
        <v>607.54</v>
      </c>
      <c r="P11" s="59">
        <v>-10.88</v>
      </c>
      <c r="Q11" s="59">
        <v>0</v>
      </c>
      <c r="R11" s="59">
        <v>-110.32</v>
      </c>
      <c r="S11" s="59">
        <v>110.32</v>
      </c>
      <c r="T11" s="58">
        <f t="shared" si="17"/>
        <v>-12578.83</v>
      </c>
      <c r="U11" s="58">
        <f t="shared" si="9"/>
        <v>-7300.9000000000005</v>
      </c>
      <c r="V11" s="58">
        <f t="shared" si="10"/>
        <v>681.32000000000028</v>
      </c>
      <c r="W11" s="58">
        <f t="shared" si="18"/>
        <v>-24045.06</v>
      </c>
      <c r="X11" s="58">
        <f t="shared" si="11"/>
        <v>23306.89</v>
      </c>
      <c r="Y11" s="58">
        <f t="shared" si="12"/>
        <v>-6757.67</v>
      </c>
      <c r="Z11" s="58">
        <f t="shared" si="13"/>
        <v>-377.55</v>
      </c>
      <c r="AA11" s="58">
        <f t="shared" si="19"/>
        <v>-5806.67</v>
      </c>
      <c r="AB11" s="58">
        <f t="shared" si="19"/>
        <v>7167.15</v>
      </c>
      <c r="AC11" s="58">
        <f t="shared" si="20"/>
        <v>553.66</v>
      </c>
      <c r="AD11" s="58">
        <f t="shared" si="21"/>
        <v>-11258.019999999999</v>
      </c>
      <c r="AE11" s="59">
        <v>-5466.86</v>
      </c>
      <c r="AF11" s="59">
        <v>-234.7</v>
      </c>
      <c r="AG11" s="59">
        <v>-281.58999999999997</v>
      </c>
      <c r="AH11" s="59">
        <v>-6283.81</v>
      </c>
      <c r="AI11" s="59">
        <v>-351.54</v>
      </c>
      <c r="AJ11" s="59">
        <v>-5806.67</v>
      </c>
      <c r="AK11" s="59">
        <v>7167.15</v>
      </c>
      <c r="AL11" s="58">
        <f t="shared" si="14"/>
        <v>-287.7700000000001</v>
      </c>
      <c r="AM11" s="59">
        <v>-96.72</v>
      </c>
      <c r="AN11" s="59">
        <v>-61.44</v>
      </c>
      <c r="AO11" s="59">
        <v>-183.4</v>
      </c>
      <c r="AP11" s="59">
        <v>-473.86</v>
      </c>
      <c r="AQ11" s="59">
        <v>-26.01</v>
      </c>
      <c r="AR11" s="59">
        <v>553.66</v>
      </c>
      <c r="AS11" s="58">
        <f t="shared" si="22"/>
        <v>-180.22000000000116</v>
      </c>
      <c r="AT11" s="59">
        <v>-24045.06</v>
      </c>
      <c r="AU11" s="59">
        <v>23864.84</v>
      </c>
      <c r="AV11" s="58">
        <f t="shared" si="23"/>
        <v>-121.69999999999982</v>
      </c>
      <c r="AW11" s="59">
        <v>-1519.85</v>
      </c>
      <c r="AX11" s="59">
        <v>1398.15</v>
      </c>
      <c r="AY11" s="59">
        <v>0</v>
      </c>
      <c r="AZ11" s="58">
        <f t="shared" si="24"/>
        <v>-733.43000000000006</v>
      </c>
      <c r="BA11" s="59">
        <v>-112.81</v>
      </c>
      <c r="BB11" s="59">
        <v>-527.66</v>
      </c>
      <c r="BC11" s="59">
        <v>-92.96</v>
      </c>
      <c r="BD11" s="58">
        <f t="shared" si="25"/>
        <v>2.3100000000000023</v>
      </c>
      <c r="BE11" s="59">
        <v>-104.66</v>
      </c>
      <c r="BF11" s="59">
        <v>106.97</v>
      </c>
      <c r="BG11" s="59">
        <v>0</v>
      </c>
      <c r="BH11" s="58">
        <f t="shared" si="15"/>
        <v>0</v>
      </c>
      <c r="BI11" s="59">
        <v>0</v>
      </c>
      <c r="BJ11" s="59">
        <v>0</v>
      </c>
      <c r="BK11" s="58">
        <f t="shared" si="26"/>
        <v>3942.84</v>
      </c>
      <c r="BL11" s="59">
        <v>1.58</v>
      </c>
      <c r="BM11" s="59">
        <v>292.64999999999998</v>
      </c>
      <c r="BN11" s="59">
        <v>98.01</v>
      </c>
      <c r="BO11" s="59">
        <v>1485.06</v>
      </c>
      <c r="BP11" s="59">
        <v>1507.2</v>
      </c>
      <c r="BQ11" s="59">
        <v>0</v>
      </c>
      <c r="BR11" s="59">
        <v>558.34</v>
      </c>
      <c r="BS11" s="59">
        <v>0</v>
      </c>
      <c r="BT11" s="58">
        <f t="shared" si="27"/>
        <v>891.49</v>
      </c>
      <c r="BU11" s="59">
        <v>0</v>
      </c>
      <c r="BV11" s="59">
        <v>44.64</v>
      </c>
      <c r="BW11" s="59">
        <v>0</v>
      </c>
      <c r="BX11" s="59">
        <v>0</v>
      </c>
      <c r="BY11" s="59">
        <v>282.54000000000002</v>
      </c>
      <c r="BZ11" s="59">
        <v>0</v>
      </c>
      <c r="CA11" s="59">
        <v>564.30999999999995</v>
      </c>
      <c r="CB11" s="58">
        <f>'Quarter final consumption'!B11</f>
        <v>38406.120000000003</v>
      </c>
      <c r="CC11" s="58">
        <f>'Quarter final consumption'!C11</f>
        <v>809.81</v>
      </c>
      <c r="CD11" s="58">
        <f>'Quarter final consumption'!D11</f>
        <v>485.09</v>
      </c>
      <c r="CE11" s="58">
        <f>'Quarter final consumption'!E11</f>
        <v>18442.800000000003</v>
      </c>
      <c r="CF11" s="58">
        <f>'Quarter final consumption'!F11</f>
        <v>11396.63</v>
      </c>
      <c r="CG11" s="58">
        <f>'Quarter final consumption'!G11</f>
        <v>154.02999999999997</v>
      </c>
      <c r="CH11" s="58">
        <f>'Quarter final consumption'!H11</f>
        <v>6408.41</v>
      </c>
      <c r="CI11" s="71">
        <f>'Quarter final consumption'!I11</f>
        <v>709.35</v>
      </c>
    </row>
    <row r="12" spans="1:87" ht="15.5" x14ac:dyDescent="0.35">
      <c r="A12" s="50" t="s">
        <v>177</v>
      </c>
      <c r="B12" s="58">
        <f t="shared" si="0"/>
        <v>51567.149999999994</v>
      </c>
      <c r="C12" s="58">
        <f t="shared" si="1"/>
        <v>8011.5400000000009</v>
      </c>
      <c r="D12" s="58">
        <f t="shared" si="2"/>
        <v>135.35999999999996</v>
      </c>
      <c r="E12" s="58">
        <f t="shared" si="3"/>
        <v>23844.390000000003</v>
      </c>
      <c r="F12" s="58">
        <f t="shared" si="4"/>
        <v>-2218.66</v>
      </c>
      <c r="G12" s="58">
        <f t="shared" si="5"/>
        <v>15807.84</v>
      </c>
      <c r="H12" s="58">
        <f t="shared" si="6"/>
        <v>506.95000000000005</v>
      </c>
      <c r="I12" s="58">
        <f t="shared" si="7"/>
        <v>5147.17</v>
      </c>
      <c r="J12" s="58">
        <f t="shared" si="8"/>
        <v>332.55999999999858</v>
      </c>
      <c r="K12" s="58">
        <f t="shared" si="16"/>
        <v>2.910000000000025</v>
      </c>
      <c r="L12" s="59">
        <v>0</v>
      </c>
      <c r="M12" s="59">
        <v>2.14</v>
      </c>
      <c r="N12" s="59">
        <v>-301.14999999999998</v>
      </c>
      <c r="O12" s="59">
        <v>312.8</v>
      </c>
      <c r="P12" s="59">
        <v>-10.88</v>
      </c>
      <c r="Q12" s="59">
        <v>0</v>
      </c>
      <c r="R12" s="59">
        <v>-82.05</v>
      </c>
      <c r="S12" s="59">
        <v>82.05</v>
      </c>
      <c r="T12" s="58">
        <f t="shared" si="17"/>
        <v>-12126.240000000002</v>
      </c>
      <c r="U12" s="58">
        <f t="shared" si="9"/>
        <v>-7238.0700000000006</v>
      </c>
      <c r="V12" s="58">
        <f t="shared" si="10"/>
        <v>656.75</v>
      </c>
      <c r="W12" s="58">
        <f t="shared" si="18"/>
        <v>-23450.33</v>
      </c>
      <c r="X12" s="58">
        <f t="shared" si="11"/>
        <v>22684.43</v>
      </c>
      <c r="Y12" s="58">
        <f t="shared" si="12"/>
        <v>-6753.47</v>
      </c>
      <c r="Z12" s="58">
        <f t="shared" si="13"/>
        <v>-390.86</v>
      </c>
      <c r="AA12" s="58">
        <f t="shared" si="19"/>
        <v>-5065.12</v>
      </c>
      <c r="AB12" s="58">
        <f t="shared" si="19"/>
        <v>6981.88</v>
      </c>
      <c r="AC12" s="58">
        <f t="shared" si="20"/>
        <v>448.55</v>
      </c>
      <c r="AD12" s="58">
        <f t="shared" si="21"/>
        <v>-10817.529999999999</v>
      </c>
      <c r="AE12" s="59">
        <v>-5437.76</v>
      </c>
      <c r="AF12" s="59">
        <v>-228.26</v>
      </c>
      <c r="AG12" s="59">
        <v>-291.74</v>
      </c>
      <c r="AH12" s="59">
        <v>-6411.68</v>
      </c>
      <c r="AI12" s="59">
        <v>-364.85</v>
      </c>
      <c r="AJ12" s="59">
        <v>-5065.12</v>
      </c>
      <c r="AK12" s="59">
        <v>6981.88</v>
      </c>
      <c r="AL12" s="58">
        <f t="shared" si="14"/>
        <v>-255.35000000000008</v>
      </c>
      <c r="AM12" s="59">
        <v>-91.26</v>
      </c>
      <c r="AN12" s="59">
        <v>-61.44</v>
      </c>
      <c r="AO12" s="59">
        <v>-183.4</v>
      </c>
      <c r="AP12" s="59">
        <v>-341.79</v>
      </c>
      <c r="AQ12" s="59">
        <v>-26.01</v>
      </c>
      <c r="AR12" s="59">
        <v>448.55</v>
      </c>
      <c r="AS12" s="58">
        <f t="shared" si="22"/>
        <v>-290.76000000000204</v>
      </c>
      <c r="AT12" s="59">
        <v>-23450.33</v>
      </c>
      <c r="AU12" s="59">
        <v>23159.57</v>
      </c>
      <c r="AV12" s="58">
        <f t="shared" si="23"/>
        <v>-115.3599999999999</v>
      </c>
      <c r="AW12" s="59">
        <v>-1506.33</v>
      </c>
      <c r="AX12" s="59">
        <v>1390.97</v>
      </c>
      <c r="AY12" s="59">
        <v>0</v>
      </c>
      <c r="AZ12" s="58">
        <f t="shared" si="24"/>
        <v>-649.49</v>
      </c>
      <c r="BA12" s="59">
        <v>-87.93</v>
      </c>
      <c r="BB12" s="59">
        <v>-561.55999999999995</v>
      </c>
      <c r="BC12" s="59">
        <v>0</v>
      </c>
      <c r="BD12" s="58">
        <f t="shared" si="25"/>
        <v>2.25</v>
      </c>
      <c r="BE12" s="59">
        <v>-114.79</v>
      </c>
      <c r="BF12" s="59">
        <v>117.04</v>
      </c>
      <c r="BG12" s="59">
        <v>0</v>
      </c>
      <c r="BH12" s="58">
        <f t="shared" si="15"/>
        <v>0</v>
      </c>
      <c r="BI12" s="59">
        <v>0</v>
      </c>
      <c r="BJ12" s="59">
        <v>0</v>
      </c>
      <c r="BK12" s="58">
        <f t="shared" si="26"/>
        <v>3888.81</v>
      </c>
      <c r="BL12" s="59">
        <v>1.54</v>
      </c>
      <c r="BM12" s="59">
        <v>290.33</v>
      </c>
      <c r="BN12" s="59">
        <v>92.91</v>
      </c>
      <c r="BO12" s="59">
        <v>1446.47</v>
      </c>
      <c r="BP12" s="59">
        <v>1509.44</v>
      </c>
      <c r="BQ12" s="59">
        <v>0</v>
      </c>
      <c r="BR12" s="59">
        <v>548.12</v>
      </c>
      <c r="BS12" s="59">
        <v>0</v>
      </c>
      <c r="BT12" s="58">
        <f t="shared" si="27"/>
        <v>919.15000000000009</v>
      </c>
      <c r="BU12" s="59">
        <v>0</v>
      </c>
      <c r="BV12" s="59">
        <v>49.45</v>
      </c>
      <c r="BW12" s="59">
        <v>0</v>
      </c>
      <c r="BX12" s="59">
        <v>0</v>
      </c>
      <c r="BY12" s="59">
        <v>260.63</v>
      </c>
      <c r="BZ12" s="59">
        <v>0</v>
      </c>
      <c r="CA12" s="59">
        <v>609.07000000000005</v>
      </c>
      <c r="CB12" s="58">
        <f>'Quarter final consumption'!B12</f>
        <v>34470.03</v>
      </c>
      <c r="CC12" s="58">
        <f>'Quarter final consumption'!C12</f>
        <v>771.93</v>
      </c>
      <c r="CD12" s="58">
        <f>'Quarter final consumption'!D12</f>
        <v>454.46999999999997</v>
      </c>
      <c r="CE12" s="58">
        <f>'Quarter final consumption'!E12</f>
        <v>19332.099999999999</v>
      </c>
      <c r="CF12" s="58">
        <f>'Quarter final consumption'!F12</f>
        <v>7273.42</v>
      </c>
      <c r="CG12" s="58">
        <f>'Quarter final consumption'!G12</f>
        <v>116.09</v>
      </c>
      <c r="CH12" s="58">
        <f>'Quarter final consumption'!H12</f>
        <v>6239.2999999999993</v>
      </c>
      <c r="CI12" s="71">
        <f>'Quarter final consumption'!I12</f>
        <v>282.71999999999997</v>
      </c>
    </row>
    <row r="13" spans="1:87" ht="15.5" x14ac:dyDescent="0.35">
      <c r="A13" s="50" t="s">
        <v>178</v>
      </c>
      <c r="B13" s="58">
        <f t="shared" si="0"/>
        <v>66301.929999999993</v>
      </c>
      <c r="C13" s="58">
        <f t="shared" si="1"/>
        <v>9800.4600000000009</v>
      </c>
      <c r="D13" s="58">
        <f t="shared" si="2"/>
        <v>144.06</v>
      </c>
      <c r="E13" s="58">
        <f t="shared" si="3"/>
        <v>24532.579999999998</v>
      </c>
      <c r="F13" s="58">
        <f t="shared" si="4"/>
        <v>-2166.3499999999985</v>
      </c>
      <c r="G13" s="58">
        <f t="shared" si="5"/>
        <v>27746.920000000002</v>
      </c>
      <c r="H13" s="58">
        <f t="shared" si="6"/>
        <v>586.24</v>
      </c>
      <c r="I13" s="58">
        <f t="shared" si="7"/>
        <v>5517.7699999999995</v>
      </c>
      <c r="J13" s="58">
        <f t="shared" si="8"/>
        <v>140.25</v>
      </c>
      <c r="K13" s="58">
        <f t="shared" si="16"/>
        <v>6.1999999999999886</v>
      </c>
      <c r="L13" s="59">
        <v>0</v>
      </c>
      <c r="M13" s="59">
        <v>2.99</v>
      </c>
      <c r="N13" s="59">
        <v>-268.85000000000002</v>
      </c>
      <c r="O13" s="59">
        <v>282.94</v>
      </c>
      <c r="P13" s="59">
        <v>-10.88</v>
      </c>
      <c r="Q13" s="59">
        <v>0</v>
      </c>
      <c r="R13" s="59">
        <v>-161.11000000000001</v>
      </c>
      <c r="S13" s="59">
        <v>161.11000000000001</v>
      </c>
      <c r="T13" s="58">
        <f t="shared" si="17"/>
        <v>-14368.749999999998</v>
      </c>
      <c r="U13" s="58">
        <f t="shared" si="9"/>
        <v>-8919.2000000000007</v>
      </c>
      <c r="V13" s="58">
        <f t="shared" si="10"/>
        <v>605.9</v>
      </c>
      <c r="W13" s="58">
        <f t="shared" si="18"/>
        <v>-24165.34</v>
      </c>
      <c r="X13" s="58">
        <f t="shared" si="11"/>
        <v>23009.600000000002</v>
      </c>
      <c r="Y13" s="58">
        <f t="shared" si="12"/>
        <v>-8140.78</v>
      </c>
      <c r="Z13" s="58">
        <f t="shared" si="13"/>
        <v>-404.08</v>
      </c>
      <c r="AA13" s="58">
        <f t="shared" si="19"/>
        <v>-5356.66</v>
      </c>
      <c r="AB13" s="58">
        <f t="shared" si="19"/>
        <v>8283.5499999999993</v>
      </c>
      <c r="AC13" s="58">
        <f t="shared" si="20"/>
        <v>718.26</v>
      </c>
      <c r="AD13" s="58">
        <f t="shared" si="21"/>
        <v>-12687.93</v>
      </c>
      <c r="AE13" s="59">
        <v>-7232.49</v>
      </c>
      <c r="AF13" s="59">
        <v>-219.23</v>
      </c>
      <c r="AG13" s="59">
        <v>-324.95</v>
      </c>
      <c r="AH13" s="59">
        <v>-7460.08</v>
      </c>
      <c r="AI13" s="59">
        <v>-378.07</v>
      </c>
      <c r="AJ13" s="59">
        <v>-5356.66</v>
      </c>
      <c r="AK13" s="59">
        <v>8283.5499999999993</v>
      </c>
      <c r="AL13" s="58">
        <f t="shared" si="14"/>
        <v>-338.53999999999996</v>
      </c>
      <c r="AM13" s="59">
        <v>-105.25</v>
      </c>
      <c r="AN13" s="59">
        <v>-61.44</v>
      </c>
      <c r="AO13" s="59">
        <v>-183.4</v>
      </c>
      <c r="AP13" s="59">
        <v>-680.7</v>
      </c>
      <c r="AQ13" s="59">
        <v>-26.01</v>
      </c>
      <c r="AR13" s="59">
        <v>718.26</v>
      </c>
      <c r="AS13" s="58">
        <f t="shared" si="22"/>
        <v>-554.43000000000029</v>
      </c>
      <c r="AT13" s="59">
        <v>-24165.34</v>
      </c>
      <c r="AU13" s="59">
        <v>23610.91</v>
      </c>
      <c r="AV13" s="58">
        <f t="shared" si="23"/>
        <v>-107.36000000000013</v>
      </c>
      <c r="AW13" s="59">
        <v>-1383.43</v>
      </c>
      <c r="AX13" s="59">
        <v>1276.07</v>
      </c>
      <c r="AY13" s="59">
        <v>0</v>
      </c>
      <c r="AZ13" s="58">
        <f t="shared" si="24"/>
        <v>-677.99</v>
      </c>
      <c r="BA13" s="59">
        <v>-82.26</v>
      </c>
      <c r="BB13" s="59">
        <v>-502.77</v>
      </c>
      <c r="BC13" s="59">
        <v>-92.96</v>
      </c>
      <c r="BD13" s="58">
        <f t="shared" si="25"/>
        <v>-2.5</v>
      </c>
      <c r="BE13" s="59">
        <v>-115.77</v>
      </c>
      <c r="BF13" s="59">
        <v>113.27</v>
      </c>
      <c r="BG13" s="59">
        <v>0</v>
      </c>
      <c r="BH13" s="58">
        <f t="shared" si="15"/>
        <v>0</v>
      </c>
      <c r="BI13" s="59">
        <v>0</v>
      </c>
      <c r="BJ13" s="59">
        <v>0</v>
      </c>
      <c r="BK13" s="58">
        <f t="shared" si="26"/>
        <v>4215.3099999999995</v>
      </c>
      <c r="BL13" s="59">
        <v>1.6</v>
      </c>
      <c r="BM13" s="59">
        <v>256.81</v>
      </c>
      <c r="BN13" s="59">
        <v>98.39</v>
      </c>
      <c r="BO13" s="59">
        <v>1479.58</v>
      </c>
      <c r="BP13" s="59">
        <v>1794.05</v>
      </c>
      <c r="BQ13" s="59">
        <v>0</v>
      </c>
      <c r="BR13" s="59">
        <v>584.88</v>
      </c>
      <c r="BS13" s="59">
        <v>0</v>
      </c>
      <c r="BT13" s="58">
        <f t="shared" si="27"/>
        <v>1044.75</v>
      </c>
      <c r="BU13" s="59">
        <v>0</v>
      </c>
      <c r="BV13" s="59">
        <v>30.19</v>
      </c>
      <c r="BW13" s="59">
        <v>0</v>
      </c>
      <c r="BX13" s="59">
        <v>0</v>
      </c>
      <c r="BY13" s="59">
        <v>358.45</v>
      </c>
      <c r="BZ13" s="59">
        <v>0</v>
      </c>
      <c r="CA13" s="59">
        <v>656.11</v>
      </c>
      <c r="CB13" s="58">
        <f>'Quarter final consumption'!B13</f>
        <v>46274.610000000008</v>
      </c>
      <c r="CC13" s="58">
        <f>'Quarter final consumption'!C13</f>
        <v>879.66</v>
      </c>
      <c r="CD13" s="58">
        <f>'Quarter final consumption'!D13</f>
        <v>465.95</v>
      </c>
      <c r="CE13" s="58">
        <f>'Quarter final consumption'!E13</f>
        <v>19646.61</v>
      </c>
      <c r="CF13" s="58">
        <f>'Quarter final consumption'!F13</f>
        <v>17442.760000000002</v>
      </c>
      <c r="CG13" s="58">
        <f>'Quarter final consumption'!G13</f>
        <v>182.16</v>
      </c>
      <c r="CH13" s="58">
        <f>'Quarter final consumption'!H13</f>
        <v>7343.92</v>
      </c>
      <c r="CI13" s="71">
        <f>'Quarter final consumption'!I13</f>
        <v>313.55</v>
      </c>
    </row>
    <row r="14" spans="1:87" ht="15.5" x14ac:dyDescent="0.35">
      <c r="A14" s="50" t="s">
        <v>179</v>
      </c>
      <c r="B14" s="58">
        <f t="shared" si="0"/>
        <v>70002.739999999976</v>
      </c>
      <c r="C14" s="58">
        <f t="shared" si="1"/>
        <v>10303.64</v>
      </c>
      <c r="D14" s="58">
        <f t="shared" si="2"/>
        <v>76.610000000000241</v>
      </c>
      <c r="E14" s="58">
        <f t="shared" si="3"/>
        <v>24545.599999999999</v>
      </c>
      <c r="F14" s="58">
        <f t="shared" si="4"/>
        <v>-2210.760000000002</v>
      </c>
      <c r="G14" s="58">
        <f t="shared" si="5"/>
        <v>31121.519999999993</v>
      </c>
      <c r="H14" s="58">
        <f t="shared" si="6"/>
        <v>620.53</v>
      </c>
      <c r="I14" s="58">
        <f t="shared" si="7"/>
        <v>5504.84</v>
      </c>
      <c r="J14" s="58">
        <f t="shared" si="8"/>
        <v>40.759999999998399</v>
      </c>
      <c r="K14" s="58">
        <f t="shared" si="16"/>
        <v>-3.7399999999999807</v>
      </c>
      <c r="L14" s="59">
        <v>0</v>
      </c>
      <c r="M14" s="59">
        <v>-17</v>
      </c>
      <c r="N14" s="59">
        <v>-167.76</v>
      </c>
      <c r="O14" s="59">
        <v>197.75</v>
      </c>
      <c r="P14" s="59">
        <v>-16.73</v>
      </c>
      <c r="Q14" s="59">
        <v>0</v>
      </c>
      <c r="R14" s="59">
        <v>-202.26</v>
      </c>
      <c r="S14" s="59">
        <v>202.26</v>
      </c>
      <c r="T14" s="58">
        <f t="shared" si="17"/>
        <v>-14445.349999999995</v>
      </c>
      <c r="U14" s="58">
        <f t="shared" si="9"/>
        <v>-9507.619999999999</v>
      </c>
      <c r="V14" s="58">
        <f t="shared" si="10"/>
        <v>708.73999999999978</v>
      </c>
      <c r="W14" s="58">
        <f t="shared" si="18"/>
        <v>-24278.04</v>
      </c>
      <c r="X14" s="58">
        <f t="shared" si="11"/>
        <v>23200.959999999999</v>
      </c>
      <c r="Y14" s="58">
        <f t="shared" si="12"/>
        <v>-8284.74</v>
      </c>
      <c r="Z14" s="58">
        <f t="shared" si="13"/>
        <v>-392.09</v>
      </c>
      <c r="AA14" s="58">
        <f t="shared" si="19"/>
        <v>-5302.58</v>
      </c>
      <c r="AB14" s="58">
        <f t="shared" si="19"/>
        <v>8635.7800000000007</v>
      </c>
      <c r="AC14" s="58">
        <f t="shared" si="20"/>
        <v>774.24</v>
      </c>
      <c r="AD14" s="58">
        <f t="shared" si="21"/>
        <v>-12870.139999999998</v>
      </c>
      <c r="AE14" s="59">
        <v>-7667.53</v>
      </c>
      <c r="AF14" s="59">
        <v>-281.16000000000003</v>
      </c>
      <c r="AG14" s="59">
        <v>-284.33999999999997</v>
      </c>
      <c r="AH14" s="59">
        <v>-7578.22</v>
      </c>
      <c r="AI14" s="59">
        <v>-392.09</v>
      </c>
      <c r="AJ14" s="59">
        <v>-5302.58</v>
      </c>
      <c r="AK14" s="59">
        <v>8635.7800000000007</v>
      </c>
      <c r="AL14" s="58">
        <f t="shared" si="14"/>
        <v>-316.87999999999988</v>
      </c>
      <c r="AM14" s="59">
        <v>-129.80000000000001</v>
      </c>
      <c r="AN14" s="59">
        <v>-52.23</v>
      </c>
      <c r="AO14" s="59">
        <v>-202.57</v>
      </c>
      <c r="AP14" s="59">
        <v>-706.52</v>
      </c>
      <c r="AQ14" s="59">
        <v>0</v>
      </c>
      <c r="AR14" s="59">
        <v>774.24</v>
      </c>
      <c r="AS14" s="58">
        <f t="shared" si="22"/>
        <v>-511.56000000000131</v>
      </c>
      <c r="AT14" s="59">
        <v>-24278.04</v>
      </c>
      <c r="AU14" s="59">
        <v>23766.48</v>
      </c>
      <c r="AV14" s="58">
        <f t="shared" si="23"/>
        <v>-54.720000000000027</v>
      </c>
      <c r="AW14" s="59">
        <v>-1512.84</v>
      </c>
      <c r="AX14" s="59">
        <v>1458.12</v>
      </c>
      <c r="AY14" s="59">
        <v>0</v>
      </c>
      <c r="AZ14" s="58">
        <f t="shared" si="24"/>
        <v>-691.58</v>
      </c>
      <c r="BA14" s="59">
        <v>-103.73</v>
      </c>
      <c r="BB14" s="59">
        <v>-509.24</v>
      </c>
      <c r="BC14" s="59">
        <v>-78.61</v>
      </c>
      <c r="BD14" s="58">
        <f t="shared" si="25"/>
        <v>-0.46999999999999886</v>
      </c>
      <c r="BE14" s="59">
        <v>-93.72</v>
      </c>
      <c r="BF14" s="59">
        <v>93.25</v>
      </c>
      <c r="BG14" s="59">
        <v>0</v>
      </c>
      <c r="BH14" s="58">
        <f t="shared" si="15"/>
        <v>0</v>
      </c>
      <c r="BI14" s="59">
        <v>0</v>
      </c>
      <c r="BJ14" s="59">
        <v>0</v>
      </c>
      <c r="BK14" s="58">
        <f t="shared" si="26"/>
        <v>4305.8599999999997</v>
      </c>
      <c r="BL14" s="59">
        <v>2.73</v>
      </c>
      <c r="BM14" s="59">
        <v>309.25</v>
      </c>
      <c r="BN14" s="59">
        <v>99.8</v>
      </c>
      <c r="BO14" s="59">
        <v>1374.21</v>
      </c>
      <c r="BP14" s="59">
        <v>1873.8</v>
      </c>
      <c r="BQ14" s="59">
        <v>0</v>
      </c>
      <c r="BR14" s="59">
        <v>646.07000000000005</v>
      </c>
      <c r="BS14" s="59">
        <v>0</v>
      </c>
      <c r="BT14" s="58">
        <f t="shared" si="27"/>
        <v>1280.96</v>
      </c>
      <c r="BU14" s="59">
        <v>0</v>
      </c>
      <c r="BV14" s="59">
        <v>44.68</v>
      </c>
      <c r="BW14" s="59">
        <v>0</v>
      </c>
      <c r="BX14" s="59">
        <v>0</v>
      </c>
      <c r="BY14" s="59">
        <v>523.88</v>
      </c>
      <c r="BZ14" s="59">
        <v>0</v>
      </c>
      <c r="CA14" s="59">
        <v>712.4</v>
      </c>
      <c r="CB14" s="58">
        <f>'Quarter final consumption'!B14</f>
        <v>50006.46</v>
      </c>
      <c r="CC14" s="58">
        <f>'Quarter final consumption'!C14</f>
        <v>793.29</v>
      </c>
      <c r="CD14" s="58">
        <f>'Quarter final consumption'!D14</f>
        <v>414.42</v>
      </c>
      <c r="CE14" s="58">
        <f>'Quarter final consumption'!E14</f>
        <v>19813.739999999998</v>
      </c>
      <c r="CF14" s="58">
        <f>'Quarter final consumption'!F14</f>
        <v>20422.369999999995</v>
      </c>
      <c r="CG14" s="58">
        <f>'Quarter final consumption'!G14</f>
        <v>228.44</v>
      </c>
      <c r="CH14" s="58">
        <f>'Quarter final consumption'!H14</f>
        <v>7520.33</v>
      </c>
      <c r="CI14" s="71">
        <f>'Quarter final consumption'!I14</f>
        <v>813.87000000000012</v>
      </c>
    </row>
    <row r="15" spans="1:87" ht="15.5" x14ac:dyDescent="0.35">
      <c r="A15" s="50" t="s">
        <v>180</v>
      </c>
      <c r="B15" s="58">
        <f t="shared" si="0"/>
        <v>56803.54</v>
      </c>
      <c r="C15" s="58">
        <f t="shared" si="1"/>
        <v>8775.1799999999985</v>
      </c>
      <c r="D15" s="58">
        <f t="shared" si="2"/>
        <v>76.179999999999893</v>
      </c>
      <c r="E15" s="58">
        <f t="shared" si="3"/>
        <v>23628.559999999998</v>
      </c>
      <c r="F15" s="58">
        <f t="shared" si="4"/>
        <v>-2853.2900000000009</v>
      </c>
      <c r="G15" s="58">
        <f t="shared" si="5"/>
        <v>21403.440000000002</v>
      </c>
      <c r="H15" s="58">
        <f t="shared" si="6"/>
        <v>548.6</v>
      </c>
      <c r="I15" s="58">
        <f t="shared" si="7"/>
        <v>4942.46</v>
      </c>
      <c r="J15" s="58">
        <f t="shared" si="8"/>
        <v>282.41000000000076</v>
      </c>
      <c r="K15" s="58">
        <f t="shared" si="16"/>
        <v>-11.930000000000007</v>
      </c>
      <c r="L15" s="59">
        <v>0</v>
      </c>
      <c r="M15" s="59">
        <v>-16.78</v>
      </c>
      <c r="N15" s="59">
        <v>-26.14</v>
      </c>
      <c r="O15" s="59">
        <v>39.479999999999997</v>
      </c>
      <c r="P15" s="59">
        <v>-8.49</v>
      </c>
      <c r="Q15" s="59">
        <v>0</v>
      </c>
      <c r="R15" s="59">
        <v>-78.44</v>
      </c>
      <c r="S15" s="59">
        <v>78.44</v>
      </c>
      <c r="T15" s="58">
        <f t="shared" si="17"/>
        <v>-12708.019999999999</v>
      </c>
      <c r="U15" s="58">
        <f t="shared" si="9"/>
        <v>-8164.1399999999994</v>
      </c>
      <c r="V15" s="58">
        <f t="shared" si="10"/>
        <v>684.15000000000009</v>
      </c>
      <c r="W15" s="58">
        <f t="shared" si="18"/>
        <v>-23511.19</v>
      </c>
      <c r="X15" s="58">
        <f t="shared" si="11"/>
        <v>22646.920000000002</v>
      </c>
      <c r="Y15" s="58">
        <f t="shared" si="12"/>
        <v>-7138.9800000000005</v>
      </c>
      <c r="Z15" s="58">
        <f t="shared" si="13"/>
        <v>-398.75</v>
      </c>
      <c r="AA15" s="58">
        <f t="shared" si="19"/>
        <v>-4864.0200000000004</v>
      </c>
      <c r="AB15" s="58">
        <f t="shared" si="19"/>
        <v>7476.41</v>
      </c>
      <c r="AC15" s="58">
        <f t="shared" si="20"/>
        <v>561.58000000000004</v>
      </c>
      <c r="AD15" s="58">
        <f t="shared" si="21"/>
        <v>-11294.07</v>
      </c>
      <c r="AE15" s="59">
        <v>-6345.12</v>
      </c>
      <c r="AF15" s="59">
        <v>-242.01</v>
      </c>
      <c r="AG15" s="59">
        <v>-237.53</v>
      </c>
      <c r="AH15" s="59">
        <v>-6683.05</v>
      </c>
      <c r="AI15" s="59">
        <v>-398.75</v>
      </c>
      <c r="AJ15" s="59">
        <v>-4864.0200000000004</v>
      </c>
      <c r="AK15" s="59">
        <v>7476.41</v>
      </c>
      <c r="AL15" s="58">
        <f t="shared" si="14"/>
        <v>-222.43999999999994</v>
      </c>
      <c r="AM15" s="59">
        <v>-101.38</v>
      </c>
      <c r="AN15" s="59">
        <v>-52.23</v>
      </c>
      <c r="AO15" s="59">
        <v>-174.48</v>
      </c>
      <c r="AP15" s="59">
        <v>-455.93</v>
      </c>
      <c r="AQ15" s="59">
        <v>0</v>
      </c>
      <c r="AR15" s="59">
        <v>561.58000000000004</v>
      </c>
      <c r="AS15" s="58">
        <f t="shared" si="22"/>
        <v>-371.5</v>
      </c>
      <c r="AT15" s="59">
        <v>-23511.19</v>
      </c>
      <c r="AU15" s="59">
        <v>23139.69</v>
      </c>
      <c r="AV15" s="58">
        <f t="shared" si="23"/>
        <v>-97.349999999999909</v>
      </c>
      <c r="AW15" s="59">
        <v>-1517.28</v>
      </c>
      <c r="AX15" s="59">
        <v>1419.93</v>
      </c>
      <c r="AY15" s="59">
        <v>0</v>
      </c>
      <c r="AZ15" s="58">
        <f t="shared" si="24"/>
        <v>-723.76</v>
      </c>
      <c r="BA15" s="59">
        <v>-107.11</v>
      </c>
      <c r="BB15" s="59">
        <v>-535.89</v>
      </c>
      <c r="BC15" s="59">
        <v>-80.760000000000005</v>
      </c>
      <c r="BD15" s="58">
        <f t="shared" si="25"/>
        <v>1.0999999999999943</v>
      </c>
      <c r="BE15" s="59">
        <v>-93.25</v>
      </c>
      <c r="BF15" s="59">
        <v>94.35</v>
      </c>
      <c r="BG15" s="59">
        <v>0</v>
      </c>
      <c r="BH15" s="58">
        <f t="shared" si="15"/>
        <v>0</v>
      </c>
      <c r="BI15" s="59">
        <v>0</v>
      </c>
      <c r="BJ15" s="59">
        <v>0</v>
      </c>
      <c r="BK15" s="58">
        <f t="shared" si="26"/>
        <v>3978.48</v>
      </c>
      <c r="BL15" s="59">
        <v>2.9</v>
      </c>
      <c r="BM15" s="59">
        <v>289.58999999999997</v>
      </c>
      <c r="BN15" s="59">
        <v>91.23</v>
      </c>
      <c r="BO15" s="59">
        <v>1386.04</v>
      </c>
      <c r="BP15" s="59">
        <v>1626.68</v>
      </c>
      <c r="BQ15" s="59">
        <v>0</v>
      </c>
      <c r="BR15" s="59">
        <v>582.04</v>
      </c>
      <c r="BS15" s="59">
        <v>0</v>
      </c>
      <c r="BT15" s="58">
        <f t="shared" si="27"/>
        <v>983.35</v>
      </c>
      <c r="BU15" s="59">
        <v>0</v>
      </c>
      <c r="BV15" s="59">
        <v>45.19</v>
      </c>
      <c r="BW15" s="59">
        <v>0</v>
      </c>
      <c r="BX15" s="59">
        <v>0</v>
      </c>
      <c r="BY15" s="59">
        <v>316.56</v>
      </c>
      <c r="BZ15" s="59">
        <v>0</v>
      </c>
      <c r="CA15" s="59">
        <v>621.6</v>
      </c>
      <c r="CB15" s="58">
        <f>'Quarter final consumption'!B15</f>
        <v>39099.120000000003</v>
      </c>
      <c r="CC15" s="58">
        <f>'Quarter final consumption'!C15</f>
        <v>608.1400000000001</v>
      </c>
      <c r="CD15" s="58">
        <f>'Quarter final consumption'!D15</f>
        <v>408.77000000000004</v>
      </c>
      <c r="CE15" s="58">
        <f>'Quarter final consumption'!E15</f>
        <v>18447.07</v>
      </c>
      <c r="CF15" s="58">
        <f>'Quarter final consumption'!F15</f>
        <v>12312.730000000001</v>
      </c>
      <c r="CG15" s="58">
        <f>'Quarter final consumption'!G15</f>
        <v>149.85</v>
      </c>
      <c r="CH15" s="58">
        <f>'Quarter final consumption'!H15</f>
        <v>6633.62</v>
      </c>
      <c r="CI15" s="71">
        <f>'Quarter final consumption'!I15</f>
        <v>538.94000000000005</v>
      </c>
    </row>
    <row r="16" spans="1:87" ht="15.5" x14ac:dyDescent="0.35">
      <c r="A16" s="50" t="s">
        <v>181</v>
      </c>
      <c r="B16" s="58">
        <f t="shared" si="0"/>
        <v>52012.97</v>
      </c>
      <c r="C16" s="58">
        <f t="shared" si="1"/>
        <v>8667.23</v>
      </c>
      <c r="D16" s="58">
        <f t="shared" si="2"/>
        <v>-166.21999999999969</v>
      </c>
      <c r="E16" s="58">
        <f t="shared" si="3"/>
        <v>24048.720000000001</v>
      </c>
      <c r="F16" s="58">
        <f t="shared" si="4"/>
        <v>-2349.7800000000025</v>
      </c>
      <c r="G16" s="58">
        <f t="shared" si="5"/>
        <v>16133.62</v>
      </c>
      <c r="H16" s="58">
        <f t="shared" si="6"/>
        <v>529.80999999999995</v>
      </c>
      <c r="I16" s="58">
        <f t="shared" si="7"/>
        <v>4618.75</v>
      </c>
      <c r="J16" s="58">
        <f t="shared" si="8"/>
        <v>530.84000000000015</v>
      </c>
      <c r="K16" s="58">
        <f t="shared" si="16"/>
        <v>22.520000000000017</v>
      </c>
      <c r="L16" s="59">
        <v>0</v>
      </c>
      <c r="M16" s="59">
        <v>-16.21</v>
      </c>
      <c r="N16" s="59">
        <v>-106.52</v>
      </c>
      <c r="O16" s="59">
        <v>150.49</v>
      </c>
      <c r="P16" s="59">
        <v>-5.24</v>
      </c>
      <c r="Q16" s="59">
        <v>0</v>
      </c>
      <c r="R16" s="59">
        <v>-70.319999999999993</v>
      </c>
      <c r="S16" s="59">
        <v>70.319999999999993</v>
      </c>
      <c r="T16" s="58">
        <f t="shared" si="17"/>
        <v>-12486.490000000002</v>
      </c>
      <c r="U16" s="58">
        <f t="shared" si="9"/>
        <v>-8104.83</v>
      </c>
      <c r="V16" s="58">
        <f t="shared" si="10"/>
        <v>860.32999999999981</v>
      </c>
      <c r="W16" s="58">
        <f t="shared" si="18"/>
        <v>-23859.97</v>
      </c>
      <c r="X16" s="58">
        <f t="shared" si="11"/>
        <v>22858.52</v>
      </c>
      <c r="Y16" s="58">
        <f t="shared" si="12"/>
        <v>-6878.6500000000005</v>
      </c>
      <c r="Z16" s="58">
        <f t="shared" si="13"/>
        <v>-416.23</v>
      </c>
      <c r="AA16" s="58">
        <f t="shared" si="19"/>
        <v>-4548.43</v>
      </c>
      <c r="AB16" s="58">
        <f t="shared" si="19"/>
        <v>7141.09</v>
      </c>
      <c r="AC16" s="58">
        <f t="shared" si="20"/>
        <v>461.68</v>
      </c>
      <c r="AD16" s="58">
        <f t="shared" si="21"/>
        <v>-11084.89</v>
      </c>
      <c r="AE16" s="59">
        <v>-6263.82</v>
      </c>
      <c r="AF16" s="59">
        <v>-183.71</v>
      </c>
      <c r="AG16" s="59">
        <v>-273.36</v>
      </c>
      <c r="AH16" s="59">
        <v>-6540.43</v>
      </c>
      <c r="AI16" s="59">
        <v>-416.23</v>
      </c>
      <c r="AJ16" s="59">
        <v>-4548.43</v>
      </c>
      <c r="AK16" s="59">
        <v>7141.09</v>
      </c>
      <c r="AL16" s="58">
        <f t="shared" si="14"/>
        <v>-177.82</v>
      </c>
      <c r="AM16" s="59">
        <v>-87.77</v>
      </c>
      <c r="AN16" s="59">
        <v>-52.23</v>
      </c>
      <c r="AO16" s="59">
        <v>-161.28</v>
      </c>
      <c r="AP16" s="59">
        <v>-338.22</v>
      </c>
      <c r="AQ16" s="59">
        <v>0</v>
      </c>
      <c r="AR16" s="59">
        <v>461.68</v>
      </c>
      <c r="AS16" s="58">
        <f t="shared" si="22"/>
        <v>-534.95000000000073</v>
      </c>
      <c r="AT16" s="59">
        <v>-23859.97</v>
      </c>
      <c r="AU16" s="59">
        <v>23325.02</v>
      </c>
      <c r="AV16" s="58">
        <f t="shared" si="23"/>
        <v>-169.79999999999995</v>
      </c>
      <c r="AW16" s="59">
        <v>-1597.83</v>
      </c>
      <c r="AX16" s="59">
        <v>1428.03</v>
      </c>
      <c r="AY16" s="59">
        <v>0</v>
      </c>
      <c r="AZ16" s="58">
        <f t="shared" si="24"/>
        <v>-521.85</v>
      </c>
      <c r="BA16" s="59">
        <v>-59.08</v>
      </c>
      <c r="BB16" s="59">
        <v>-430.91</v>
      </c>
      <c r="BC16" s="59">
        <v>-31.86</v>
      </c>
      <c r="BD16" s="58">
        <f t="shared" si="25"/>
        <v>2.8200000000000074</v>
      </c>
      <c r="BE16" s="59">
        <v>-96.33</v>
      </c>
      <c r="BF16" s="59">
        <v>99.15</v>
      </c>
      <c r="BG16" s="59">
        <v>0</v>
      </c>
      <c r="BH16" s="58">
        <f t="shared" si="15"/>
        <v>0</v>
      </c>
      <c r="BI16" s="59">
        <v>0</v>
      </c>
      <c r="BJ16" s="59">
        <v>0</v>
      </c>
      <c r="BK16" s="58">
        <f t="shared" si="26"/>
        <v>3732.47</v>
      </c>
      <c r="BL16" s="59">
        <v>0.43</v>
      </c>
      <c r="BM16" s="59">
        <v>264.31</v>
      </c>
      <c r="BN16" s="59">
        <v>82.23</v>
      </c>
      <c r="BO16" s="59">
        <v>1407.6</v>
      </c>
      <c r="BP16" s="59">
        <v>1419.63</v>
      </c>
      <c r="BQ16" s="59">
        <v>0</v>
      </c>
      <c r="BR16" s="59">
        <v>558.27</v>
      </c>
      <c r="BS16" s="59">
        <v>0</v>
      </c>
      <c r="BT16" s="58">
        <f t="shared" si="27"/>
        <v>1004.8</v>
      </c>
      <c r="BU16" s="59">
        <v>0</v>
      </c>
      <c r="BV16" s="59">
        <v>40.950000000000003</v>
      </c>
      <c r="BW16" s="59">
        <v>0</v>
      </c>
      <c r="BX16" s="59">
        <v>0</v>
      </c>
      <c r="BY16" s="59">
        <v>366.26</v>
      </c>
      <c r="BZ16" s="59">
        <v>0</v>
      </c>
      <c r="CA16" s="59">
        <v>597.59</v>
      </c>
      <c r="CB16" s="58">
        <f>'Quarter final consumption'!B16</f>
        <v>34757.340000000004</v>
      </c>
      <c r="CC16" s="58">
        <f>'Quarter final consumption'!C16</f>
        <v>561.97</v>
      </c>
      <c r="CD16" s="58">
        <f>'Quarter final consumption'!D16</f>
        <v>372.64</v>
      </c>
      <c r="CE16" s="58">
        <f>'Quarter final consumption'!E16</f>
        <v>19251.63</v>
      </c>
      <c r="CF16" s="58">
        <f>'Quarter final consumption'!F16</f>
        <v>7463.84</v>
      </c>
      <c r="CG16" s="58">
        <f>'Quarter final consumption'!G16</f>
        <v>113.57999999999998</v>
      </c>
      <c r="CH16" s="58">
        <f>'Quarter final consumption'!H16</f>
        <v>6586.3899999999994</v>
      </c>
      <c r="CI16" s="71">
        <f>'Quarter final consumption'!I16</f>
        <v>407.29000000000008</v>
      </c>
    </row>
    <row r="17" spans="1:87" ht="15.5" x14ac:dyDescent="0.35">
      <c r="A17" s="50" t="s">
        <v>182</v>
      </c>
      <c r="B17" s="58">
        <f t="shared" si="0"/>
        <v>67195.580000000016</v>
      </c>
      <c r="C17" s="58">
        <f t="shared" si="1"/>
        <v>10915.11</v>
      </c>
      <c r="D17" s="58">
        <f t="shared" si="2"/>
        <v>-27.740000000000009</v>
      </c>
      <c r="E17" s="58">
        <f t="shared" si="3"/>
        <v>24469.940000000002</v>
      </c>
      <c r="F17" s="58">
        <f t="shared" si="4"/>
        <v>-2291.6099999999969</v>
      </c>
      <c r="G17" s="58">
        <f t="shared" si="5"/>
        <v>28199.53</v>
      </c>
      <c r="H17" s="58">
        <f t="shared" si="6"/>
        <v>607.30999999999995</v>
      </c>
      <c r="I17" s="58">
        <f t="shared" si="7"/>
        <v>5086.7400000000007</v>
      </c>
      <c r="J17" s="58">
        <f t="shared" si="8"/>
        <v>236.29999999999927</v>
      </c>
      <c r="K17" s="58">
        <f t="shared" si="16"/>
        <v>5.6900000000000261</v>
      </c>
      <c r="L17" s="59">
        <v>0</v>
      </c>
      <c r="M17" s="59">
        <v>-10.68</v>
      </c>
      <c r="N17" s="59">
        <v>104.76</v>
      </c>
      <c r="O17" s="59">
        <v>-80.849999999999994</v>
      </c>
      <c r="P17" s="59">
        <v>-7.54</v>
      </c>
      <c r="Q17" s="59">
        <v>0</v>
      </c>
      <c r="R17" s="59">
        <v>-167.64</v>
      </c>
      <c r="S17" s="59">
        <v>167.64</v>
      </c>
      <c r="T17" s="58">
        <f t="shared" si="17"/>
        <v>-14188.140000000001</v>
      </c>
      <c r="U17" s="58">
        <f t="shared" si="9"/>
        <v>-10142.6</v>
      </c>
      <c r="V17" s="58">
        <f t="shared" si="10"/>
        <v>743.19999999999993</v>
      </c>
      <c r="W17" s="58">
        <f t="shared" si="18"/>
        <v>-24491.119999999999</v>
      </c>
      <c r="X17" s="58">
        <f t="shared" si="11"/>
        <v>23657.919999999998</v>
      </c>
      <c r="Y17" s="58">
        <f t="shared" si="12"/>
        <v>-7745.25</v>
      </c>
      <c r="Z17" s="58">
        <f t="shared" si="13"/>
        <v>-427.13</v>
      </c>
      <c r="AA17" s="58">
        <f t="shared" si="19"/>
        <v>-4919.1000000000004</v>
      </c>
      <c r="AB17" s="58">
        <f t="shared" si="19"/>
        <v>8418.52</v>
      </c>
      <c r="AC17" s="58">
        <f t="shared" si="20"/>
        <v>717.42</v>
      </c>
      <c r="AD17" s="58">
        <f t="shared" ref="AD17:AD22" si="28">SUM(AE17:AK17)</f>
        <v>-12826.879999999997</v>
      </c>
      <c r="AE17" s="59">
        <v>-8349.08</v>
      </c>
      <c r="AF17" s="59">
        <v>-192.26</v>
      </c>
      <c r="AG17" s="59">
        <v>-252.14</v>
      </c>
      <c r="AH17" s="59">
        <v>-7105.69</v>
      </c>
      <c r="AI17" s="59">
        <v>-427.13</v>
      </c>
      <c r="AJ17" s="59">
        <v>-4919.1000000000004</v>
      </c>
      <c r="AK17" s="59">
        <v>8418.52</v>
      </c>
      <c r="AL17" s="58">
        <f t="shared" si="14"/>
        <v>-293.14</v>
      </c>
      <c r="AM17" s="59">
        <v>-123.7</v>
      </c>
      <c r="AN17" s="59">
        <v>-52.23</v>
      </c>
      <c r="AO17" s="59">
        <v>-195.07</v>
      </c>
      <c r="AP17" s="59">
        <v>-639.55999999999995</v>
      </c>
      <c r="AQ17" s="59">
        <v>0</v>
      </c>
      <c r="AR17" s="59">
        <v>717.42</v>
      </c>
      <c r="AS17" s="58">
        <f t="shared" si="22"/>
        <v>-376.90999999999985</v>
      </c>
      <c r="AT17" s="59">
        <v>-24491.119999999999</v>
      </c>
      <c r="AU17" s="59">
        <v>24114.21</v>
      </c>
      <c r="AV17" s="58">
        <f t="shared" si="23"/>
        <v>-123.93000000000006</v>
      </c>
      <c r="AW17" s="59">
        <v>-1503.48</v>
      </c>
      <c r="AX17" s="59">
        <v>1379.55</v>
      </c>
      <c r="AY17" s="59">
        <v>0</v>
      </c>
      <c r="AZ17" s="58">
        <f t="shared" si="24"/>
        <v>-579.48</v>
      </c>
      <c r="BA17" s="59">
        <v>-69.87</v>
      </c>
      <c r="BB17" s="59">
        <v>-500.53</v>
      </c>
      <c r="BC17" s="59">
        <v>-9.08</v>
      </c>
      <c r="BD17" s="58">
        <f t="shared" si="25"/>
        <v>12.200000000000003</v>
      </c>
      <c r="BE17" s="59">
        <v>-96.47</v>
      </c>
      <c r="BF17" s="59">
        <v>108.67</v>
      </c>
      <c r="BG17" s="59">
        <v>0</v>
      </c>
      <c r="BH17" s="58">
        <f t="shared" si="15"/>
        <v>0</v>
      </c>
      <c r="BI17" s="59">
        <v>0</v>
      </c>
      <c r="BJ17" s="59">
        <v>0</v>
      </c>
      <c r="BK17" s="58">
        <f t="shared" si="26"/>
        <v>4213.29</v>
      </c>
      <c r="BL17" s="59">
        <v>2.73</v>
      </c>
      <c r="BM17" s="59">
        <v>270.68</v>
      </c>
      <c r="BN17" s="59">
        <v>83.58</v>
      </c>
      <c r="BO17" s="59">
        <v>1454.7</v>
      </c>
      <c r="BP17" s="59">
        <v>1781.62</v>
      </c>
      <c r="BQ17" s="59">
        <v>0</v>
      </c>
      <c r="BR17" s="59">
        <v>619.98</v>
      </c>
      <c r="BS17" s="59">
        <v>0</v>
      </c>
      <c r="BT17" s="58">
        <f t="shared" si="27"/>
        <v>1206.1199999999999</v>
      </c>
      <c r="BU17" s="59">
        <v>0</v>
      </c>
      <c r="BV17" s="59">
        <v>34.01</v>
      </c>
      <c r="BW17" s="59">
        <v>0</v>
      </c>
      <c r="BX17" s="59">
        <v>0</v>
      </c>
      <c r="BY17" s="59">
        <v>554.35</v>
      </c>
      <c r="BZ17" s="59">
        <v>0</v>
      </c>
      <c r="CA17" s="59">
        <v>617.76</v>
      </c>
      <c r="CB17" s="58">
        <f>'Quarter final consumption'!B17</f>
        <v>47631.11</v>
      </c>
      <c r="CC17" s="58">
        <f>'Quarter final consumption'!C17</f>
        <v>769.78</v>
      </c>
      <c r="CD17" s="58">
        <f>'Quarter final consumption'!D17</f>
        <v>400.09</v>
      </c>
      <c r="CE17" s="58">
        <f>'Quarter final consumption'!E17</f>
        <v>19830.760000000002</v>
      </c>
      <c r="CF17" s="58">
        <f>'Quarter final consumption'!F17</f>
        <v>18110.77</v>
      </c>
      <c r="CG17" s="58">
        <f>'Quarter final consumption'!G17</f>
        <v>180.18</v>
      </c>
      <c r="CH17" s="58">
        <f>'Quarter final consumption'!H17</f>
        <v>7584.7199999999993</v>
      </c>
      <c r="CI17" s="71">
        <f>'Quarter final consumption'!I17</f>
        <v>754.81</v>
      </c>
    </row>
    <row r="18" spans="1:87" ht="15.5" x14ac:dyDescent="0.35">
      <c r="A18" s="50" t="s">
        <v>183</v>
      </c>
      <c r="B18" s="58">
        <f t="shared" si="0"/>
        <v>72876.52</v>
      </c>
      <c r="C18" s="58">
        <f t="shared" si="1"/>
        <v>12220.28</v>
      </c>
      <c r="D18" s="58">
        <f t="shared" si="2"/>
        <v>32.799999999999898</v>
      </c>
      <c r="E18" s="58">
        <f t="shared" si="3"/>
        <v>21913.760000000002</v>
      </c>
      <c r="F18" s="58">
        <f t="shared" si="4"/>
        <v>53.829999999998108</v>
      </c>
      <c r="G18" s="58">
        <f t="shared" si="5"/>
        <v>32194.940000000002</v>
      </c>
      <c r="H18" s="58">
        <f t="shared" si="6"/>
        <v>682.66000000000008</v>
      </c>
      <c r="I18" s="58">
        <f t="shared" si="7"/>
        <v>5368.6100000000006</v>
      </c>
      <c r="J18" s="58">
        <f t="shared" si="8"/>
        <v>409.64000000000215</v>
      </c>
      <c r="K18" s="58">
        <f t="shared" ref="K18:K39" si="29">SUM(L18:S18)</f>
        <v>14.430000000000121</v>
      </c>
      <c r="L18" s="59">
        <v>0</v>
      </c>
      <c r="M18" s="59">
        <v>-26.66</v>
      </c>
      <c r="N18" s="59">
        <v>642.44000000000005</v>
      </c>
      <c r="O18" s="59">
        <v>-599.54</v>
      </c>
      <c r="P18" s="59">
        <v>-1.81</v>
      </c>
      <c r="Q18" s="59">
        <v>0</v>
      </c>
      <c r="R18" s="59">
        <v>-110.51</v>
      </c>
      <c r="S18" s="59">
        <v>110.51</v>
      </c>
      <c r="T18" s="58">
        <f t="shared" si="17"/>
        <v>-15583.160000000003</v>
      </c>
      <c r="U18" s="58">
        <f t="shared" si="9"/>
        <v>-11473.41</v>
      </c>
      <c r="V18" s="58">
        <f t="shared" si="10"/>
        <v>758.46</v>
      </c>
      <c r="W18" s="58">
        <f t="shared" si="18"/>
        <v>-22556.2</v>
      </c>
      <c r="X18" s="58">
        <f t="shared" si="11"/>
        <v>21347.13</v>
      </c>
      <c r="Y18" s="58">
        <f t="shared" si="12"/>
        <v>-7756.6</v>
      </c>
      <c r="Z18" s="58">
        <f t="shared" si="13"/>
        <v>-449.79</v>
      </c>
      <c r="AA18" s="58">
        <f t="shared" si="19"/>
        <v>-5258.1</v>
      </c>
      <c r="AB18" s="58">
        <f t="shared" si="19"/>
        <v>9055.8799999999992</v>
      </c>
      <c r="AC18" s="58">
        <f t="shared" si="20"/>
        <v>749.47</v>
      </c>
      <c r="AD18" s="58">
        <f t="shared" si="28"/>
        <v>-13891.300000000001</v>
      </c>
      <c r="AE18" s="59">
        <v>-9689.18</v>
      </c>
      <c r="AF18" s="59">
        <v>-154</v>
      </c>
      <c r="AG18" s="59">
        <v>-334.68</v>
      </c>
      <c r="AH18" s="59">
        <v>-7061.43</v>
      </c>
      <c r="AI18" s="59">
        <v>-449.79</v>
      </c>
      <c r="AJ18" s="59">
        <v>-5258.1</v>
      </c>
      <c r="AK18" s="59">
        <v>9055.8799999999992</v>
      </c>
      <c r="AL18" s="58">
        <f t="shared" si="14"/>
        <v>-310.93000000000006</v>
      </c>
      <c r="AM18" s="59">
        <v>-138.86000000000001</v>
      </c>
      <c r="AN18" s="59">
        <v>-51.73</v>
      </c>
      <c r="AO18" s="59">
        <v>-174.64</v>
      </c>
      <c r="AP18" s="59">
        <v>-695.17</v>
      </c>
      <c r="AQ18" s="59">
        <v>0</v>
      </c>
      <c r="AR18" s="59">
        <v>749.47</v>
      </c>
      <c r="AS18" s="58">
        <f t="shared" si="22"/>
        <v>-660.47999999999956</v>
      </c>
      <c r="AT18" s="59">
        <v>-22556.2</v>
      </c>
      <c r="AU18" s="59">
        <v>21895.72</v>
      </c>
      <c r="AV18" s="58">
        <f t="shared" si="23"/>
        <v>-117.58999999999992</v>
      </c>
      <c r="AW18" s="59">
        <v>-1424.05</v>
      </c>
      <c r="AX18" s="59">
        <v>1306.46</v>
      </c>
      <c r="AY18" s="59">
        <v>0</v>
      </c>
      <c r="AZ18" s="58">
        <f t="shared" si="24"/>
        <v>-606.76</v>
      </c>
      <c r="BA18" s="59">
        <v>-114.84</v>
      </c>
      <c r="BB18" s="59">
        <v>-452.65</v>
      </c>
      <c r="BC18" s="59">
        <v>-39.270000000000003</v>
      </c>
      <c r="BD18" s="58">
        <f t="shared" si="25"/>
        <v>3.8999999999999915</v>
      </c>
      <c r="BE18" s="59">
        <v>-106.48</v>
      </c>
      <c r="BF18" s="59">
        <v>110.38</v>
      </c>
      <c r="BG18" s="59">
        <v>0</v>
      </c>
      <c r="BH18" s="58">
        <f t="shared" si="15"/>
        <v>0</v>
      </c>
      <c r="BI18" s="59">
        <v>0</v>
      </c>
      <c r="BJ18" s="59">
        <v>0</v>
      </c>
      <c r="BK18" s="58">
        <f t="shared" si="26"/>
        <v>4302.3900000000003</v>
      </c>
      <c r="BL18" s="59">
        <v>2.29</v>
      </c>
      <c r="BM18" s="59">
        <v>260.39999999999998</v>
      </c>
      <c r="BN18" s="59">
        <v>0</v>
      </c>
      <c r="BO18" s="59">
        <v>1301.19</v>
      </c>
      <c r="BP18" s="59">
        <v>2087.21</v>
      </c>
      <c r="BQ18" s="59">
        <v>0</v>
      </c>
      <c r="BR18" s="59">
        <v>650.62</v>
      </c>
      <c r="BS18" s="59">
        <v>0.68</v>
      </c>
      <c r="BT18" s="58">
        <f t="shared" si="27"/>
        <v>1076.5900000000001</v>
      </c>
      <c r="BU18" s="59">
        <v>0</v>
      </c>
      <c r="BV18" s="59">
        <v>22.96</v>
      </c>
      <c r="BW18" s="59">
        <v>0</v>
      </c>
      <c r="BX18" s="59">
        <v>0</v>
      </c>
      <c r="BY18" s="59">
        <v>248.8</v>
      </c>
      <c r="BZ18" s="59">
        <v>0</v>
      </c>
      <c r="CA18" s="59">
        <v>804.83</v>
      </c>
      <c r="CB18" s="58">
        <f>'Quarter final consumption'!B18</f>
        <v>51970.55</v>
      </c>
      <c r="CC18" s="58">
        <f>'Quarter final consumption'!C18</f>
        <v>744.57999999999993</v>
      </c>
      <c r="CD18" s="58">
        <f>'Quarter final consumption'!D18</f>
        <v>481.24</v>
      </c>
      <c r="CE18" s="58">
        <f>'Quarter final consumption'!E18</f>
        <v>19500.23</v>
      </c>
      <c r="CF18" s="58">
        <f>'Quarter final consumption'!F18</f>
        <v>22100.52</v>
      </c>
      <c r="CG18" s="58">
        <f>'Quarter final consumption'!G18</f>
        <v>232.87</v>
      </c>
      <c r="CH18" s="58">
        <f>'Quarter final consumption'!H18</f>
        <v>8120.5800000000008</v>
      </c>
      <c r="CI18" s="71">
        <f>'Quarter final consumption'!I18</f>
        <v>790.53</v>
      </c>
    </row>
    <row r="19" spans="1:87" ht="15.5" x14ac:dyDescent="0.35">
      <c r="A19" s="50" t="s">
        <v>184</v>
      </c>
      <c r="B19" s="58">
        <f t="shared" si="0"/>
        <v>57362.869999999995</v>
      </c>
      <c r="C19" s="58">
        <f t="shared" si="1"/>
        <v>9537.3299999999981</v>
      </c>
      <c r="D19" s="58">
        <f t="shared" si="2"/>
        <v>62.069999999999993</v>
      </c>
      <c r="E19" s="58">
        <f t="shared" si="3"/>
        <v>19705.009999999998</v>
      </c>
      <c r="F19" s="58">
        <f t="shared" si="4"/>
        <v>1053.3100000000049</v>
      </c>
      <c r="G19" s="58">
        <f t="shared" si="5"/>
        <v>21325.449999999997</v>
      </c>
      <c r="H19" s="58">
        <f t="shared" si="6"/>
        <v>601.34</v>
      </c>
      <c r="I19" s="58">
        <f t="shared" si="7"/>
        <v>4728.6799999999994</v>
      </c>
      <c r="J19" s="58">
        <f t="shared" si="8"/>
        <v>349.67999999999938</v>
      </c>
      <c r="K19" s="58">
        <f t="shared" si="29"/>
        <v>20.6</v>
      </c>
      <c r="L19" s="59">
        <v>0</v>
      </c>
      <c r="M19" s="59">
        <v>-30.4</v>
      </c>
      <c r="N19" s="59">
        <v>-1.91</v>
      </c>
      <c r="O19" s="59">
        <v>54.12</v>
      </c>
      <c r="P19" s="59">
        <v>-1.21</v>
      </c>
      <c r="Q19" s="59">
        <v>0</v>
      </c>
      <c r="R19" s="59">
        <v>-69.95</v>
      </c>
      <c r="S19" s="59">
        <v>69.95</v>
      </c>
      <c r="T19" s="58">
        <f t="shared" si="17"/>
        <v>-12711.829999999998</v>
      </c>
      <c r="U19" s="58">
        <f t="shared" si="9"/>
        <v>-8863.9499999999989</v>
      </c>
      <c r="V19" s="58">
        <f t="shared" si="10"/>
        <v>723.56999999999994</v>
      </c>
      <c r="W19" s="58">
        <f t="shared" si="18"/>
        <v>-19703.099999999999</v>
      </c>
      <c r="X19" s="58">
        <f t="shared" si="11"/>
        <v>19298.599999999999</v>
      </c>
      <c r="Y19" s="58">
        <f t="shared" si="12"/>
        <v>-7193.27</v>
      </c>
      <c r="Z19" s="58">
        <f t="shared" si="13"/>
        <v>-457.86</v>
      </c>
      <c r="AA19" s="58">
        <f t="shared" si="19"/>
        <v>-4658.7299999999996</v>
      </c>
      <c r="AB19" s="58">
        <f t="shared" si="19"/>
        <v>7631.2</v>
      </c>
      <c r="AC19" s="58">
        <f t="shared" si="20"/>
        <v>511.71</v>
      </c>
      <c r="AD19" s="58">
        <f t="shared" si="28"/>
        <v>-11662.52</v>
      </c>
      <c r="AE19" s="59">
        <v>-7027.36</v>
      </c>
      <c r="AF19" s="59">
        <v>-154.68</v>
      </c>
      <c r="AG19" s="59">
        <v>-229.08</v>
      </c>
      <c r="AH19" s="59">
        <v>-6766.01</v>
      </c>
      <c r="AI19" s="59">
        <v>-457.86</v>
      </c>
      <c r="AJ19" s="59">
        <v>-4658.7299999999996</v>
      </c>
      <c r="AK19" s="59">
        <v>7631.2</v>
      </c>
      <c r="AL19" s="58">
        <f t="shared" si="14"/>
        <v>-249.61999999999995</v>
      </c>
      <c r="AM19" s="59">
        <v>-107.7</v>
      </c>
      <c r="AN19" s="59">
        <v>-51.73</v>
      </c>
      <c r="AO19" s="59">
        <v>-174.64</v>
      </c>
      <c r="AP19" s="59">
        <v>-427.26</v>
      </c>
      <c r="AQ19" s="59">
        <v>0</v>
      </c>
      <c r="AR19" s="59">
        <v>511.71</v>
      </c>
      <c r="AS19" s="58">
        <f t="shared" si="22"/>
        <v>38.490000000001601</v>
      </c>
      <c r="AT19" s="59">
        <v>-19703.099999999999</v>
      </c>
      <c r="AU19" s="59">
        <v>19741.59</v>
      </c>
      <c r="AV19" s="58">
        <f t="shared" si="23"/>
        <v>-86.130000000000109</v>
      </c>
      <c r="AW19" s="59">
        <v>-1465.89</v>
      </c>
      <c r="AX19" s="59">
        <v>1379.76</v>
      </c>
      <c r="AY19" s="59">
        <v>0</v>
      </c>
      <c r="AZ19" s="58">
        <f t="shared" si="24"/>
        <v>-749.74</v>
      </c>
      <c r="BA19" s="59">
        <v>-172.1</v>
      </c>
      <c r="BB19" s="59">
        <v>-538.37</v>
      </c>
      <c r="BC19" s="59">
        <v>-39.270000000000003</v>
      </c>
      <c r="BD19" s="58">
        <f t="shared" si="25"/>
        <v>-2.3100000000000023</v>
      </c>
      <c r="BE19" s="59">
        <v>-90.9</v>
      </c>
      <c r="BF19" s="59">
        <v>88.59</v>
      </c>
      <c r="BG19" s="59">
        <v>0</v>
      </c>
      <c r="BH19" s="58">
        <f t="shared" si="15"/>
        <v>0</v>
      </c>
      <c r="BI19" s="59">
        <v>0</v>
      </c>
      <c r="BJ19" s="59">
        <v>0</v>
      </c>
      <c r="BK19" s="58">
        <f t="shared" si="26"/>
        <v>3943.9999999999995</v>
      </c>
      <c r="BL19" s="59">
        <v>2.23</v>
      </c>
      <c r="BM19" s="59">
        <v>249.57</v>
      </c>
      <c r="BN19" s="59">
        <v>0</v>
      </c>
      <c r="BO19" s="59">
        <v>1204.81</v>
      </c>
      <c r="BP19" s="59">
        <v>1907.84</v>
      </c>
      <c r="BQ19" s="59">
        <v>0</v>
      </c>
      <c r="BR19" s="59">
        <v>578.87</v>
      </c>
      <c r="BS19" s="59">
        <v>0.68</v>
      </c>
      <c r="BT19" s="58">
        <f t="shared" si="27"/>
        <v>818.1099999999999</v>
      </c>
      <c r="BU19" s="59">
        <v>0</v>
      </c>
      <c r="BV19" s="59">
        <v>28.17</v>
      </c>
      <c r="BW19" s="59">
        <v>0</v>
      </c>
      <c r="BX19" s="59">
        <v>0</v>
      </c>
      <c r="BY19" s="59">
        <v>137.9</v>
      </c>
      <c r="BZ19" s="59">
        <v>0</v>
      </c>
      <c r="CA19" s="59">
        <v>652.04</v>
      </c>
      <c r="CB19" s="58">
        <f>'Quarter final consumption'!B19</f>
        <v>39891.85</v>
      </c>
      <c r="CC19" s="58">
        <f>'Quarter final consumption'!C19</f>
        <v>671.15</v>
      </c>
      <c r="CD19" s="58">
        <f>'Quarter final consumption'!D19</f>
        <v>477.49999999999994</v>
      </c>
      <c r="CE19" s="58">
        <f>'Quarter final consumption'!E19</f>
        <v>19201.22</v>
      </c>
      <c r="CF19" s="58">
        <f>'Quarter final consumption'!F19</f>
        <v>12085.23</v>
      </c>
      <c r="CG19" s="58">
        <f>'Quarter final consumption'!G19</f>
        <v>143.47999999999999</v>
      </c>
      <c r="CH19" s="58">
        <f>'Quarter final consumption'!H19</f>
        <v>6819.9199999999992</v>
      </c>
      <c r="CI19" s="71">
        <f>'Quarter final consumption'!I19</f>
        <v>493.35</v>
      </c>
    </row>
    <row r="20" spans="1:87" ht="15.5" x14ac:dyDescent="0.35">
      <c r="A20" s="50" t="s">
        <v>185</v>
      </c>
      <c r="B20" s="58">
        <f t="shared" si="0"/>
        <v>51240.219999999994</v>
      </c>
      <c r="C20" s="58">
        <f t="shared" si="1"/>
        <v>8486.9999999999982</v>
      </c>
      <c r="D20" s="58">
        <f t="shared" si="2"/>
        <v>-0.16000000000002501</v>
      </c>
      <c r="E20" s="58">
        <f t="shared" si="3"/>
        <v>24155.59</v>
      </c>
      <c r="F20" s="58">
        <f t="shared" si="4"/>
        <v>-3206.4499999999971</v>
      </c>
      <c r="G20" s="58">
        <f t="shared" si="5"/>
        <v>15852.52</v>
      </c>
      <c r="H20" s="58">
        <f t="shared" si="6"/>
        <v>571.20000000000005</v>
      </c>
      <c r="I20" s="58">
        <f t="shared" si="7"/>
        <v>5241.03</v>
      </c>
      <c r="J20" s="58">
        <f t="shared" si="8"/>
        <v>139.48999999999978</v>
      </c>
      <c r="K20" s="58">
        <f t="shared" si="29"/>
        <v>-15.580000000000013</v>
      </c>
      <c r="L20" s="59">
        <v>0</v>
      </c>
      <c r="M20" s="59">
        <v>-27.72</v>
      </c>
      <c r="N20" s="59">
        <v>-73.06</v>
      </c>
      <c r="O20" s="59">
        <v>86.71</v>
      </c>
      <c r="P20" s="59">
        <v>-1.51</v>
      </c>
      <c r="Q20" s="59">
        <v>0</v>
      </c>
      <c r="R20" s="59">
        <v>-74.5</v>
      </c>
      <c r="S20" s="59">
        <v>74.5</v>
      </c>
      <c r="T20" s="58">
        <f t="shared" si="17"/>
        <v>-12314.639999999998</v>
      </c>
      <c r="U20" s="58">
        <f t="shared" si="9"/>
        <v>-7939.6099999999988</v>
      </c>
      <c r="V20" s="58">
        <f t="shared" si="10"/>
        <v>686.02</v>
      </c>
      <c r="W20" s="58">
        <f t="shared" si="18"/>
        <v>-24082.53</v>
      </c>
      <c r="X20" s="58">
        <f t="shared" si="11"/>
        <v>23574.6</v>
      </c>
      <c r="Y20" s="58">
        <f t="shared" si="12"/>
        <v>-6569.88</v>
      </c>
      <c r="Z20" s="58">
        <f t="shared" si="13"/>
        <v>-480.57</v>
      </c>
      <c r="AA20" s="58">
        <f t="shared" si="19"/>
        <v>-5166.53</v>
      </c>
      <c r="AB20" s="58">
        <f t="shared" si="19"/>
        <v>7248.19</v>
      </c>
      <c r="AC20" s="58">
        <f t="shared" si="20"/>
        <v>415.67</v>
      </c>
      <c r="AD20" s="58">
        <f t="shared" si="28"/>
        <v>-11344.779999999999</v>
      </c>
      <c r="AE20" s="59">
        <v>-6354.62</v>
      </c>
      <c r="AF20" s="59">
        <v>-153.01</v>
      </c>
      <c r="AG20" s="59">
        <v>-187.4</v>
      </c>
      <c r="AH20" s="59">
        <v>-6250.84</v>
      </c>
      <c r="AI20" s="59">
        <v>-480.57</v>
      </c>
      <c r="AJ20" s="59">
        <v>-5166.53</v>
      </c>
      <c r="AK20" s="59">
        <v>7248.19</v>
      </c>
      <c r="AL20" s="58">
        <f t="shared" si="14"/>
        <v>-224.84999999999997</v>
      </c>
      <c r="AM20" s="59">
        <v>-95.11</v>
      </c>
      <c r="AN20" s="59">
        <v>-51.73</v>
      </c>
      <c r="AO20" s="59">
        <v>-174.64</v>
      </c>
      <c r="AP20" s="59">
        <v>-319.04000000000002</v>
      </c>
      <c r="AQ20" s="59">
        <v>0</v>
      </c>
      <c r="AR20" s="59">
        <v>415.67</v>
      </c>
      <c r="AS20" s="58">
        <f t="shared" si="22"/>
        <v>-106.61999999999898</v>
      </c>
      <c r="AT20" s="59">
        <v>-24082.53</v>
      </c>
      <c r="AU20" s="59">
        <v>23975.91</v>
      </c>
      <c r="AV20" s="58">
        <f t="shared" si="23"/>
        <v>-55.069999999999936</v>
      </c>
      <c r="AW20" s="59">
        <v>-1264.28</v>
      </c>
      <c r="AX20" s="59">
        <v>1209.21</v>
      </c>
      <c r="AY20" s="59">
        <v>0</v>
      </c>
      <c r="AZ20" s="58">
        <f t="shared" si="24"/>
        <v>-581.78</v>
      </c>
      <c r="BA20" s="59">
        <v>-148.99</v>
      </c>
      <c r="BB20" s="59">
        <v>-393.52</v>
      </c>
      <c r="BC20" s="59">
        <v>-39.270000000000003</v>
      </c>
      <c r="BD20" s="58">
        <f t="shared" si="25"/>
        <v>-1.5400000000000063</v>
      </c>
      <c r="BE20" s="59">
        <v>-76.61</v>
      </c>
      <c r="BF20" s="59">
        <v>75.069999999999993</v>
      </c>
      <c r="BG20" s="59">
        <v>0</v>
      </c>
      <c r="BH20" s="58">
        <f t="shared" si="15"/>
        <v>0</v>
      </c>
      <c r="BI20" s="59">
        <v>0</v>
      </c>
      <c r="BJ20" s="59">
        <v>0</v>
      </c>
      <c r="BK20" s="58">
        <f t="shared" si="26"/>
        <v>3995.8699999999994</v>
      </c>
      <c r="BL20" s="59">
        <v>0.79</v>
      </c>
      <c r="BM20" s="59">
        <v>230.75</v>
      </c>
      <c r="BN20" s="59">
        <v>0</v>
      </c>
      <c r="BO20" s="59">
        <v>1462.99</v>
      </c>
      <c r="BP20" s="59">
        <v>1744.04</v>
      </c>
      <c r="BQ20" s="59">
        <v>0</v>
      </c>
      <c r="BR20" s="59">
        <v>556.62</v>
      </c>
      <c r="BS20" s="59">
        <v>0.68</v>
      </c>
      <c r="BT20" s="58">
        <f t="shared" si="27"/>
        <v>759.05000000000007</v>
      </c>
      <c r="BU20" s="59">
        <v>0</v>
      </c>
      <c r="BV20" s="59">
        <v>28.78</v>
      </c>
      <c r="BW20" s="59">
        <v>0</v>
      </c>
      <c r="BX20" s="59">
        <v>0</v>
      </c>
      <c r="BY20" s="59">
        <v>161.93</v>
      </c>
      <c r="BZ20" s="59">
        <v>0</v>
      </c>
      <c r="CA20" s="59">
        <v>568.34</v>
      </c>
      <c r="CB20" s="58">
        <f>'Quarter final consumption'!B20</f>
        <v>34113.409999999996</v>
      </c>
      <c r="CC20" s="58">
        <f>'Quarter final consumption'!C20</f>
        <v>546.59999999999991</v>
      </c>
      <c r="CD20" s="58">
        <f>'Quarter final consumption'!D20</f>
        <v>398.60999999999996</v>
      </c>
      <c r="CE20" s="58">
        <f>'Quarter final consumption'!E20</f>
        <v>18991.87</v>
      </c>
      <c r="CF20" s="58">
        <f>'Quarter final consumption'!F20</f>
        <v>7375.16</v>
      </c>
      <c r="CG20" s="58">
        <f>'Quarter final consumption'!G20</f>
        <v>90.63</v>
      </c>
      <c r="CH20" s="58">
        <f>'Quarter final consumption'!H20</f>
        <v>6337.2199999999993</v>
      </c>
      <c r="CI20" s="71">
        <f>'Quarter final consumption'!I20</f>
        <v>373.32000000000005</v>
      </c>
    </row>
    <row r="21" spans="1:87" ht="15.5" x14ac:dyDescent="0.35">
      <c r="A21" s="50" t="s">
        <v>186</v>
      </c>
      <c r="B21" s="58">
        <f t="shared" si="0"/>
        <v>65537.740000000005</v>
      </c>
      <c r="C21" s="58">
        <f t="shared" si="1"/>
        <v>10715.32</v>
      </c>
      <c r="D21" s="58">
        <f t="shared" si="2"/>
        <v>-81.19</v>
      </c>
      <c r="E21" s="58">
        <f t="shared" si="3"/>
        <v>24654.7</v>
      </c>
      <c r="F21" s="58">
        <f t="shared" si="4"/>
        <v>-3198.5400000000009</v>
      </c>
      <c r="G21" s="58">
        <f t="shared" si="5"/>
        <v>26986.239999999998</v>
      </c>
      <c r="H21" s="58">
        <f t="shared" si="6"/>
        <v>677.68999999999994</v>
      </c>
      <c r="I21" s="58">
        <f t="shared" si="7"/>
        <v>5888.47</v>
      </c>
      <c r="J21" s="58">
        <f t="shared" si="8"/>
        <v>-104.95000000000164</v>
      </c>
      <c r="K21" s="58">
        <f t="shared" si="29"/>
        <v>-11.439999999999998</v>
      </c>
      <c r="L21" s="59">
        <v>0</v>
      </c>
      <c r="M21" s="59">
        <v>-26.9</v>
      </c>
      <c r="N21" s="59">
        <v>-77.63</v>
      </c>
      <c r="O21" s="59">
        <v>94.15</v>
      </c>
      <c r="P21" s="59">
        <v>-1.06</v>
      </c>
      <c r="Q21" s="59">
        <v>0</v>
      </c>
      <c r="R21" s="59">
        <v>-176.68</v>
      </c>
      <c r="S21" s="59">
        <v>176.68</v>
      </c>
      <c r="T21" s="58">
        <f t="shared" si="17"/>
        <v>-14580.630000000001</v>
      </c>
      <c r="U21" s="58">
        <f t="shared" si="9"/>
        <v>-9972.49</v>
      </c>
      <c r="V21" s="58">
        <f t="shared" si="10"/>
        <v>721.55</v>
      </c>
      <c r="W21" s="58">
        <f t="shared" si="18"/>
        <v>-24577.07</v>
      </c>
      <c r="X21" s="58">
        <f t="shared" si="11"/>
        <v>23701.15</v>
      </c>
      <c r="Y21" s="58">
        <f t="shared" si="12"/>
        <v>-7416.16</v>
      </c>
      <c r="Z21" s="58">
        <f t="shared" si="13"/>
        <v>-488.64</v>
      </c>
      <c r="AA21" s="58">
        <f t="shared" si="19"/>
        <v>-5711.79</v>
      </c>
      <c r="AB21" s="58">
        <f t="shared" si="19"/>
        <v>8509.7800000000007</v>
      </c>
      <c r="AC21" s="58">
        <f t="shared" si="20"/>
        <v>653.04</v>
      </c>
      <c r="AD21" s="58">
        <f t="shared" si="28"/>
        <v>-13361.909999999998</v>
      </c>
      <c r="AE21" s="59">
        <v>-8413.7099999999991</v>
      </c>
      <c r="AF21" s="59">
        <v>-138.75</v>
      </c>
      <c r="AG21" s="59">
        <v>-289.16000000000003</v>
      </c>
      <c r="AH21" s="59">
        <v>-6829.64</v>
      </c>
      <c r="AI21" s="59">
        <v>-488.64</v>
      </c>
      <c r="AJ21" s="59">
        <v>-5711.79</v>
      </c>
      <c r="AK21" s="59">
        <v>8509.7800000000007</v>
      </c>
      <c r="AL21" s="58">
        <f t="shared" si="14"/>
        <v>-286.06999999999994</v>
      </c>
      <c r="AM21" s="59">
        <v>-126.22</v>
      </c>
      <c r="AN21" s="59">
        <v>-51.73</v>
      </c>
      <c r="AO21" s="59">
        <v>-174.64</v>
      </c>
      <c r="AP21" s="59">
        <v>-586.52</v>
      </c>
      <c r="AQ21" s="59">
        <v>0</v>
      </c>
      <c r="AR21" s="59">
        <v>653.04</v>
      </c>
      <c r="AS21" s="58">
        <f t="shared" si="22"/>
        <v>-372.84999999999854</v>
      </c>
      <c r="AT21" s="59">
        <v>-24577.07</v>
      </c>
      <c r="AU21" s="59">
        <v>24204.22</v>
      </c>
      <c r="AV21" s="58">
        <f t="shared" si="23"/>
        <v>-45.299999999999955</v>
      </c>
      <c r="AW21" s="59">
        <v>-1217.5999999999999</v>
      </c>
      <c r="AX21" s="59">
        <v>1172.3</v>
      </c>
      <c r="AY21" s="59">
        <v>0</v>
      </c>
      <c r="AZ21" s="58">
        <f t="shared" si="24"/>
        <v>-520.76</v>
      </c>
      <c r="BA21" s="59">
        <v>-139.26</v>
      </c>
      <c r="BB21" s="59">
        <v>-342.23</v>
      </c>
      <c r="BC21" s="59">
        <v>-39.270000000000003</v>
      </c>
      <c r="BD21" s="58">
        <f t="shared" si="25"/>
        <v>6.2599999999999909</v>
      </c>
      <c r="BE21" s="59">
        <v>-75.7</v>
      </c>
      <c r="BF21" s="59">
        <v>81.96</v>
      </c>
      <c r="BG21" s="59">
        <v>0</v>
      </c>
      <c r="BH21" s="58">
        <f t="shared" si="15"/>
        <v>0</v>
      </c>
      <c r="BI21" s="59">
        <v>0</v>
      </c>
      <c r="BJ21" s="59">
        <v>0</v>
      </c>
      <c r="BK21" s="58">
        <f t="shared" si="26"/>
        <v>4413.4600000000009</v>
      </c>
      <c r="BL21" s="59">
        <v>1.55</v>
      </c>
      <c r="BM21" s="59">
        <v>216.64</v>
      </c>
      <c r="BN21" s="59">
        <v>0</v>
      </c>
      <c r="BO21" s="59">
        <v>1451.88</v>
      </c>
      <c r="BP21" s="59">
        <v>2124.27</v>
      </c>
      <c r="BQ21" s="59">
        <v>0</v>
      </c>
      <c r="BR21" s="59">
        <v>618.44000000000005</v>
      </c>
      <c r="BS21" s="59">
        <v>0.68</v>
      </c>
      <c r="BT21" s="58">
        <f t="shared" si="27"/>
        <v>868.26</v>
      </c>
      <c r="BU21" s="59">
        <v>0</v>
      </c>
      <c r="BV21" s="59">
        <v>22.93</v>
      </c>
      <c r="BW21" s="59">
        <v>0</v>
      </c>
      <c r="BX21" s="59">
        <v>0</v>
      </c>
      <c r="BY21" s="59">
        <v>213.46</v>
      </c>
      <c r="BZ21" s="59">
        <v>0</v>
      </c>
      <c r="CA21" s="59">
        <v>631.87</v>
      </c>
      <c r="CB21" s="58">
        <f>'Quarter final consumption'!B21</f>
        <v>45681.59</v>
      </c>
      <c r="CC21" s="58">
        <f>'Quarter final consumption'!C21</f>
        <v>741.28000000000009</v>
      </c>
      <c r="CD21" s="58">
        <f>'Quarter final consumption'!D21</f>
        <v>373.89</v>
      </c>
      <c r="CE21" s="58">
        <f>'Quarter final consumption'!E21</f>
        <v>19144.88</v>
      </c>
      <c r="CF21" s="58">
        <f>'Quarter final consumption'!F21</f>
        <v>17231.289999999997</v>
      </c>
      <c r="CG21" s="58">
        <f>'Quarter final consumption'!G21</f>
        <v>189.04999999999998</v>
      </c>
      <c r="CH21" s="58">
        <f>'Quarter final consumption'!H21</f>
        <v>7331.1999999999989</v>
      </c>
      <c r="CI21" s="71">
        <f>'Quarter final consumption'!I21</f>
        <v>670</v>
      </c>
    </row>
    <row r="22" spans="1:87" ht="15.5" x14ac:dyDescent="0.35">
      <c r="A22" s="50" t="s">
        <v>187</v>
      </c>
      <c r="B22" s="58">
        <f t="shared" si="0"/>
        <v>69928.789999999994</v>
      </c>
      <c r="C22" s="58">
        <f t="shared" si="1"/>
        <v>11000.2</v>
      </c>
      <c r="D22" s="58">
        <f t="shared" si="2"/>
        <v>-44.120000000000061</v>
      </c>
      <c r="E22" s="58">
        <f t="shared" si="3"/>
        <v>23631.3</v>
      </c>
      <c r="F22" s="58">
        <f t="shared" si="4"/>
        <v>-2084.9799999999996</v>
      </c>
      <c r="G22" s="58">
        <f t="shared" si="5"/>
        <v>30690.639999999999</v>
      </c>
      <c r="H22" s="58">
        <f t="shared" si="6"/>
        <v>746.92</v>
      </c>
      <c r="I22" s="58">
        <f t="shared" si="7"/>
        <v>5807.91</v>
      </c>
      <c r="J22" s="58">
        <f t="shared" si="8"/>
        <v>180.91999999999916</v>
      </c>
      <c r="K22" s="58">
        <f t="shared" si="29"/>
        <v>-32.989999999999952</v>
      </c>
      <c r="L22" s="59">
        <v>0</v>
      </c>
      <c r="M22" s="59">
        <v>-27.63</v>
      </c>
      <c r="N22" s="59">
        <v>-546.03</v>
      </c>
      <c r="O22" s="59">
        <v>541.87</v>
      </c>
      <c r="P22" s="59">
        <v>-1.2</v>
      </c>
      <c r="Q22" s="59">
        <v>0</v>
      </c>
      <c r="R22" s="59">
        <v>-191.12</v>
      </c>
      <c r="S22" s="59">
        <v>191.12</v>
      </c>
      <c r="T22" s="58">
        <f t="shared" si="17"/>
        <v>-14476.010000000006</v>
      </c>
      <c r="U22" s="58">
        <f t="shared" si="9"/>
        <v>-10483.960000000001</v>
      </c>
      <c r="V22" s="58">
        <f t="shared" si="10"/>
        <v>717.1</v>
      </c>
      <c r="W22" s="58">
        <f t="shared" si="18"/>
        <v>-23085.27</v>
      </c>
      <c r="X22" s="58">
        <f t="shared" si="11"/>
        <v>22647.37</v>
      </c>
      <c r="Y22" s="58">
        <f t="shared" si="12"/>
        <v>-7700.16</v>
      </c>
      <c r="Z22" s="58">
        <f t="shared" si="13"/>
        <v>-515.39</v>
      </c>
      <c r="AA22" s="58">
        <f t="shared" si="19"/>
        <v>-5616.79</v>
      </c>
      <c r="AB22" s="58">
        <f t="shared" si="19"/>
        <v>8918.51</v>
      </c>
      <c r="AC22" s="58">
        <f t="shared" si="20"/>
        <v>642.58000000000004</v>
      </c>
      <c r="AD22" s="58">
        <f t="shared" si="28"/>
        <v>-13645.65</v>
      </c>
      <c r="AE22" s="59">
        <v>-8961.9500000000007</v>
      </c>
      <c r="AF22" s="59">
        <v>-150.72</v>
      </c>
      <c r="AG22" s="59">
        <v>-221.53</v>
      </c>
      <c r="AH22" s="59">
        <v>-7097.78</v>
      </c>
      <c r="AI22" s="59">
        <v>-515.39</v>
      </c>
      <c r="AJ22" s="59">
        <v>-5616.79</v>
      </c>
      <c r="AK22" s="59">
        <v>8918.51</v>
      </c>
      <c r="AL22" s="58">
        <f t="shared" si="14"/>
        <v>-202.85000000000002</v>
      </c>
      <c r="AM22" s="59">
        <v>-126.42</v>
      </c>
      <c r="AN22" s="59">
        <v>-41.01</v>
      </c>
      <c r="AO22" s="59">
        <v>-75.62</v>
      </c>
      <c r="AP22" s="59">
        <v>-602.38</v>
      </c>
      <c r="AQ22" s="59">
        <v>0</v>
      </c>
      <c r="AR22" s="59">
        <v>642.58000000000004</v>
      </c>
      <c r="AS22" s="58">
        <f t="shared" si="22"/>
        <v>-95.619999999998981</v>
      </c>
      <c r="AT22" s="59">
        <v>-23085.27</v>
      </c>
      <c r="AU22" s="59">
        <v>22989.65</v>
      </c>
      <c r="AV22" s="58">
        <f t="shared" si="23"/>
        <v>-12.589999999999954</v>
      </c>
      <c r="AW22" s="59">
        <v>-1180.93</v>
      </c>
      <c r="AX22" s="59">
        <v>1168.3800000000001</v>
      </c>
      <c r="AY22" s="59">
        <v>-0.04</v>
      </c>
      <c r="AZ22" s="58">
        <f t="shared" si="24"/>
        <v>-521.14</v>
      </c>
      <c r="BA22" s="59">
        <v>-135.38</v>
      </c>
      <c r="BB22" s="59">
        <v>-340.67</v>
      </c>
      <c r="BC22" s="59">
        <v>-45.09</v>
      </c>
      <c r="BD22" s="58">
        <f t="shared" si="25"/>
        <v>1.8400000000000034</v>
      </c>
      <c r="BE22" s="59">
        <v>-79.28</v>
      </c>
      <c r="BF22" s="59">
        <v>81.12</v>
      </c>
      <c r="BG22" s="59">
        <v>0</v>
      </c>
      <c r="BH22" s="58">
        <f t="shared" si="15"/>
        <v>0</v>
      </c>
      <c r="BI22" s="59">
        <v>0</v>
      </c>
      <c r="BJ22" s="59">
        <v>0</v>
      </c>
      <c r="BK22" s="58">
        <f t="shared" si="26"/>
        <v>4524.7299999999996</v>
      </c>
      <c r="BL22" s="59">
        <v>2.2400000000000002</v>
      </c>
      <c r="BM22" s="59">
        <v>226.93</v>
      </c>
      <c r="BN22" s="59">
        <v>0</v>
      </c>
      <c r="BO22" s="59">
        <v>1551.02</v>
      </c>
      <c r="BP22" s="59">
        <v>2083.71</v>
      </c>
      <c r="BQ22" s="59">
        <v>0</v>
      </c>
      <c r="BR22" s="59">
        <v>659.43</v>
      </c>
      <c r="BS22" s="59">
        <v>1.4</v>
      </c>
      <c r="BT22" s="58">
        <f t="shared" si="27"/>
        <v>965.31</v>
      </c>
      <c r="BU22" s="59">
        <v>0</v>
      </c>
      <c r="BV22" s="59">
        <v>17.84</v>
      </c>
      <c r="BW22" s="59">
        <v>0</v>
      </c>
      <c r="BX22" s="59">
        <v>0</v>
      </c>
      <c r="BY22" s="59">
        <v>251.01</v>
      </c>
      <c r="BZ22" s="59">
        <v>0</v>
      </c>
      <c r="CA22" s="59">
        <v>696.46</v>
      </c>
      <c r="CB22" s="58">
        <f>'Quarter final consumption'!B22</f>
        <v>49920.87000000001</v>
      </c>
      <c r="CC22" s="58">
        <f>'Quarter final consumption'!C22</f>
        <v>514</v>
      </c>
      <c r="CD22" s="58">
        <f>'Quarter final consumption'!D22</f>
        <v>400.58</v>
      </c>
      <c r="CE22" s="58">
        <f>'Quarter final consumption'!E22</f>
        <v>19553.239999999998</v>
      </c>
      <c r="CF22" s="58">
        <f>'Quarter final consumption'!F22</f>
        <v>20654.560000000001</v>
      </c>
      <c r="CG22" s="58">
        <f>'Quarter final consumption'!G22</f>
        <v>231.53</v>
      </c>
      <c r="CH22" s="58">
        <f>'Quarter final consumption'!H22</f>
        <v>7934.66</v>
      </c>
      <c r="CI22" s="71">
        <f>'Quarter final consumption'!I22</f>
        <v>632.29999999999995</v>
      </c>
    </row>
    <row r="23" spans="1:87" ht="15.5" x14ac:dyDescent="0.35">
      <c r="A23" s="50" t="s">
        <v>188</v>
      </c>
      <c r="B23" s="58">
        <f t="shared" si="0"/>
        <v>54092.15</v>
      </c>
      <c r="C23" s="58">
        <f t="shared" si="1"/>
        <v>7591.6900000000005</v>
      </c>
      <c r="D23" s="58">
        <f t="shared" si="2"/>
        <v>23.769999999999754</v>
      </c>
      <c r="E23" s="58">
        <f t="shared" si="3"/>
        <v>23250.079999999998</v>
      </c>
      <c r="F23" s="58">
        <f t="shared" si="4"/>
        <v>-3353.9699999999975</v>
      </c>
      <c r="G23" s="58">
        <f t="shared" si="5"/>
        <v>20674.580000000002</v>
      </c>
      <c r="H23" s="58">
        <f t="shared" si="6"/>
        <v>650.79</v>
      </c>
      <c r="I23" s="58">
        <f t="shared" si="7"/>
        <v>5051.83</v>
      </c>
      <c r="J23" s="58">
        <f t="shared" si="8"/>
        <v>203.38000000000011</v>
      </c>
      <c r="K23" s="58">
        <f t="shared" si="29"/>
        <v>-39.029999999999987</v>
      </c>
      <c r="L23" s="59">
        <v>0</v>
      </c>
      <c r="M23" s="59">
        <v>-24.8</v>
      </c>
      <c r="N23" s="59">
        <v>-415.53</v>
      </c>
      <c r="O23" s="59">
        <v>403.32</v>
      </c>
      <c r="P23" s="59">
        <v>-2.02</v>
      </c>
      <c r="Q23" s="59">
        <v>0</v>
      </c>
      <c r="R23" s="59">
        <v>-121.45</v>
      </c>
      <c r="S23" s="59">
        <v>121.45</v>
      </c>
      <c r="T23" s="58">
        <f t="shared" ref="T23:T38" si="30">SUM(U23:AC23)</f>
        <v>-11959.240000000003</v>
      </c>
      <c r="U23" s="58">
        <f t="shared" si="9"/>
        <v>-7093.7400000000007</v>
      </c>
      <c r="V23" s="58">
        <f t="shared" si="10"/>
        <v>587.72000000000014</v>
      </c>
      <c r="W23" s="58">
        <f t="shared" si="18"/>
        <v>-22834.55</v>
      </c>
      <c r="X23" s="58">
        <f t="shared" si="11"/>
        <v>22364.25</v>
      </c>
      <c r="Y23" s="58">
        <f t="shared" si="12"/>
        <v>-7542.8700000000008</v>
      </c>
      <c r="Z23" s="58">
        <f t="shared" si="13"/>
        <v>-510.62</v>
      </c>
      <c r="AA23" s="58">
        <f t="shared" ref="AA23:AB38" si="31">AJ23</f>
        <v>-4930.38</v>
      </c>
      <c r="AB23" s="58">
        <f t="shared" si="31"/>
        <v>7539.28</v>
      </c>
      <c r="AC23" s="58">
        <f t="shared" si="20"/>
        <v>461.67</v>
      </c>
      <c r="AD23" s="58">
        <f t="shared" ref="AD23:AD37" si="32">SUM(AE23:AK23)</f>
        <v>-11088.530000000002</v>
      </c>
      <c r="AE23" s="59">
        <v>-5741.52</v>
      </c>
      <c r="AF23" s="59">
        <v>-148.02000000000001</v>
      </c>
      <c r="AG23" s="59">
        <v>-160.46</v>
      </c>
      <c r="AH23" s="59">
        <v>-7136.81</v>
      </c>
      <c r="AI23" s="59">
        <v>-510.62</v>
      </c>
      <c r="AJ23" s="59">
        <v>-4930.38</v>
      </c>
      <c r="AK23" s="59">
        <v>7539.28</v>
      </c>
      <c r="AL23" s="58">
        <f t="shared" si="14"/>
        <v>-149.03000000000003</v>
      </c>
      <c r="AM23" s="59">
        <v>-104.09</v>
      </c>
      <c r="AN23" s="59">
        <v>-41.01</v>
      </c>
      <c r="AO23" s="59">
        <v>-59.54</v>
      </c>
      <c r="AP23" s="59">
        <v>-406.06</v>
      </c>
      <c r="AQ23" s="59">
        <v>0</v>
      </c>
      <c r="AR23" s="59">
        <v>461.67</v>
      </c>
      <c r="AS23" s="58">
        <f t="shared" si="22"/>
        <v>-202.36000000000058</v>
      </c>
      <c r="AT23" s="59">
        <v>-22834.55</v>
      </c>
      <c r="AU23" s="59">
        <v>22632.19</v>
      </c>
      <c r="AV23" s="58">
        <f t="shared" si="23"/>
        <v>1.2900000000001091</v>
      </c>
      <c r="AW23" s="59">
        <v>-1027.76</v>
      </c>
      <c r="AX23" s="59">
        <v>1029.1400000000001</v>
      </c>
      <c r="AY23" s="59">
        <v>-0.09</v>
      </c>
      <c r="AZ23" s="58">
        <f t="shared" si="24"/>
        <v>-517.4</v>
      </c>
      <c r="BA23" s="59">
        <v>-133.44</v>
      </c>
      <c r="BB23" s="59">
        <v>-336.11</v>
      </c>
      <c r="BC23" s="59">
        <v>-47.85</v>
      </c>
      <c r="BD23" s="58">
        <f t="shared" si="25"/>
        <v>-3.210000000000008</v>
      </c>
      <c r="BE23" s="59">
        <v>-86.93</v>
      </c>
      <c r="BF23" s="59">
        <v>83.72</v>
      </c>
      <c r="BG23" s="59">
        <v>0</v>
      </c>
      <c r="BH23" s="58">
        <f t="shared" si="15"/>
        <v>0</v>
      </c>
      <c r="BI23" s="59">
        <v>0</v>
      </c>
      <c r="BJ23" s="59">
        <v>0</v>
      </c>
      <c r="BK23" s="58">
        <f t="shared" si="26"/>
        <v>4222.5399999999991</v>
      </c>
      <c r="BL23" s="59">
        <v>0.82</v>
      </c>
      <c r="BM23" s="59">
        <v>204.79</v>
      </c>
      <c r="BN23" s="59">
        <v>0</v>
      </c>
      <c r="BO23" s="59">
        <v>1461.82</v>
      </c>
      <c r="BP23" s="59">
        <v>1965.4</v>
      </c>
      <c r="BQ23" s="59">
        <v>0</v>
      </c>
      <c r="BR23" s="59">
        <v>588.30999999999995</v>
      </c>
      <c r="BS23" s="59">
        <v>1.4</v>
      </c>
      <c r="BT23" s="58">
        <f t="shared" si="27"/>
        <v>792.04000000000008</v>
      </c>
      <c r="BU23" s="59">
        <v>0</v>
      </c>
      <c r="BV23" s="59">
        <v>18.53</v>
      </c>
      <c r="BW23" s="59">
        <v>0</v>
      </c>
      <c r="BX23" s="59">
        <v>0</v>
      </c>
      <c r="BY23" s="59">
        <v>199.05</v>
      </c>
      <c r="BZ23" s="59">
        <v>0</v>
      </c>
      <c r="CA23" s="59">
        <v>574.46</v>
      </c>
      <c r="CB23" s="58">
        <f>'Quarter final consumption'!B23</f>
        <v>37083.78</v>
      </c>
      <c r="CC23" s="58">
        <f>'Quarter final consumption'!C23</f>
        <v>497.13</v>
      </c>
      <c r="CD23" s="58">
        <f>'Quarter final consumption'!D23</f>
        <v>363.37</v>
      </c>
      <c r="CE23" s="58">
        <f>'Quarter final consumption'!E23</f>
        <v>17951.780000000002</v>
      </c>
      <c r="CF23" s="58">
        <f>'Quarter final consumption'!F23</f>
        <v>10965.24</v>
      </c>
      <c r="CG23" s="58">
        <f>'Quarter final consumption'!G23</f>
        <v>140.17000000000002</v>
      </c>
      <c r="CH23" s="58">
        <f>'Quarter final consumption'!H23</f>
        <v>6701.34</v>
      </c>
      <c r="CI23" s="71">
        <f>'Quarter final consumption'!I23</f>
        <v>464.75</v>
      </c>
    </row>
    <row r="24" spans="1:87" ht="15.5" x14ac:dyDescent="0.35">
      <c r="A24" s="50" t="s">
        <v>189</v>
      </c>
      <c r="B24" s="58">
        <f t="shared" si="0"/>
        <v>51004.45</v>
      </c>
      <c r="C24" s="58">
        <f t="shared" si="1"/>
        <v>7762.1299999999992</v>
      </c>
      <c r="D24" s="58">
        <f t="shared" si="2"/>
        <v>66.120000000000118</v>
      </c>
      <c r="E24" s="58">
        <f t="shared" si="3"/>
        <v>24393.219999999998</v>
      </c>
      <c r="F24" s="58">
        <f t="shared" si="4"/>
        <v>-2888.2000000000007</v>
      </c>
      <c r="G24" s="58">
        <f t="shared" si="5"/>
        <v>16235.8</v>
      </c>
      <c r="H24" s="58">
        <f t="shared" si="6"/>
        <v>615.37</v>
      </c>
      <c r="I24" s="58">
        <f t="shared" si="7"/>
        <v>4803.1099999999997</v>
      </c>
      <c r="J24" s="58">
        <f t="shared" si="8"/>
        <v>16.899999999999636</v>
      </c>
      <c r="K24" s="58">
        <f t="shared" si="29"/>
        <v>-40.000000000000057</v>
      </c>
      <c r="L24" s="59">
        <v>0</v>
      </c>
      <c r="M24" s="59">
        <v>-23.96</v>
      </c>
      <c r="N24" s="59">
        <v>-573.26</v>
      </c>
      <c r="O24" s="59">
        <v>560.4</v>
      </c>
      <c r="P24" s="59">
        <v>-3.18</v>
      </c>
      <c r="Q24" s="59">
        <v>0</v>
      </c>
      <c r="R24" s="59">
        <v>-84.63</v>
      </c>
      <c r="S24" s="59">
        <v>84.63</v>
      </c>
      <c r="T24" s="58">
        <f t="shared" si="30"/>
        <v>-12114.459999999997</v>
      </c>
      <c r="U24" s="58">
        <f t="shared" si="9"/>
        <v>-7316.5399999999991</v>
      </c>
      <c r="V24" s="58">
        <f t="shared" si="10"/>
        <v>529.62999999999988</v>
      </c>
      <c r="W24" s="58">
        <f t="shared" si="18"/>
        <v>-23819.96</v>
      </c>
      <c r="X24" s="58">
        <f t="shared" si="11"/>
        <v>23367.02</v>
      </c>
      <c r="Y24" s="58">
        <f t="shared" si="12"/>
        <v>-7498.28</v>
      </c>
      <c r="Z24" s="58">
        <f t="shared" si="13"/>
        <v>-515.6</v>
      </c>
      <c r="AA24" s="58">
        <f t="shared" si="31"/>
        <v>-4718.4799999999996</v>
      </c>
      <c r="AB24" s="58">
        <f t="shared" si="31"/>
        <v>7469.72</v>
      </c>
      <c r="AC24" s="58">
        <f t="shared" si="20"/>
        <v>388.03</v>
      </c>
      <c r="AD24" s="58">
        <f t="shared" si="32"/>
        <v>-11256.489999999998</v>
      </c>
      <c r="AE24" s="59">
        <v>-6015.82</v>
      </c>
      <c r="AF24" s="59">
        <v>-145.30000000000001</v>
      </c>
      <c r="AG24" s="59">
        <v>-165.07</v>
      </c>
      <c r="AH24" s="59">
        <v>-7165.94</v>
      </c>
      <c r="AI24" s="59">
        <v>-515.6</v>
      </c>
      <c r="AJ24" s="59">
        <v>-4718.4799999999996</v>
      </c>
      <c r="AK24" s="59">
        <v>7469.72</v>
      </c>
      <c r="AL24" s="58">
        <f t="shared" si="14"/>
        <v>-133.81999999999994</v>
      </c>
      <c r="AM24" s="59">
        <v>-95</v>
      </c>
      <c r="AN24" s="59">
        <v>-41.01</v>
      </c>
      <c r="AO24" s="59">
        <v>-53.5</v>
      </c>
      <c r="AP24" s="59">
        <v>-332.34</v>
      </c>
      <c r="AQ24" s="59">
        <v>0</v>
      </c>
      <c r="AR24" s="59">
        <v>388.03</v>
      </c>
      <c r="AS24" s="58">
        <f t="shared" si="22"/>
        <v>-186.68000000000029</v>
      </c>
      <c r="AT24" s="59">
        <v>-23819.96</v>
      </c>
      <c r="AU24" s="59">
        <v>23633.279999999999</v>
      </c>
      <c r="AV24" s="58">
        <f t="shared" si="23"/>
        <v>-14.420000000000037</v>
      </c>
      <c r="AW24" s="59">
        <v>-1010.61</v>
      </c>
      <c r="AX24" s="59">
        <v>996.15</v>
      </c>
      <c r="AY24" s="59">
        <v>0.04</v>
      </c>
      <c r="AZ24" s="58">
        <f t="shared" si="24"/>
        <v>-523.25</v>
      </c>
      <c r="BA24" s="59">
        <v>-127.5</v>
      </c>
      <c r="BB24" s="59">
        <v>-348.02</v>
      </c>
      <c r="BC24" s="59">
        <v>-47.73</v>
      </c>
      <c r="BD24" s="58">
        <f t="shared" si="25"/>
        <v>0.20000000000000284</v>
      </c>
      <c r="BE24" s="59">
        <v>-67.61</v>
      </c>
      <c r="BF24" s="59">
        <v>67.81</v>
      </c>
      <c r="BG24" s="59">
        <v>0</v>
      </c>
      <c r="BH24" s="58">
        <f t="shared" si="15"/>
        <v>0</v>
      </c>
      <c r="BI24" s="59">
        <v>0</v>
      </c>
      <c r="BJ24" s="59">
        <v>0</v>
      </c>
      <c r="BK24" s="58">
        <f t="shared" si="26"/>
        <v>3992.68</v>
      </c>
      <c r="BL24" s="59">
        <v>1.52</v>
      </c>
      <c r="BM24" s="59">
        <v>196.28</v>
      </c>
      <c r="BN24" s="59">
        <v>0</v>
      </c>
      <c r="BO24" s="59">
        <v>1539.72</v>
      </c>
      <c r="BP24" s="59">
        <v>1670.64</v>
      </c>
      <c r="BQ24" s="59">
        <v>0</v>
      </c>
      <c r="BR24" s="59">
        <v>583.12</v>
      </c>
      <c r="BS24" s="59">
        <v>1.4</v>
      </c>
      <c r="BT24" s="58">
        <f t="shared" si="27"/>
        <v>723.91</v>
      </c>
      <c r="BU24" s="59">
        <v>0</v>
      </c>
      <c r="BV24" s="59">
        <v>26.87</v>
      </c>
      <c r="BW24" s="59">
        <v>0</v>
      </c>
      <c r="BX24" s="59">
        <v>0</v>
      </c>
      <c r="BY24" s="59">
        <v>155.9</v>
      </c>
      <c r="BZ24" s="59">
        <v>0</v>
      </c>
      <c r="CA24" s="59">
        <v>541.14</v>
      </c>
      <c r="CB24" s="58">
        <f>'Quarter final consumption'!B24</f>
        <v>34143.329999999994</v>
      </c>
      <c r="CC24" s="58">
        <f>'Quarter final consumption'!C24</f>
        <v>444.07000000000005</v>
      </c>
      <c r="CD24" s="58">
        <f>'Quarter final consumption'!D24</f>
        <v>348.64</v>
      </c>
      <c r="CE24" s="58">
        <f>'Quarter final consumption'!E24</f>
        <v>19499.5</v>
      </c>
      <c r="CF24" s="58">
        <f>'Quarter final consumption'!F24</f>
        <v>6907.7999999999993</v>
      </c>
      <c r="CG24" s="58">
        <f>'Quarter final consumption'!G24</f>
        <v>99.77000000000001</v>
      </c>
      <c r="CH24" s="58">
        <f>'Quarter final consumption'!H24</f>
        <v>6446.99</v>
      </c>
      <c r="CI24" s="71">
        <f>'Quarter final consumption'!I24</f>
        <v>396.56</v>
      </c>
    </row>
    <row r="25" spans="1:87" ht="15.5" x14ac:dyDescent="0.35">
      <c r="A25" s="50" t="s">
        <v>190</v>
      </c>
      <c r="B25" s="58">
        <f t="shared" si="0"/>
        <v>66222.23</v>
      </c>
      <c r="C25" s="58">
        <f t="shared" si="1"/>
        <v>11061.100000000002</v>
      </c>
      <c r="D25" s="58">
        <f t="shared" si="2"/>
        <v>84.950000000000102</v>
      </c>
      <c r="E25" s="58">
        <f t="shared" si="3"/>
        <v>23341.59</v>
      </c>
      <c r="F25" s="58">
        <f t="shared" si="4"/>
        <v>-1701.9100000000035</v>
      </c>
      <c r="G25" s="58">
        <f t="shared" si="5"/>
        <v>27500.75</v>
      </c>
      <c r="H25" s="58">
        <f t="shared" si="6"/>
        <v>741.9</v>
      </c>
      <c r="I25" s="58">
        <f t="shared" si="7"/>
        <v>4956.0200000000004</v>
      </c>
      <c r="J25" s="58">
        <f t="shared" si="8"/>
        <v>237.83000000000084</v>
      </c>
      <c r="K25" s="58">
        <f t="shared" si="29"/>
        <v>-43.81</v>
      </c>
      <c r="L25" s="59">
        <v>0</v>
      </c>
      <c r="M25" s="59">
        <v>-25.73</v>
      </c>
      <c r="N25" s="59">
        <v>-482.39</v>
      </c>
      <c r="O25" s="59">
        <v>466.45</v>
      </c>
      <c r="P25" s="59">
        <v>-2.14</v>
      </c>
      <c r="Q25" s="59">
        <v>0</v>
      </c>
      <c r="R25" s="59">
        <v>-122.75</v>
      </c>
      <c r="S25" s="59">
        <v>122.75</v>
      </c>
      <c r="T25" s="58">
        <f t="shared" si="30"/>
        <v>-13829.569999999996</v>
      </c>
      <c r="U25" s="58">
        <f t="shared" si="9"/>
        <v>-10305.52</v>
      </c>
      <c r="V25" s="58">
        <f t="shared" si="10"/>
        <v>555.87</v>
      </c>
      <c r="W25" s="58">
        <f t="shared" si="18"/>
        <v>-22859.200000000001</v>
      </c>
      <c r="X25" s="58">
        <f t="shared" si="11"/>
        <v>22438.33</v>
      </c>
      <c r="Y25" s="58">
        <f t="shared" si="12"/>
        <v>-7512.93</v>
      </c>
      <c r="Z25" s="58">
        <f t="shared" si="13"/>
        <v>-531.73</v>
      </c>
      <c r="AA25" s="58">
        <f t="shared" si="31"/>
        <v>-4833.2700000000004</v>
      </c>
      <c r="AB25" s="58">
        <f t="shared" si="31"/>
        <v>8621.67</v>
      </c>
      <c r="AC25" s="58">
        <f t="shared" si="20"/>
        <v>597.21</v>
      </c>
      <c r="AD25" s="58">
        <f t="shared" si="32"/>
        <v>-13001.99</v>
      </c>
      <c r="AE25" s="59">
        <v>-8963.93</v>
      </c>
      <c r="AF25" s="59">
        <v>-149.99</v>
      </c>
      <c r="AG25" s="59">
        <v>-183.48</v>
      </c>
      <c r="AH25" s="59">
        <v>-6961.26</v>
      </c>
      <c r="AI25" s="59">
        <v>-531.73</v>
      </c>
      <c r="AJ25" s="59">
        <v>-4833.2700000000004</v>
      </c>
      <c r="AK25" s="59">
        <v>8621.67</v>
      </c>
      <c r="AL25" s="58">
        <f t="shared" si="14"/>
        <v>-187.74999999999989</v>
      </c>
      <c r="AM25" s="59">
        <v>-120.82</v>
      </c>
      <c r="AN25" s="59">
        <v>-41.01</v>
      </c>
      <c r="AO25" s="59">
        <v>-71.459999999999994</v>
      </c>
      <c r="AP25" s="59">
        <v>-551.66999999999996</v>
      </c>
      <c r="AQ25" s="59">
        <v>0</v>
      </c>
      <c r="AR25" s="59">
        <v>597.21</v>
      </c>
      <c r="AS25" s="58">
        <f t="shared" si="22"/>
        <v>-113.75</v>
      </c>
      <c r="AT25" s="59">
        <v>-22859.200000000001</v>
      </c>
      <c r="AU25" s="59">
        <v>22745.45</v>
      </c>
      <c r="AV25" s="58">
        <f t="shared" si="23"/>
        <v>-7.9500000000000774</v>
      </c>
      <c r="AW25" s="59">
        <v>-1006.94</v>
      </c>
      <c r="AX25" s="59">
        <v>998.9</v>
      </c>
      <c r="AY25" s="59">
        <v>0.09</v>
      </c>
      <c r="AZ25" s="58">
        <f t="shared" si="24"/>
        <v>-521.21</v>
      </c>
      <c r="BA25" s="59">
        <v>-132.21</v>
      </c>
      <c r="BB25" s="59">
        <v>-336.73</v>
      </c>
      <c r="BC25" s="59">
        <v>-52.27</v>
      </c>
      <c r="BD25" s="58">
        <f t="shared" si="25"/>
        <v>3.0799999999999983</v>
      </c>
      <c r="BE25" s="59">
        <v>-81.62</v>
      </c>
      <c r="BF25" s="59">
        <v>84.7</v>
      </c>
      <c r="BG25" s="59">
        <v>0</v>
      </c>
      <c r="BH25" s="58">
        <f t="shared" si="15"/>
        <v>0</v>
      </c>
      <c r="BI25" s="59">
        <v>0</v>
      </c>
      <c r="BJ25" s="59">
        <v>0</v>
      </c>
      <c r="BK25" s="58">
        <f t="shared" si="26"/>
        <v>4454.83</v>
      </c>
      <c r="BL25" s="59">
        <v>1.54</v>
      </c>
      <c r="BM25" s="59">
        <v>201.09</v>
      </c>
      <c r="BN25" s="59">
        <v>0</v>
      </c>
      <c r="BO25" s="59">
        <v>1491.44</v>
      </c>
      <c r="BP25" s="59">
        <v>2127.2199999999998</v>
      </c>
      <c r="BQ25" s="59">
        <v>0</v>
      </c>
      <c r="BR25" s="59">
        <v>632.14</v>
      </c>
      <c r="BS25" s="59">
        <v>1.4</v>
      </c>
      <c r="BT25" s="58">
        <f t="shared" si="27"/>
        <v>1016.63</v>
      </c>
      <c r="BU25" s="59">
        <v>0</v>
      </c>
      <c r="BV25" s="59">
        <v>25.72</v>
      </c>
      <c r="BW25" s="59">
        <v>0</v>
      </c>
      <c r="BX25" s="59">
        <v>0</v>
      </c>
      <c r="BY25" s="59">
        <v>225.16</v>
      </c>
      <c r="BZ25" s="59">
        <v>0</v>
      </c>
      <c r="CA25" s="59">
        <v>765.75</v>
      </c>
      <c r="CB25" s="58">
        <f>'Quarter final consumption'!B25</f>
        <v>46871.86</v>
      </c>
      <c r="CC25" s="58">
        <f>'Quarter final consumption'!C25</f>
        <v>754.04000000000008</v>
      </c>
      <c r="CD25" s="58">
        <f>'Quarter final consumption'!D25</f>
        <v>388.28000000000003</v>
      </c>
      <c r="CE25" s="58">
        <f>'Quarter final consumption'!E25</f>
        <v>19711.43</v>
      </c>
      <c r="CF25" s="58">
        <f>'Quarter final consumption'!F25</f>
        <v>17633.3</v>
      </c>
      <c r="CG25" s="58">
        <f>'Quarter final consumption'!G25</f>
        <v>210.17</v>
      </c>
      <c r="CH25" s="58">
        <f>'Quarter final consumption'!H25</f>
        <v>7584.3600000000006</v>
      </c>
      <c r="CI25" s="71">
        <f>'Quarter final consumption'!I25</f>
        <v>590.28</v>
      </c>
    </row>
    <row r="26" spans="1:87" ht="15.5" x14ac:dyDescent="0.35">
      <c r="A26" s="50" t="s">
        <v>191</v>
      </c>
      <c r="B26" s="58">
        <f t="shared" si="0"/>
        <v>71048.36</v>
      </c>
      <c r="C26" s="58">
        <f t="shared" si="1"/>
        <v>11528.460000000003</v>
      </c>
      <c r="D26" s="58">
        <f t="shared" si="2"/>
        <v>147.56999999999996</v>
      </c>
      <c r="E26" s="58">
        <f t="shared" si="3"/>
        <v>23842.9</v>
      </c>
      <c r="F26" s="58">
        <f t="shared" si="4"/>
        <v>-2112.7400000000016</v>
      </c>
      <c r="G26" s="58">
        <f t="shared" si="5"/>
        <v>31137.579999999998</v>
      </c>
      <c r="H26" s="58">
        <f t="shared" si="6"/>
        <v>832.56</v>
      </c>
      <c r="I26" s="58">
        <f t="shared" si="7"/>
        <v>5659.25</v>
      </c>
      <c r="J26" s="58">
        <f t="shared" si="8"/>
        <v>12.779999999998836</v>
      </c>
      <c r="K26" s="58">
        <f t="shared" si="29"/>
        <v>-4.859999999999971</v>
      </c>
      <c r="L26" s="59">
        <v>0</v>
      </c>
      <c r="M26" s="59">
        <v>-28.13</v>
      </c>
      <c r="N26" s="59">
        <v>-406.2</v>
      </c>
      <c r="O26" s="59">
        <v>432.11</v>
      </c>
      <c r="P26" s="59">
        <v>-2.64</v>
      </c>
      <c r="Q26" s="59">
        <v>0</v>
      </c>
      <c r="R26" s="59">
        <v>-119.09</v>
      </c>
      <c r="S26" s="59">
        <v>119.09</v>
      </c>
      <c r="T26" s="58">
        <f t="shared" si="30"/>
        <v>-14571.220000000001</v>
      </c>
      <c r="U26" s="58">
        <f t="shared" si="9"/>
        <v>-10955.340000000002</v>
      </c>
      <c r="V26" s="58">
        <f t="shared" si="10"/>
        <v>466.82000000000005</v>
      </c>
      <c r="W26" s="58">
        <f t="shared" si="18"/>
        <v>-23436.7</v>
      </c>
      <c r="X26" s="58">
        <f t="shared" si="11"/>
        <v>23179.200000000001</v>
      </c>
      <c r="Y26" s="58">
        <f t="shared" si="12"/>
        <v>-7406.42</v>
      </c>
      <c r="Z26" s="58">
        <f t="shared" si="13"/>
        <v>-568.92999999999995</v>
      </c>
      <c r="AA26" s="58">
        <f t="shared" si="31"/>
        <v>-5540.16</v>
      </c>
      <c r="AB26" s="58">
        <f t="shared" si="31"/>
        <v>9124.2800000000007</v>
      </c>
      <c r="AC26" s="58">
        <f t="shared" si="20"/>
        <v>566.03</v>
      </c>
      <c r="AD26" s="58">
        <f t="shared" si="32"/>
        <v>-13812.589999999998</v>
      </c>
      <c r="AE26" s="59">
        <v>-9601.25</v>
      </c>
      <c r="AF26" s="59">
        <v>-229.09</v>
      </c>
      <c r="AG26" s="59">
        <v>-156.99</v>
      </c>
      <c r="AH26" s="59">
        <v>-6840.45</v>
      </c>
      <c r="AI26" s="59">
        <v>-568.92999999999995</v>
      </c>
      <c r="AJ26" s="59">
        <v>-5540.16</v>
      </c>
      <c r="AK26" s="59">
        <v>9124.2800000000007</v>
      </c>
      <c r="AL26" s="58">
        <f t="shared" si="14"/>
        <v>-185.82000000000005</v>
      </c>
      <c r="AM26" s="59">
        <v>-110.25</v>
      </c>
      <c r="AN26" s="59">
        <v>-29.11</v>
      </c>
      <c r="AO26" s="59">
        <v>-46.52</v>
      </c>
      <c r="AP26" s="59">
        <v>-565.97</v>
      </c>
      <c r="AQ26" s="59">
        <v>0</v>
      </c>
      <c r="AR26" s="59">
        <v>566.03</v>
      </c>
      <c r="AS26" s="58">
        <f t="shared" si="22"/>
        <v>20.799999999999272</v>
      </c>
      <c r="AT26" s="59">
        <v>-23436.7</v>
      </c>
      <c r="AU26" s="59">
        <v>23457.5</v>
      </c>
      <c r="AV26" s="58">
        <f t="shared" si="23"/>
        <v>3.5099999999999136</v>
      </c>
      <c r="AW26" s="59">
        <v>-1019.95</v>
      </c>
      <c r="AX26" s="59">
        <v>1023.42</v>
      </c>
      <c r="AY26" s="59">
        <v>0.04</v>
      </c>
      <c r="AZ26" s="58">
        <f t="shared" si="24"/>
        <v>-600.74000000000012</v>
      </c>
      <c r="BA26" s="59">
        <v>-143.11000000000001</v>
      </c>
      <c r="BB26" s="59">
        <v>-382.8</v>
      </c>
      <c r="BC26" s="59">
        <v>-74.83</v>
      </c>
      <c r="BD26" s="58">
        <f t="shared" si="25"/>
        <v>3.6200000000000045</v>
      </c>
      <c r="BE26" s="59">
        <v>-80.78</v>
      </c>
      <c r="BF26" s="59">
        <v>84.4</v>
      </c>
      <c r="BG26" s="59">
        <v>0</v>
      </c>
      <c r="BH26" s="58">
        <f t="shared" si="15"/>
        <v>0</v>
      </c>
      <c r="BI26" s="59">
        <v>0</v>
      </c>
      <c r="BJ26" s="59">
        <v>0</v>
      </c>
      <c r="BK26" s="58">
        <f t="shared" si="26"/>
        <v>4609.0199999999995</v>
      </c>
      <c r="BL26" s="59">
        <v>1.59</v>
      </c>
      <c r="BM26" s="59">
        <v>216.25</v>
      </c>
      <c r="BN26" s="59">
        <v>0</v>
      </c>
      <c r="BO26" s="59">
        <v>1582.25</v>
      </c>
      <c r="BP26" s="59">
        <v>2134.5100000000002</v>
      </c>
      <c r="BQ26" s="59">
        <v>0</v>
      </c>
      <c r="BR26" s="59">
        <v>673.81</v>
      </c>
      <c r="BS26" s="59">
        <v>0.61</v>
      </c>
      <c r="BT26" s="58">
        <f t="shared" si="27"/>
        <v>962.34999999999991</v>
      </c>
      <c r="BU26" s="59">
        <v>0</v>
      </c>
      <c r="BV26" s="59">
        <v>35.1</v>
      </c>
      <c r="BW26" s="59">
        <v>0</v>
      </c>
      <c r="BX26" s="59">
        <v>0</v>
      </c>
      <c r="BY26" s="59">
        <v>190.73</v>
      </c>
      <c r="BZ26" s="59">
        <v>0</v>
      </c>
      <c r="CA26" s="59">
        <v>736.52</v>
      </c>
      <c r="CB26" s="58">
        <f>'Quarter final consumption'!B26</f>
        <v>50886.349999999991</v>
      </c>
      <c r="CC26" s="58">
        <f>'Quarter final consumption'!C26</f>
        <v>571.53</v>
      </c>
      <c r="CD26" s="58">
        <f>'Quarter final consumption'!D26</f>
        <v>334.91</v>
      </c>
      <c r="CE26" s="58">
        <f>'Quarter final consumption'!E26</f>
        <v>19916.32</v>
      </c>
      <c r="CF26" s="58">
        <f>'Quarter final consumption'!F26</f>
        <v>21403.279999999999</v>
      </c>
      <c r="CG26" s="58">
        <f>'Quarter final consumption'!G26</f>
        <v>263.63</v>
      </c>
      <c r="CH26" s="58">
        <f>'Quarter final consumption'!H26</f>
        <v>7845.82</v>
      </c>
      <c r="CI26" s="71">
        <f>'Quarter final consumption'!I26</f>
        <v>550.86</v>
      </c>
    </row>
    <row r="27" spans="1:87" ht="15.5" x14ac:dyDescent="0.35">
      <c r="A27" s="50" t="s">
        <v>192</v>
      </c>
      <c r="B27" s="58">
        <f t="shared" si="0"/>
        <v>54641.71</v>
      </c>
      <c r="C27" s="58">
        <f t="shared" si="1"/>
        <v>8986.2699999999986</v>
      </c>
      <c r="D27" s="58">
        <f t="shared" si="2"/>
        <v>91.439999999999941</v>
      </c>
      <c r="E27" s="58">
        <f t="shared" si="3"/>
        <v>24147.489999999998</v>
      </c>
      <c r="F27" s="58">
        <f t="shared" si="4"/>
        <v>-4216.2200000000012</v>
      </c>
      <c r="G27" s="58">
        <f t="shared" si="5"/>
        <v>19781.400000000001</v>
      </c>
      <c r="H27" s="58">
        <f t="shared" si="6"/>
        <v>712.9</v>
      </c>
      <c r="I27" s="58">
        <f t="shared" si="7"/>
        <v>5152.0599999999995</v>
      </c>
      <c r="J27" s="58">
        <f t="shared" si="8"/>
        <v>-13.6299999999992</v>
      </c>
      <c r="K27" s="58">
        <f t="shared" si="29"/>
        <v>-35.639999999999986</v>
      </c>
      <c r="L27" s="59">
        <v>0</v>
      </c>
      <c r="M27" s="59">
        <v>-31.06</v>
      </c>
      <c r="N27" s="59">
        <v>-419.14</v>
      </c>
      <c r="O27" s="59">
        <v>415.13</v>
      </c>
      <c r="P27" s="59">
        <v>-0.56999999999999995</v>
      </c>
      <c r="Q27" s="59">
        <v>0</v>
      </c>
      <c r="R27" s="59">
        <v>-80.44</v>
      </c>
      <c r="S27" s="59">
        <v>80.44</v>
      </c>
      <c r="T27" s="58">
        <f t="shared" si="30"/>
        <v>-12469.949999999995</v>
      </c>
      <c r="U27" s="58">
        <f t="shared" si="9"/>
        <v>-8474.1799999999985</v>
      </c>
      <c r="V27" s="58">
        <f t="shared" si="10"/>
        <v>484.59000000000003</v>
      </c>
      <c r="W27" s="58">
        <f t="shared" si="18"/>
        <v>-23728.35</v>
      </c>
      <c r="X27" s="58">
        <f t="shared" si="11"/>
        <v>23577.78</v>
      </c>
      <c r="Y27" s="58">
        <f t="shared" si="12"/>
        <v>-6926.17</v>
      </c>
      <c r="Z27" s="58">
        <f t="shared" si="13"/>
        <v>-582.48</v>
      </c>
      <c r="AA27" s="58">
        <f t="shared" si="31"/>
        <v>-5071.62</v>
      </c>
      <c r="AB27" s="58">
        <f t="shared" si="31"/>
        <v>7869.11</v>
      </c>
      <c r="AC27" s="58">
        <f t="shared" si="20"/>
        <v>381.37</v>
      </c>
      <c r="AD27" s="58">
        <f t="shared" si="32"/>
        <v>-11829.89</v>
      </c>
      <c r="AE27" s="59">
        <v>-7101.78</v>
      </c>
      <c r="AF27" s="59">
        <v>-235.65</v>
      </c>
      <c r="AG27" s="59">
        <v>-129.93</v>
      </c>
      <c r="AH27" s="59">
        <v>-6577.54</v>
      </c>
      <c r="AI27" s="59">
        <v>-582.48</v>
      </c>
      <c r="AJ27" s="59">
        <v>-5071.62</v>
      </c>
      <c r="AK27" s="59">
        <v>7869.11</v>
      </c>
      <c r="AL27" s="58">
        <f t="shared" si="14"/>
        <v>-122.44</v>
      </c>
      <c r="AM27" s="59">
        <v>-90.57</v>
      </c>
      <c r="AN27" s="59">
        <v>-29.11</v>
      </c>
      <c r="AO27" s="59">
        <v>-35.5</v>
      </c>
      <c r="AP27" s="59">
        <v>-348.63</v>
      </c>
      <c r="AQ27" s="59">
        <v>0</v>
      </c>
      <c r="AR27" s="59">
        <v>381.37</v>
      </c>
      <c r="AS27" s="58">
        <f t="shared" si="22"/>
        <v>63.380000000001019</v>
      </c>
      <c r="AT27" s="59">
        <v>-23728.35</v>
      </c>
      <c r="AU27" s="59">
        <v>23791.73</v>
      </c>
      <c r="AV27" s="58">
        <f t="shared" si="23"/>
        <v>11.930000000000064</v>
      </c>
      <c r="AW27" s="59">
        <v>-1048.3499999999999</v>
      </c>
      <c r="AX27" s="59">
        <v>1060.28</v>
      </c>
      <c r="AY27" s="59">
        <v>0</v>
      </c>
      <c r="AZ27" s="58">
        <f t="shared" si="24"/>
        <v>-594.38</v>
      </c>
      <c r="BA27" s="59">
        <v>-166.58</v>
      </c>
      <c r="BB27" s="59">
        <v>-379.28</v>
      </c>
      <c r="BC27" s="59">
        <v>-48.52</v>
      </c>
      <c r="BD27" s="58">
        <f t="shared" si="25"/>
        <v>1.4499999999999886</v>
      </c>
      <c r="BE27" s="59">
        <v>-66.900000000000006</v>
      </c>
      <c r="BF27" s="59">
        <v>68.349999999999994</v>
      </c>
      <c r="BG27" s="59">
        <v>0</v>
      </c>
      <c r="BH27" s="58">
        <f t="shared" si="15"/>
        <v>0</v>
      </c>
      <c r="BI27" s="59">
        <v>0</v>
      </c>
      <c r="BJ27" s="59">
        <v>0</v>
      </c>
      <c r="BK27" s="58">
        <f t="shared" si="26"/>
        <v>4042.07</v>
      </c>
      <c r="BL27" s="59">
        <v>0.12</v>
      </c>
      <c r="BM27" s="59">
        <v>220.76</v>
      </c>
      <c r="BN27" s="59">
        <v>0</v>
      </c>
      <c r="BO27" s="59">
        <v>1333.75</v>
      </c>
      <c r="BP27" s="59">
        <v>1878.27</v>
      </c>
      <c r="BQ27" s="59">
        <v>0</v>
      </c>
      <c r="BR27" s="59">
        <v>608.55999999999995</v>
      </c>
      <c r="BS27" s="59">
        <v>0.61</v>
      </c>
      <c r="BT27" s="58">
        <f t="shared" si="27"/>
        <v>622.41</v>
      </c>
      <c r="BU27" s="59">
        <v>0</v>
      </c>
      <c r="BV27" s="59">
        <v>40.200000000000003</v>
      </c>
      <c r="BW27" s="59">
        <v>0</v>
      </c>
      <c r="BX27" s="59">
        <v>0</v>
      </c>
      <c r="BY27" s="59">
        <v>54.56</v>
      </c>
      <c r="BZ27" s="59">
        <v>0</v>
      </c>
      <c r="CA27" s="59">
        <v>527.65</v>
      </c>
      <c r="CB27" s="58">
        <f>'Quarter final consumption'!B27</f>
        <v>37479.729999999996</v>
      </c>
      <c r="CC27" s="58">
        <f>'Quarter final consumption'!C27</f>
        <v>511.97</v>
      </c>
      <c r="CD27" s="58">
        <f>'Quarter final consumption'!D27</f>
        <v>284.01</v>
      </c>
      <c r="CE27" s="58">
        <f>'Quarter final consumption'!E27</f>
        <v>18442.939999999999</v>
      </c>
      <c r="CF27" s="58">
        <f>'Quarter final consumption'!F27</f>
        <v>10921.83</v>
      </c>
      <c r="CG27" s="58">
        <f>'Quarter final consumption'!G27</f>
        <v>130.41999999999999</v>
      </c>
      <c r="CH27" s="58">
        <f>'Quarter final consumption'!H27</f>
        <v>6799.7100000000009</v>
      </c>
      <c r="CI27" s="71">
        <f>'Quarter final consumption'!I27</f>
        <v>388.84999999999997</v>
      </c>
    </row>
    <row r="28" spans="1:87" ht="15.5" x14ac:dyDescent="0.35">
      <c r="A28" s="50" t="s">
        <v>193</v>
      </c>
      <c r="B28" s="58">
        <f t="shared" si="0"/>
        <v>51448.770000000004</v>
      </c>
      <c r="C28" s="58">
        <f t="shared" si="1"/>
        <v>8219.85</v>
      </c>
      <c r="D28" s="58">
        <f t="shared" si="2"/>
        <v>117.05999999999992</v>
      </c>
      <c r="E28" s="58">
        <f t="shared" si="3"/>
        <v>22567.230000000003</v>
      </c>
      <c r="F28" s="58">
        <f t="shared" si="4"/>
        <v>-815.7200000000048</v>
      </c>
      <c r="G28" s="58">
        <f t="shared" si="5"/>
        <v>15946.689999999999</v>
      </c>
      <c r="H28" s="58">
        <f t="shared" si="6"/>
        <v>691.15</v>
      </c>
      <c r="I28" s="58">
        <f t="shared" si="7"/>
        <v>4768.29</v>
      </c>
      <c r="J28" s="58">
        <f t="shared" si="8"/>
        <v>-45.780000000000655</v>
      </c>
      <c r="K28" s="58">
        <f t="shared" si="29"/>
        <v>-60.069999999999986</v>
      </c>
      <c r="L28" s="59">
        <v>0</v>
      </c>
      <c r="M28" s="59">
        <v>-27.86</v>
      </c>
      <c r="N28" s="59">
        <v>-117.24</v>
      </c>
      <c r="O28" s="59">
        <v>88.08</v>
      </c>
      <c r="P28" s="59">
        <v>-3.05</v>
      </c>
      <c r="Q28" s="59">
        <v>0</v>
      </c>
      <c r="R28" s="59">
        <v>-60.98</v>
      </c>
      <c r="S28" s="59">
        <v>60.98</v>
      </c>
      <c r="T28" s="58">
        <f t="shared" si="30"/>
        <v>-12299.180000000004</v>
      </c>
      <c r="U28" s="58">
        <f t="shared" si="9"/>
        <v>-7783.93</v>
      </c>
      <c r="V28" s="58">
        <f t="shared" si="10"/>
        <v>431.98000000000008</v>
      </c>
      <c r="W28" s="58">
        <f t="shared" si="18"/>
        <v>-22449.99</v>
      </c>
      <c r="X28" s="58">
        <f t="shared" si="11"/>
        <v>22184.51</v>
      </c>
      <c r="Y28" s="58">
        <f t="shared" si="12"/>
        <v>-7354.48</v>
      </c>
      <c r="Z28" s="58">
        <f t="shared" si="13"/>
        <v>-601.36</v>
      </c>
      <c r="AA28" s="58">
        <f t="shared" si="31"/>
        <v>-4707.3100000000004</v>
      </c>
      <c r="AB28" s="58">
        <f t="shared" si="31"/>
        <v>7655.13</v>
      </c>
      <c r="AC28" s="58">
        <f t="shared" si="20"/>
        <v>326.27</v>
      </c>
      <c r="AD28" s="58">
        <f t="shared" si="32"/>
        <v>-11576.55</v>
      </c>
      <c r="AE28" s="59">
        <v>-6471.01</v>
      </c>
      <c r="AF28" s="59">
        <v>-232.94</v>
      </c>
      <c r="AG28" s="59">
        <v>-148.36000000000001</v>
      </c>
      <c r="AH28" s="59">
        <v>-7070.7</v>
      </c>
      <c r="AI28" s="59">
        <v>-601.36</v>
      </c>
      <c r="AJ28" s="59">
        <v>-4707.3100000000004</v>
      </c>
      <c r="AK28" s="59">
        <v>7655.13</v>
      </c>
      <c r="AL28" s="58">
        <f t="shared" si="14"/>
        <v>-102.88999999999999</v>
      </c>
      <c r="AM28" s="59">
        <v>-84.14</v>
      </c>
      <c r="AN28" s="59">
        <v>-29.11</v>
      </c>
      <c r="AO28" s="59">
        <v>-32.130000000000003</v>
      </c>
      <c r="AP28" s="59">
        <v>-283.77999999999997</v>
      </c>
      <c r="AQ28" s="59">
        <v>0</v>
      </c>
      <c r="AR28" s="59">
        <v>326.27</v>
      </c>
      <c r="AS28" s="58">
        <f t="shared" si="22"/>
        <v>-30.770000000000437</v>
      </c>
      <c r="AT28" s="59">
        <v>-22449.99</v>
      </c>
      <c r="AU28" s="59">
        <v>22419.22</v>
      </c>
      <c r="AV28" s="58">
        <f t="shared" si="23"/>
        <v>16.650000000000027</v>
      </c>
      <c r="AW28" s="59">
        <v>-1010.78</v>
      </c>
      <c r="AX28" s="59">
        <v>1027.5</v>
      </c>
      <c r="AY28" s="59">
        <v>-7.0000000000000007E-2</v>
      </c>
      <c r="AZ28" s="58">
        <f t="shared" si="24"/>
        <v>-609.2299999999999</v>
      </c>
      <c r="BA28" s="59">
        <v>-159.62</v>
      </c>
      <c r="BB28" s="59">
        <v>-395.46</v>
      </c>
      <c r="BC28" s="59">
        <v>-54.15</v>
      </c>
      <c r="BD28" s="58">
        <f t="shared" si="25"/>
        <v>3.6099999999999994</v>
      </c>
      <c r="BE28" s="59">
        <v>-58.38</v>
      </c>
      <c r="BF28" s="59">
        <v>61.99</v>
      </c>
      <c r="BG28" s="59">
        <v>0</v>
      </c>
      <c r="BH28" s="58">
        <f t="shared" si="15"/>
        <v>0</v>
      </c>
      <c r="BI28" s="59">
        <v>0</v>
      </c>
      <c r="BJ28" s="59">
        <v>0</v>
      </c>
      <c r="BK28" s="58">
        <f t="shared" si="26"/>
        <v>3935.89</v>
      </c>
      <c r="BL28" s="59">
        <v>0.8</v>
      </c>
      <c r="BM28" s="59">
        <v>224.75</v>
      </c>
      <c r="BN28" s="59">
        <v>0</v>
      </c>
      <c r="BO28" s="59">
        <v>1458.69</v>
      </c>
      <c r="BP28" s="59">
        <v>1658.21</v>
      </c>
      <c r="BQ28" s="59">
        <v>0</v>
      </c>
      <c r="BR28" s="59">
        <v>592.83000000000004</v>
      </c>
      <c r="BS28" s="59">
        <v>0.61</v>
      </c>
      <c r="BT28" s="58">
        <f t="shared" si="27"/>
        <v>741.23</v>
      </c>
      <c r="BU28" s="59">
        <v>0</v>
      </c>
      <c r="BV28" s="59">
        <v>40.479999999999997</v>
      </c>
      <c r="BW28" s="59">
        <v>0</v>
      </c>
      <c r="BX28" s="59">
        <v>0</v>
      </c>
      <c r="BY28" s="59">
        <v>120.81</v>
      </c>
      <c r="BZ28" s="59">
        <v>0</v>
      </c>
      <c r="CA28" s="59">
        <v>579.94000000000005</v>
      </c>
      <c r="CB28" s="58">
        <f>'Quarter final consumption'!B28</f>
        <v>34427.24</v>
      </c>
      <c r="CC28" s="58">
        <f>'Quarter final consumption'!C28</f>
        <v>435.11999999999995</v>
      </c>
      <c r="CD28" s="58">
        <f>'Quarter final consumption'!D28</f>
        <v>255.95</v>
      </c>
      <c r="CE28" s="58">
        <f>'Quarter final consumption'!E28</f>
        <v>19998.179999999997</v>
      </c>
      <c r="CF28" s="58">
        <f>'Quarter final consumption'!F28</f>
        <v>6810.1399999999994</v>
      </c>
      <c r="CG28" s="58">
        <f>'Quarter final consumption'!G28</f>
        <v>89.79</v>
      </c>
      <c r="CH28" s="58">
        <f>'Quarter final consumption'!H28</f>
        <v>6497.5599999999995</v>
      </c>
      <c r="CI28" s="71">
        <f>'Quarter final consumption'!I28</f>
        <v>340.49999999999994</v>
      </c>
    </row>
    <row r="29" spans="1:87" ht="15.5" x14ac:dyDescent="0.35">
      <c r="A29" s="50" t="s">
        <v>194</v>
      </c>
      <c r="B29" s="58">
        <f t="shared" si="0"/>
        <v>67285.7</v>
      </c>
      <c r="C29" s="58">
        <f t="shared" si="1"/>
        <v>11374.779999999997</v>
      </c>
      <c r="D29" s="58">
        <f t="shared" si="2"/>
        <v>161.90000000000009</v>
      </c>
      <c r="E29" s="58">
        <f t="shared" si="3"/>
        <v>23172.400000000001</v>
      </c>
      <c r="F29" s="58">
        <f t="shared" si="4"/>
        <v>-1694.0299999999988</v>
      </c>
      <c r="G29" s="58">
        <f t="shared" si="5"/>
        <v>28498.46</v>
      </c>
      <c r="H29" s="58">
        <f t="shared" si="6"/>
        <v>880.89</v>
      </c>
      <c r="I29" s="58">
        <f t="shared" si="7"/>
        <v>4848.76</v>
      </c>
      <c r="J29" s="58">
        <f t="shared" si="8"/>
        <v>42.539999999999964</v>
      </c>
      <c r="K29" s="58">
        <f t="shared" si="29"/>
        <v>-102.10000000000004</v>
      </c>
      <c r="L29" s="59">
        <v>0</v>
      </c>
      <c r="M29" s="59">
        <v>-36.68</v>
      </c>
      <c r="N29" s="59">
        <v>-424.16</v>
      </c>
      <c r="O29" s="59">
        <v>359.56</v>
      </c>
      <c r="P29" s="59">
        <v>-0.82</v>
      </c>
      <c r="Q29" s="59">
        <v>0</v>
      </c>
      <c r="R29" s="59">
        <v>-127.79</v>
      </c>
      <c r="S29" s="59">
        <v>127.79</v>
      </c>
      <c r="T29" s="58">
        <f t="shared" si="30"/>
        <v>-14308.570000000003</v>
      </c>
      <c r="U29" s="58">
        <f t="shared" si="9"/>
        <v>-10813.829999999998</v>
      </c>
      <c r="V29" s="58">
        <f t="shared" si="10"/>
        <v>469.34999999999997</v>
      </c>
      <c r="W29" s="58">
        <f t="shared" si="18"/>
        <v>-22748.240000000002</v>
      </c>
      <c r="X29" s="58">
        <f t="shared" si="11"/>
        <v>22603.73</v>
      </c>
      <c r="Y29" s="58">
        <f t="shared" si="12"/>
        <v>-7926.81</v>
      </c>
      <c r="Z29" s="58">
        <f t="shared" si="13"/>
        <v>-655.39</v>
      </c>
      <c r="AA29" s="58">
        <f t="shared" si="31"/>
        <v>-4720.97</v>
      </c>
      <c r="AB29" s="58">
        <f t="shared" si="31"/>
        <v>8967.93</v>
      </c>
      <c r="AC29" s="58">
        <f t="shared" si="20"/>
        <v>515.66</v>
      </c>
      <c r="AD29" s="58">
        <f t="shared" si="32"/>
        <v>-13594.27</v>
      </c>
      <c r="AE29" s="59">
        <v>-9374.15</v>
      </c>
      <c r="AF29" s="59">
        <v>-235.83</v>
      </c>
      <c r="AG29" s="59">
        <v>-155.72999999999999</v>
      </c>
      <c r="AH29" s="59">
        <v>-7420.13</v>
      </c>
      <c r="AI29" s="59">
        <v>-655.39</v>
      </c>
      <c r="AJ29" s="59">
        <v>-4720.97</v>
      </c>
      <c r="AK29" s="59">
        <v>8967.93</v>
      </c>
      <c r="AL29" s="58">
        <f t="shared" si="14"/>
        <v>-164.72000000000003</v>
      </c>
      <c r="AM29" s="59">
        <v>-100.65</v>
      </c>
      <c r="AN29" s="59">
        <v>-29.11</v>
      </c>
      <c r="AO29" s="59">
        <v>-43.94</v>
      </c>
      <c r="AP29" s="59">
        <v>-506.68</v>
      </c>
      <c r="AQ29" s="59">
        <v>0</v>
      </c>
      <c r="AR29" s="59">
        <v>515.66</v>
      </c>
      <c r="AS29" s="58">
        <f t="shared" si="22"/>
        <v>115.92999999999665</v>
      </c>
      <c r="AT29" s="59">
        <v>-22748.240000000002</v>
      </c>
      <c r="AU29" s="59">
        <v>22864.17</v>
      </c>
      <c r="AV29" s="58">
        <f t="shared" si="23"/>
        <v>10.18000000000009</v>
      </c>
      <c r="AW29" s="59">
        <v>-1090.55</v>
      </c>
      <c r="AX29" s="59">
        <v>1100.7</v>
      </c>
      <c r="AY29" s="59">
        <v>0.03</v>
      </c>
      <c r="AZ29" s="58">
        <f t="shared" si="24"/>
        <v>-676.72</v>
      </c>
      <c r="BA29" s="59">
        <v>-172.55</v>
      </c>
      <c r="BB29" s="59">
        <v>-443.37</v>
      </c>
      <c r="BC29" s="59">
        <v>-60.8</v>
      </c>
      <c r="BD29" s="58">
        <f t="shared" si="25"/>
        <v>1.0299999999999869</v>
      </c>
      <c r="BE29" s="59">
        <v>-75.930000000000007</v>
      </c>
      <c r="BF29" s="59">
        <v>76.959999999999994</v>
      </c>
      <c r="BG29" s="59">
        <v>0</v>
      </c>
      <c r="BH29" s="58">
        <f t="shared" si="15"/>
        <v>0</v>
      </c>
      <c r="BI29" s="59">
        <v>0</v>
      </c>
      <c r="BJ29" s="59">
        <v>0</v>
      </c>
      <c r="BK29" s="58">
        <f t="shared" si="26"/>
        <v>4292.4599999999991</v>
      </c>
      <c r="BL29" s="59">
        <v>1.55</v>
      </c>
      <c r="BM29" s="59">
        <v>235.77</v>
      </c>
      <c r="BN29" s="59">
        <v>0</v>
      </c>
      <c r="BO29" s="59">
        <v>1431.72</v>
      </c>
      <c r="BP29" s="59">
        <v>1974.61</v>
      </c>
      <c r="BQ29" s="59">
        <v>0</v>
      </c>
      <c r="BR29" s="59">
        <v>648.20000000000005</v>
      </c>
      <c r="BS29" s="59">
        <v>0.61</v>
      </c>
      <c r="BT29" s="58">
        <f t="shared" si="27"/>
        <v>935.77</v>
      </c>
      <c r="BU29" s="59">
        <v>0</v>
      </c>
      <c r="BV29" s="59">
        <v>43.73</v>
      </c>
      <c r="BW29" s="59">
        <v>0</v>
      </c>
      <c r="BX29" s="59">
        <v>0</v>
      </c>
      <c r="BY29" s="59">
        <v>168.49</v>
      </c>
      <c r="BZ29" s="59">
        <v>0</v>
      </c>
      <c r="CA29" s="59">
        <v>723.55</v>
      </c>
      <c r="CB29" s="58">
        <f>'Quarter final consumption'!B29</f>
        <v>47638.410000000011</v>
      </c>
      <c r="CC29" s="58">
        <f>'Quarter final consumption'!C29</f>
        <v>559.40000000000009</v>
      </c>
      <c r="CD29" s="58">
        <f>'Quarter final consumption'!D29</f>
        <v>315.07000000000005</v>
      </c>
      <c r="CE29" s="58">
        <f>'Quarter final consumption'!E29</f>
        <v>19837.54</v>
      </c>
      <c r="CF29" s="58">
        <f>'Quarter final consumption'!F29</f>
        <v>18427.73</v>
      </c>
      <c r="CG29" s="58">
        <f>'Quarter final consumption'!G29</f>
        <v>225.5</v>
      </c>
      <c r="CH29" s="58">
        <f>'Quarter final consumption'!H29</f>
        <v>7766.51</v>
      </c>
      <c r="CI29" s="71">
        <f>'Quarter final consumption'!I29</f>
        <v>506.65999999999997</v>
      </c>
    </row>
    <row r="30" spans="1:87" ht="15.5" x14ac:dyDescent="0.35">
      <c r="A30" s="50" t="s">
        <v>195</v>
      </c>
      <c r="B30" s="58">
        <f t="shared" si="0"/>
        <v>71759.680000000008</v>
      </c>
      <c r="C30" s="58">
        <f t="shared" si="1"/>
        <v>11563.960000000001</v>
      </c>
      <c r="D30" s="58">
        <f t="shared" si="2"/>
        <v>110.84000000000003</v>
      </c>
      <c r="E30" s="58">
        <f t="shared" si="3"/>
        <v>24549.94</v>
      </c>
      <c r="F30" s="58">
        <f t="shared" si="4"/>
        <v>-2951.5199999999968</v>
      </c>
      <c r="G30" s="58">
        <f t="shared" si="5"/>
        <v>32050.99</v>
      </c>
      <c r="H30" s="58">
        <f t="shared" si="6"/>
        <v>849.53</v>
      </c>
      <c r="I30" s="58">
        <f t="shared" si="7"/>
        <v>5517.06</v>
      </c>
      <c r="J30" s="58">
        <f t="shared" si="8"/>
        <v>68.880000000001019</v>
      </c>
      <c r="K30" s="58">
        <f t="shared" si="29"/>
        <v>115.48000000000005</v>
      </c>
      <c r="L30" s="59">
        <v>0</v>
      </c>
      <c r="M30" s="59">
        <v>-28.8</v>
      </c>
      <c r="N30" s="59">
        <v>-1166.44</v>
      </c>
      <c r="O30" s="59">
        <v>1312.19</v>
      </c>
      <c r="P30" s="59">
        <v>-1.47</v>
      </c>
      <c r="Q30" s="59">
        <v>0</v>
      </c>
      <c r="R30" s="59">
        <v>-173.46</v>
      </c>
      <c r="S30" s="59">
        <v>173.46</v>
      </c>
      <c r="T30" s="58">
        <f t="shared" si="30"/>
        <v>-14912.29</v>
      </c>
      <c r="U30" s="58">
        <f t="shared" si="9"/>
        <v>-11072.29</v>
      </c>
      <c r="V30" s="58">
        <f t="shared" si="10"/>
        <v>472.07</v>
      </c>
      <c r="W30" s="58">
        <f t="shared" si="18"/>
        <v>-23383.5</v>
      </c>
      <c r="X30" s="58">
        <f t="shared" si="11"/>
        <v>23112.63</v>
      </c>
      <c r="Y30" s="58">
        <f t="shared" si="12"/>
        <v>-7788.07</v>
      </c>
      <c r="Z30" s="58">
        <f t="shared" si="13"/>
        <v>-598.66999999999996</v>
      </c>
      <c r="AA30" s="58">
        <f t="shared" si="31"/>
        <v>-5343.6</v>
      </c>
      <c r="AB30" s="58">
        <f t="shared" si="31"/>
        <v>9302.7099999999991</v>
      </c>
      <c r="AC30" s="58">
        <f t="shared" si="20"/>
        <v>386.43</v>
      </c>
      <c r="AD30" s="58">
        <f t="shared" si="32"/>
        <v>-13974.589999999997</v>
      </c>
      <c r="AE30" s="59">
        <v>-9755.6</v>
      </c>
      <c r="AF30" s="59">
        <v>-210.8</v>
      </c>
      <c r="AG30" s="59">
        <v>-160.08000000000001</v>
      </c>
      <c r="AH30" s="59">
        <v>-7208.55</v>
      </c>
      <c r="AI30" s="59">
        <v>-598.66999999999996</v>
      </c>
      <c r="AJ30" s="59">
        <v>-5343.6</v>
      </c>
      <c r="AK30" s="59">
        <v>9302.7099999999991</v>
      </c>
      <c r="AL30" s="58">
        <f t="shared" si="14"/>
        <v>-310.71999999999997</v>
      </c>
      <c r="AM30" s="59">
        <v>-86.57</v>
      </c>
      <c r="AN30" s="59">
        <v>-12.85</v>
      </c>
      <c r="AO30" s="59">
        <v>-18.21</v>
      </c>
      <c r="AP30" s="59">
        <v>-579.52</v>
      </c>
      <c r="AQ30" s="59">
        <v>0</v>
      </c>
      <c r="AR30" s="59">
        <v>386.43</v>
      </c>
      <c r="AS30" s="58">
        <f t="shared" si="22"/>
        <v>-24.909999999999854</v>
      </c>
      <c r="AT30" s="59">
        <v>-23383.5</v>
      </c>
      <c r="AU30" s="59">
        <v>23358.59</v>
      </c>
      <c r="AV30" s="58">
        <f t="shared" si="23"/>
        <v>-6.9000000000000909</v>
      </c>
      <c r="AW30" s="59">
        <v>-1009.69</v>
      </c>
      <c r="AX30" s="59">
        <v>1002.79</v>
      </c>
      <c r="AY30" s="59">
        <v>0</v>
      </c>
      <c r="AZ30" s="58">
        <f t="shared" si="24"/>
        <v>-597.89</v>
      </c>
      <c r="BA30" s="59">
        <v>-153.44</v>
      </c>
      <c r="BB30" s="59">
        <v>-376.78</v>
      </c>
      <c r="BC30" s="59">
        <v>-67.67</v>
      </c>
      <c r="BD30" s="58">
        <f t="shared" si="25"/>
        <v>2.7199999999999989</v>
      </c>
      <c r="BE30" s="59">
        <v>-66.989999999999995</v>
      </c>
      <c r="BF30" s="59">
        <v>69.709999999999994</v>
      </c>
      <c r="BG30" s="59">
        <v>0</v>
      </c>
      <c r="BH30" s="58">
        <f t="shared" si="15"/>
        <v>0</v>
      </c>
      <c r="BI30" s="59">
        <v>0</v>
      </c>
      <c r="BJ30" s="59">
        <v>0</v>
      </c>
      <c r="BK30" s="58">
        <f t="shared" si="26"/>
        <v>4236.2</v>
      </c>
      <c r="BL30" s="59">
        <v>1.58</v>
      </c>
      <c r="BM30" s="59">
        <v>217.25</v>
      </c>
      <c r="BN30" s="59">
        <v>0</v>
      </c>
      <c r="BO30" s="59">
        <v>1348.83</v>
      </c>
      <c r="BP30" s="59">
        <v>2033.59</v>
      </c>
      <c r="BQ30" s="59">
        <v>0</v>
      </c>
      <c r="BR30" s="59">
        <v>631</v>
      </c>
      <c r="BS30" s="59">
        <v>3.95</v>
      </c>
      <c r="BT30" s="58">
        <f t="shared" si="27"/>
        <v>1040.06</v>
      </c>
      <c r="BU30" s="59">
        <v>0</v>
      </c>
      <c r="BV30" s="59">
        <v>38.39</v>
      </c>
      <c r="BW30" s="59">
        <v>0</v>
      </c>
      <c r="BX30" s="59">
        <v>0</v>
      </c>
      <c r="BY30" s="59">
        <v>227.63</v>
      </c>
      <c r="BZ30" s="59">
        <v>0</v>
      </c>
      <c r="CA30" s="59">
        <v>774.04</v>
      </c>
      <c r="CB30" s="58">
        <f>'Quarter final consumption'!B30</f>
        <v>51683.500000000015</v>
      </c>
      <c r="CC30" s="58">
        <f>'Quarter final consumption'!C30</f>
        <v>490.09</v>
      </c>
      <c r="CD30" s="58">
        <f>'Quarter final consumption'!D30</f>
        <v>298.47000000000003</v>
      </c>
      <c r="CE30" s="58">
        <f>'Quarter final consumption'!E30</f>
        <v>20124.47</v>
      </c>
      <c r="CF30" s="58">
        <f>'Quarter final consumption'!F30</f>
        <v>22000.230000000003</v>
      </c>
      <c r="CG30" s="58">
        <f>'Quarter final consumption'!G30</f>
        <v>250.86</v>
      </c>
      <c r="CH30" s="58">
        <f>'Quarter final consumption'!H30</f>
        <v>8140.0099999999993</v>
      </c>
      <c r="CI30" s="71">
        <f>'Quarter final consumption'!I30</f>
        <v>379.37</v>
      </c>
    </row>
    <row r="31" spans="1:87" ht="15.5" x14ac:dyDescent="0.35">
      <c r="A31" s="50" t="s">
        <v>196</v>
      </c>
      <c r="B31" s="58">
        <f t="shared" si="0"/>
        <v>55368.780000000006</v>
      </c>
      <c r="C31" s="58">
        <f t="shared" si="1"/>
        <v>8025.24</v>
      </c>
      <c r="D31" s="58">
        <f t="shared" si="2"/>
        <v>138.21999999999991</v>
      </c>
      <c r="E31" s="58">
        <f t="shared" si="3"/>
        <v>25294.31</v>
      </c>
      <c r="F31" s="58">
        <f t="shared" si="4"/>
        <v>-3846.6599999999962</v>
      </c>
      <c r="G31" s="58">
        <f t="shared" si="5"/>
        <v>20490.96</v>
      </c>
      <c r="H31" s="58">
        <f t="shared" si="6"/>
        <v>784.95</v>
      </c>
      <c r="I31" s="58">
        <f t="shared" si="7"/>
        <v>4317.6899999999996</v>
      </c>
      <c r="J31" s="58">
        <f t="shared" si="8"/>
        <v>164.0699999999988</v>
      </c>
      <c r="K31" s="58">
        <f t="shared" si="29"/>
        <v>-6.4500000000000028</v>
      </c>
      <c r="L31" s="59">
        <v>0</v>
      </c>
      <c r="M31" s="59">
        <v>-31.07</v>
      </c>
      <c r="N31" s="59">
        <v>-1034.49</v>
      </c>
      <c r="O31" s="59">
        <v>1060.07</v>
      </c>
      <c r="P31" s="59">
        <v>-0.96</v>
      </c>
      <c r="Q31" s="59">
        <v>0</v>
      </c>
      <c r="R31" s="59">
        <v>-94.12</v>
      </c>
      <c r="S31" s="59">
        <v>94.12</v>
      </c>
      <c r="T31" s="58">
        <f t="shared" si="30"/>
        <v>-11810.529999999999</v>
      </c>
      <c r="U31" s="58">
        <f t="shared" si="9"/>
        <v>-7535.79</v>
      </c>
      <c r="V31" s="58">
        <f t="shared" si="10"/>
        <v>457.69000000000011</v>
      </c>
      <c r="W31" s="58">
        <f t="shared" si="18"/>
        <v>-24259.82</v>
      </c>
      <c r="X31" s="58">
        <f t="shared" si="11"/>
        <v>24179.3</v>
      </c>
      <c r="Y31" s="58">
        <f t="shared" si="12"/>
        <v>-7461.23</v>
      </c>
      <c r="Z31" s="58">
        <f t="shared" si="13"/>
        <v>-636.76</v>
      </c>
      <c r="AA31" s="58">
        <f t="shared" si="31"/>
        <v>-4223.57</v>
      </c>
      <c r="AB31" s="58">
        <f t="shared" si="31"/>
        <v>7387.54</v>
      </c>
      <c r="AC31" s="58">
        <f t="shared" si="20"/>
        <v>282.11</v>
      </c>
      <c r="AD31" s="58">
        <f t="shared" si="32"/>
        <v>-11111.879999999997</v>
      </c>
      <c r="AE31" s="59">
        <v>-6218.86</v>
      </c>
      <c r="AF31" s="59">
        <v>-230.68</v>
      </c>
      <c r="AG31" s="59">
        <v>-139.34</v>
      </c>
      <c r="AH31" s="59">
        <v>-7050.21</v>
      </c>
      <c r="AI31" s="59">
        <v>-636.76</v>
      </c>
      <c r="AJ31" s="59">
        <v>-4223.57</v>
      </c>
      <c r="AK31" s="59">
        <v>7387.54</v>
      </c>
      <c r="AL31" s="58">
        <f t="shared" si="14"/>
        <v>-226.97999999999996</v>
      </c>
      <c r="AM31" s="59">
        <v>-67.5</v>
      </c>
      <c r="AN31" s="59">
        <v>-12.85</v>
      </c>
      <c r="AO31" s="59">
        <v>-17.72</v>
      </c>
      <c r="AP31" s="59">
        <v>-411.02</v>
      </c>
      <c r="AQ31" s="59">
        <v>0</v>
      </c>
      <c r="AR31" s="59">
        <v>282.11</v>
      </c>
      <c r="AS31" s="58">
        <f t="shared" si="22"/>
        <v>158.40000000000146</v>
      </c>
      <c r="AT31" s="59">
        <v>-24259.82</v>
      </c>
      <c r="AU31" s="59">
        <v>24418.22</v>
      </c>
      <c r="AV31" s="58">
        <f t="shared" si="23"/>
        <v>15.850000000000136</v>
      </c>
      <c r="AW31" s="59">
        <v>-1017.3</v>
      </c>
      <c r="AX31" s="59">
        <v>1033.1500000000001</v>
      </c>
      <c r="AY31" s="59">
        <v>0</v>
      </c>
      <c r="AZ31" s="58">
        <f t="shared" si="24"/>
        <v>-643.74</v>
      </c>
      <c r="BA31" s="59">
        <v>-167.57</v>
      </c>
      <c r="BB31" s="59">
        <v>-394.31</v>
      </c>
      <c r="BC31" s="59">
        <v>-81.86</v>
      </c>
      <c r="BD31" s="58">
        <f t="shared" si="25"/>
        <v>-2.1799999999999997</v>
      </c>
      <c r="BE31" s="59">
        <v>-64.56</v>
      </c>
      <c r="BF31" s="59">
        <v>62.38</v>
      </c>
      <c r="BG31" s="59">
        <v>0</v>
      </c>
      <c r="BH31" s="58">
        <f t="shared" si="15"/>
        <v>0</v>
      </c>
      <c r="BI31" s="59">
        <v>0</v>
      </c>
      <c r="BJ31" s="59">
        <v>0</v>
      </c>
      <c r="BK31" s="58">
        <f t="shared" si="26"/>
        <v>4196.9599999999991</v>
      </c>
      <c r="BL31" s="59">
        <v>0.84</v>
      </c>
      <c r="BM31" s="59">
        <v>217.98</v>
      </c>
      <c r="BN31" s="59">
        <v>0</v>
      </c>
      <c r="BO31" s="59">
        <v>1512.02</v>
      </c>
      <c r="BP31" s="59">
        <v>1930.31</v>
      </c>
      <c r="BQ31" s="59">
        <v>0</v>
      </c>
      <c r="BR31" s="59">
        <v>531.86</v>
      </c>
      <c r="BS31" s="59">
        <v>3.95</v>
      </c>
      <c r="BT31" s="58">
        <f t="shared" si="27"/>
        <v>758.2</v>
      </c>
      <c r="BU31" s="59">
        <v>0</v>
      </c>
      <c r="BV31" s="59">
        <v>56.02</v>
      </c>
      <c r="BW31" s="59">
        <v>0</v>
      </c>
      <c r="BX31" s="59">
        <v>0</v>
      </c>
      <c r="BY31" s="59">
        <v>135.03</v>
      </c>
      <c r="BZ31" s="59">
        <v>0</v>
      </c>
      <c r="CA31" s="59">
        <v>567.15</v>
      </c>
      <c r="CB31" s="58">
        <f>'Quarter final consumption'!B31</f>
        <v>38598.300000000003</v>
      </c>
      <c r="CC31" s="58">
        <f>'Quarter final consumption'!C31</f>
        <v>488.60999999999996</v>
      </c>
      <c r="CD31" s="58">
        <f>'Quarter final consumption'!D31</f>
        <v>290.84000000000003</v>
      </c>
      <c r="CE31" s="58">
        <f>'Quarter final consumption'!E31</f>
        <v>19880.690000000002</v>
      </c>
      <c r="CF31" s="58">
        <f>'Quarter final consumption'!F31</f>
        <v>10963.43</v>
      </c>
      <c r="CG31" s="58">
        <f>'Quarter final consumption'!G31</f>
        <v>148.19</v>
      </c>
      <c r="CH31" s="58">
        <f>'Quarter final consumption'!H31</f>
        <v>6546.7199999999993</v>
      </c>
      <c r="CI31" s="71">
        <f>'Quarter final consumption'!I31</f>
        <v>279.82</v>
      </c>
    </row>
    <row r="32" spans="1:87" ht="15.5" x14ac:dyDescent="0.35">
      <c r="A32" s="50" t="s">
        <v>197</v>
      </c>
      <c r="B32" s="58">
        <f t="shared" si="0"/>
        <v>51794.200000000004</v>
      </c>
      <c r="C32" s="58">
        <f t="shared" si="1"/>
        <v>7996.8</v>
      </c>
      <c r="D32" s="58">
        <f t="shared" si="2"/>
        <v>123.76999999999995</v>
      </c>
      <c r="E32" s="58">
        <f t="shared" si="3"/>
        <v>26021.52</v>
      </c>
      <c r="F32" s="58">
        <f t="shared" si="4"/>
        <v>-4100.6799999999967</v>
      </c>
      <c r="G32" s="58">
        <f t="shared" si="5"/>
        <v>16486.95</v>
      </c>
      <c r="H32" s="58">
        <f t="shared" si="6"/>
        <v>807.68</v>
      </c>
      <c r="I32" s="58">
        <f t="shared" si="7"/>
        <v>4362.1799999999994</v>
      </c>
      <c r="J32" s="58">
        <f t="shared" si="8"/>
        <v>95.980000000000473</v>
      </c>
      <c r="K32" s="58">
        <f t="shared" si="29"/>
        <v>-147.91000000000005</v>
      </c>
      <c r="L32" s="59">
        <v>0</v>
      </c>
      <c r="M32" s="59">
        <v>-28.48</v>
      </c>
      <c r="N32" s="59">
        <v>-899.44</v>
      </c>
      <c r="O32" s="59">
        <v>780.57</v>
      </c>
      <c r="P32" s="59">
        <v>-0.56000000000000005</v>
      </c>
      <c r="Q32" s="59">
        <v>0</v>
      </c>
      <c r="R32" s="59">
        <v>-123.15</v>
      </c>
      <c r="S32" s="59">
        <v>123.15</v>
      </c>
      <c r="T32" s="58">
        <f t="shared" si="30"/>
        <v>-12199.150000000001</v>
      </c>
      <c r="U32" s="58">
        <f t="shared" si="9"/>
        <v>-7583.06</v>
      </c>
      <c r="V32" s="58">
        <f t="shared" si="10"/>
        <v>413.81000000000006</v>
      </c>
      <c r="W32" s="58">
        <f t="shared" si="18"/>
        <v>-25122.080000000002</v>
      </c>
      <c r="X32" s="58">
        <f t="shared" si="11"/>
        <v>24993</v>
      </c>
      <c r="Y32" s="58">
        <f t="shared" si="12"/>
        <v>-7731.48</v>
      </c>
      <c r="Z32" s="58">
        <f t="shared" si="13"/>
        <v>-709.88</v>
      </c>
      <c r="AA32" s="58">
        <f t="shared" si="31"/>
        <v>-4239.03</v>
      </c>
      <c r="AB32" s="58">
        <f t="shared" si="31"/>
        <v>7530.66</v>
      </c>
      <c r="AC32" s="58">
        <f t="shared" si="20"/>
        <v>248.91</v>
      </c>
      <c r="AD32" s="58">
        <f t="shared" si="32"/>
        <v>-11537.439999999999</v>
      </c>
      <c r="AE32" s="59">
        <v>-6312.27</v>
      </c>
      <c r="AF32" s="59">
        <v>-237.41</v>
      </c>
      <c r="AG32" s="59">
        <v>-195.43</v>
      </c>
      <c r="AH32" s="59">
        <v>-7374.08</v>
      </c>
      <c r="AI32" s="59">
        <v>-709.88</v>
      </c>
      <c r="AJ32" s="59">
        <v>-4239.03</v>
      </c>
      <c r="AK32" s="59">
        <v>7530.66</v>
      </c>
      <c r="AL32" s="58">
        <f t="shared" si="14"/>
        <v>-200.32999999999996</v>
      </c>
      <c r="AM32" s="59">
        <v>-61.44</v>
      </c>
      <c r="AN32" s="59">
        <v>-12.85</v>
      </c>
      <c r="AO32" s="59">
        <v>-17.55</v>
      </c>
      <c r="AP32" s="59">
        <v>-357.4</v>
      </c>
      <c r="AQ32" s="59">
        <v>0</v>
      </c>
      <c r="AR32" s="59">
        <v>248.91</v>
      </c>
      <c r="AS32" s="58">
        <f t="shared" si="22"/>
        <v>160.03999999999724</v>
      </c>
      <c r="AT32" s="59">
        <v>-25122.080000000002</v>
      </c>
      <c r="AU32" s="59">
        <v>25282.12</v>
      </c>
      <c r="AV32" s="58">
        <f t="shared" si="23"/>
        <v>-4.0099999999999909</v>
      </c>
      <c r="AW32" s="59">
        <v>-992.96</v>
      </c>
      <c r="AX32" s="59">
        <v>988.95</v>
      </c>
      <c r="AY32" s="59">
        <v>0</v>
      </c>
      <c r="AZ32" s="58">
        <f t="shared" si="24"/>
        <v>-617.39</v>
      </c>
      <c r="BA32" s="59">
        <v>-161.66999999999999</v>
      </c>
      <c r="BB32" s="59">
        <v>-379.58</v>
      </c>
      <c r="BC32" s="59">
        <v>-76.14</v>
      </c>
      <c r="BD32" s="58">
        <f t="shared" si="25"/>
        <v>-1.9999999999996021E-2</v>
      </c>
      <c r="BE32" s="59">
        <v>-54.72</v>
      </c>
      <c r="BF32" s="59">
        <v>54.7</v>
      </c>
      <c r="BG32" s="59">
        <v>0</v>
      </c>
      <c r="BH32" s="58">
        <f t="shared" si="15"/>
        <v>0</v>
      </c>
      <c r="BI32" s="59">
        <v>0</v>
      </c>
      <c r="BJ32" s="59">
        <v>0</v>
      </c>
      <c r="BK32" s="58">
        <f t="shared" si="26"/>
        <v>3817.4399999999996</v>
      </c>
      <c r="BL32" s="59">
        <v>1.61</v>
      </c>
      <c r="BM32" s="59">
        <v>209.2</v>
      </c>
      <c r="BN32" s="59">
        <v>0</v>
      </c>
      <c r="BO32" s="59">
        <v>1412.45</v>
      </c>
      <c r="BP32" s="59">
        <v>1656.78</v>
      </c>
      <c r="BQ32" s="59">
        <v>0</v>
      </c>
      <c r="BR32" s="59">
        <v>533.45000000000005</v>
      </c>
      <c r="BS32" s="59">
        <v>3.95</v>
      </c>
      <c r="BT32" s="58">
        <f t="shared" si="27"/>
        <v>767.88</v>
      </c>
      <c r="BU32" s="59">
        <v>0</v>
      </c>
      <c r="BV32" s="59">
        <v>48.59</v>
      </c>
      <c r="BW32" s="59">
        <v>0</v>
      </c>
      <c r="BX32" s="59">
        <v>0</v>
      </c>
      <c r="BY32" s="59">
        <v>127.53</v>
      </c>
      <c r="BZ32" s="59">
        <v>0</v>
      </c>
      <c r="CA32" s="59">
        <v>591.76</v>
      </c>
      <c r="CB32" s="58">
        <f>'Quarter final consumption'!B32</f>
        <v>34865</v>
      </c>
      <c r="CC32" s="58">
        <f>'Quarter final consumption'!C32</f>
        <v>412.13000000000005</v>
      </c>
      <c r="CD32" s="58">
        <f>'Quarter final consumption'!D32</f>
        <v>251.31</v>
      </c>
      <c r="CE32" s="58">
        <f>'Quarter final consumption'!E32</f>
        <v>20260.440000000002</v>
      </c>
      <c r="CF32" s="58">
        <f>'Quarter final consumption'!F32</f>
        <v>6970.5999999999995</v>
      </c>
      <c r="CG32" s="58">
        <f>'Quarter final consumption'!G32</f>
        <v>97.8</v>
      </c>
      <c r="CH32" s="58">
        <f>'Quarter final consumption'!H32</f>
        <v>6624.58</v>
      </c>
      <c r="CI32" s="71">
        <f>'Quarter final consumption'!I32</f>
        <v>248.14</v>
      </c>
    </row>
    <row r="33" spans="1:87" ht="15.5" x14ac:dyDescent="0.35">
      <c r="A33" s="50" t="s">
        <v>198</v>
      </c>
      <c r="B33" s="58">
        <f t="shared" si="0"/>
        <v>67145.759999999995</v>
      </c>
      <c r="C33" s="58">
        <f t="shared" si="1"/>
        <v>10961.839999999998</v>
      </c>
      <c r="D33" s="58">
        <f t="shared" si="2"/>
        <v>195.54000000000002</v>
      </c>
      <c r="E33" s="58">
        <f t="shared" si="3"/>
        <v>26409.640000000003</v>
      </c>
      <c r="F33" s="58">
        <f t="shared" si="4"/>
        <v>-4526.66</v>
      </c>
      <c r="G33" s="58">
        <f t="shared" si="5"/>
        <v>28412.28</v>
      </c>
      <c r="H33" s="58">
        <f t="shared" si="6"/>
        <v>1039.44</v>
      </c>
      <c r="I33" s="58">
        <f t="shared" si="7"/>
        <v>4549.3100000000004</v>
      </c>
      <c r="J33" s="58">
        <f t="shared" si="8"/>
        <v>104.3700000000008</v>
      </c>
      <c r="K33" s="58">
        <f t="shared" si="29"/>
        <v>-99.920000000000158</v>
      </c>
      <c r="L33" s="59">
        <v>0</v>
      </c>
      <c r="M33" s="59">
        <v>-29.23</v>
      </c>
      <c r="N33" s="59">
        <v>-1095.1500000000001</v>
      </c>
      <c r="O33" s="59">
        <v>1024.81</v>
      </c>
      <c r="P33" s="59">
        <v>-0.35</v>
      </c>
      <c r="Q33" s="59">
        <v>0</v>
      </c>
      <c r="R33" s="59">
        <v>-192.52</v>
      </c>
      <c r="S33" s="59">
        <v>192.52</v>
      </c>
      <c r="T33" s="58">
        <f t="shared" si="30"/>
        <v>-14514.719999999998</v>
      </c>
      <c r="U33" s="58">
        <f t="shared" si="9"/>
        <v>-10363.109999999999</v>
      </c>
      <c r="V33" s="58">
        <f t="shared" si="10"/>
        <v>361.95</v>
      </c>
      <c r="W33" s="58">
        <f t="shared" si="18"/>
        <v>-25314.49</v>
      </c>
      <c r="X33" s="58">
        <f t="shared" si="11"/>
        <v>24986.660000000003</v>
      </c>
      <c r="Y33" s="58">
        <f t="shared" si="12"/>
        <v>-8203.0499999999993</v>
      </c>
      <c r="Z33" s="58">
        <f t="shared" si="13"/>
        <v>-821.71</v>
      </c>
      <c r="AA33" s="58">
        <f t="shared" si="31"/>
        <v>-4356.79</v>
      </c>
      <c r="AB33" s="58">
        <f t="shared" si="31"/>
        <v>8839.8799999999992</v>
      </c>
      <c r="AC33" s="58">
        <f t="shared" si="20"/>
        <v>355.94</v>
      </c>
      <c r="AD33" s="58">
        <f t="shared" si="32"/>
        <v>-13484.92</v>
      </c>
      <c r="AE33" s="59">
        <v>-9081.09</v>
      </c>
      <c r="AF33" s="59">
        <v>-242.62</v>
      </c>
      <c r="AG33" s="59">
        <v>-149.81</v>
      </c>
      <c r="AH33" s="59">
        <v>-7672.78</v>
      </c>
      <c r="AI33" s="59">
        <v>-821.71</v>
      </c>
      <c r="AJ33" s="59">
        <v>-4356.79</v>
      </c>
      <c r="AK33" s="59">
        <v>8839.8799999999992</v>
      </c>
      <c r="AL33" s="58">
        <f t="shared" si="14"/>
        <v>-286.23999999999995</v>
      </c>
      <c r="AM33" s="59">
        <v>-81</v>
      </c>
      <c r="AN33" s="59">
        <v>-12.85</v>
      </c>
      <c r="AO33" s="59">
        <v>-18.059999999999999</v>
      </c>
      <c r="AP33" s="59">
        <v>-530.27</v>
      </c>
      <c r="AQ33" s="59">
        <v>0</v>
      </c>
      <c r="AR33" s="59">
        <v>355.94</v>
      </c>
      <c r="AS33" s="58">
        <f t="shared" si="22"/>
        <v>-76.680000000000291</v>
      </c>
      <c r="AT33" s="59">
        <v>-25314.49</v>
      </c>
      <c r="AU33" s="59">
        <v>25237.81</v>
      </c>
      <c r="AV33" s="58">
        <f t="shared" si="23"/>
        <v>-23.370000000000005</v>
      </c>
      <c r="AW33" s="59">
        <v>-976.97</v>
      </c>
      <c r="AX33" s="59">
        <v>953.6</v>
      </c>
      <c r="AY33" s="59">
        <v>0</v>
      </c>
      <c r="AZ33" s="58">
        <f t="shared" si="24"/>
        <v>-642.79</v>
      </c>
      <c r="BA33" s="59">
        <v>-169.32</v>
      </c>
      <c r="BB33" s="59">
        <v>-390.19</v>
      </c>
      <c r="BC33" s="59">
        <v>-83.28</v>
      </c>
      <c r="BD33" s="58">
        <f t="shared" si="25"/>
        <v>-0.71999999999999886</v>
      </c>
      <c r="BE33" s="59">
        <v>-54.73</v>
      </c>
      <c r="BF33" s="59">
        <v>54.01</v>
      </c>
      <c r="BG33" s="59">
        <v>0</v>
      </c>
      <c r="BH33" s="58">
        <f t="shared" si="15"/>
        <v>0</v>
      </c>
      <c r="BI33" s="59">
        <v>0</v>
      </c>
      <c r="BJ33" s="59">
        <v>0</v>
      </c>
      <c r="BK33" s="58">
        <f t="shared" si="26"/>
        <v>4328.1699999999992</v>
      </c>
      <c r="BL33" s="59">
        <v>1.57</v>
      </c>
      <c r="BM33" s="59">
        <v>205.03</v>
      </c>
      <c r="BN33" s="59">
        <v>0</v>
      </c>
      <c r="BO33" s="59">
        <v>1536.74</v>
      </c>
      <c r="BP33" s="59">
        <v>1986.19</v>
      </c>
      <c r="BQ33" s="59">
        <v>0</v>
      </c>
      <c r="BR33" s="59">
        <v>594.69000000000005</v>
      </c>
      <c r="BS33" s="59">
        <v>3.95</v>
      </c>
      <c r="BT33" s="58">
        <f t="shared" si="27"/>
        <v>982.81</v>
      </c>
      <c r="BU33" s="59">
        <v>0</v>
      </c>
      <c r="BV33" s="59">
        <v>58.21</v>
      </c>
      <c r="BW33" s="59">
        <v>0</v>
      </c>
      <c r="BX33" s="59">
        <v>0</v>
      </c>
      <c r="BY33" s="59">
        <v>215.44</v>
      </c>
      <c r="BZ33" s="59">
        <v>0</v>
      </c>
      <c r="CA33" s="59">
        <v>709.16</v>
      </c>
      <c r="CB33" s="58">
        <f>'Quarter final consumption'!B33</f>
        <v>47218.41</v>
      </c>
      <c r="CC33" s="58">
        <f>'Quarter final consumption'!C33</f>
        <v>597.16</v>
      </c>
      <c r="CD33" s="58">
        <f>'Quarter final consumption'!D33</f>
        <v>265.02</v>
      </c>
      <c r="CE33" s="58">
        <f>'Quarter final consumption'!E33</f>
        <v>19948.070000000003</v>
      </c>
      <c r="CF33" s="58">
        <f>'Quarter final consumption'!F33</f>
        <v>18007.25</v>
      </c>
      <c r="CG33" s="58">
        <f>'Quarter final consumption'!G33</f>
        <v>217.73</v>
      </c>
      <c r="CH33" s="58">
        <f>'Quarter final consumption'!H33</f>
        <v>7832.92</v>
      </c>
      <c r="CI33" s="71">
        <f>'Quarter final consumption'!I33</f>
        <v>350.26</v>
      </c>
    </row>
    <row r="34" spans="1:87" ht="15.5" x14ac:dyDescent="0.35">
      <c r="A34" s="50" t="s">
        <v>199</v>
      </c>
      <c r="B34" s="58">
        <f t="shared" si="0"/>
        <v>71746.689999999988</v>
      </c>
      <c r="C34" s="58">
        <f t="shared" si="1"/>
        <v>11800.41</v>
      </c>
      <c r="D34" s="58">
        <f t="shared" si="2"/>
        <v>161.68999999999997</v>
      </c>
      <c r="E34" s="58">
        <f t="shared" si="3"/>
        <v>23696.05</v>
      </c>
      <c r="F34" s="58">
        <f t="shared" si="4"/>
        <v>-1391.7900000000009</v>
      </c>
      <c r="G34" s="58">
        <f t="shared" si="5"/>
        <v>31006.35</v>
      </c>
      <c r="H34" s="58">
        <f t="shared" si="6"/>
        <v>1075.75</v>
      </c>
      <c r="I34" s="58">
        <f t="shared" si="7"/>
        <v>5261.76</v>
      </c>
      <c r="J34" s="58">
        <f t="shared" si="8"/>
        <v>136.47000000000116</v>
      </c>
      <c r="K34" s="58">
        <f t="shared" si="29"/>
        <v>134.80000000000007</v>
      </c>
      <c r="L34" s="59">
        <v>0</v>
      </c>
      <c r="M34" s="59">
        <v>-27.62</v>
      </c>
      <c r="N34" s="59">
        <v>-780.8</v>
      </c>
      <c r="O34" s="59">
        <v>944.72</v>
      </c>
      <c r="P34" s="59">
        <v>-1.5</v>
      </c>
      <c r="Q34" s="59">
        <v>0</v>
      </c>
      <c r="R34" s="59">
        <v>-206.2</v>
      </c>
      <c r="S34" s="59">
        <v>206.2</v>
      </c>
      <c r="T34" s="58">
        <f t="shared" si="30"/>
        <v>-15327.880000000008</v>
      </c>
      <c r="U34" s="58">
        <f t="shared" si="9"/>
        <v>-11374.68</v>
      </c>
      <c r="V34" s="58">
        <f t="shared" si="10"/>
        <v>383.05</v>
      </c>
      <c r="W34" s="58">
        <f t="shared" si="18"/>
        <v>-22915.25</v>
      </c>
      <c r="X34" s="58">
        <f t="shared" si="11"/>
        <v>22316.83</v>
      </c>
      <c r="Y34" s="58">
        <f t="shared" si="12"/>
        <v>-7385.76</v>
      </c>
      <c r="Z34" s="58">
        <f t="shared" si="13"/>
        <v>-872.45</v>
      </c>
      <c r="AA34" s="58">
        <f t="shared" si="31"/>
        <v>-5055.5600000000004</v>
      </c>
      <c r="AB34" s="58">
        <f t="shared" si="31"/>
        <v>9161.3799999999992</v>
      </c>
      <c r="AC34" s="58">
        <f t="shared" si="20"/>
        <v>414.56</v>
      </c>
      <c r="AD34" s="58">
        <f t="shared" si="32"/>
        <v>-14313.710000000005</v>
      </c>
      <c r="AE34" s="59">
        <v>-10143.540000000001</v>
      </c>
      <c r="AF34" s="59">
        <v>-234.31</v>
      </c>
      <c r="AG34" s="59">
        <v>-382.96</v>
      </c>
      <c r="AH34" s="59">
        <v>-6786.27</v>
      </c>
      <c r="AI34" s="59">
        <v>-872.45</v>
      </c>
      <c r="AJ34" s="59">
        <v>-5055.5600000000004</v>
      </c>
      <c r="AK34" s="59">
        <v>9161.3799999999992</v>
      </c>
      <c r="AL34" s="58">
        <f t="shared" si="14"/>
        <v>-299.07</v>
      </c>
      <c r="AM34" s="59">
        <v>-84.41</v>
      </c>
      <c r="AN34" s="59">
        <v>-12.85</v>
      </c>
      <c r="AO34" s="59">
        <v>-16.88</v>
      </c>
      <c r="AP34" s="59">
        <v>-599.49</v>
      </c>
      <c r="AQ34" s="59">
        <v>0</v>
      </c>
      <c r="AR34" s="59">
        <v>414.56</v>
      </c>
      <c r="AS34" s="58">
        <f t="shared" si="22"/>
        <v>-119.77999999999884</v>
      </c>
      <c r="AT34" s="59">
        <v>-22915.25</v>
      </c>
      <c r="AU34" s="59">
        <v>22795.47</v>
      </c>
      <c r="AV34" s="58">
        <f t="shared" si="23"/>
        <v>7.3099999999999454</v>
      </c>
      <c r="AW34" s="59">
        <v>-918.58</v>
      </c>
      <c r="AX34" s="59">
        <v>925.89</v>
      </c>
      <c r="AY34" s="59">
        <v>0</v>
      </c>
      <c r="AZ34" s="58">
        <f t="shared" si="24"/>
        <v>-602.04999999999995</v>
      </c>
      <c r="BA34" s="59">
        <v>-180.01</v>
      </c>
      <c r="BB34" s="59">
        <v>-343.24</v>
      </c>
      <c r="BC34" s="59">
        <v>-78.8</v>
      </c>
      <c r="BD34" s="58">
        <f t="shared" si="25"/>
        <v>-0.57999999999999829</v>
      </c>
      <c r="BE34" s="59">
        <v>-48.14</v>
      </c>
      <c r="BF34" s="59">
        <v>47.56</v>
      </c>
      <c r="BG34" s="59">
        <v>0</v>
      </c>
      <c r="BH34" s="58">
        <f t="shared" si="15"/>
        <v>0</v>
      </c>
      <c r="BI34" s="59">
        <v>0</v>
      </c>
      <c r="BJ34" s="59">
        <v>0</v>
      </c>
      <c r="BK34" s="58">
        <f t="shared" si="26"/>
        <v>4530.26</v>
      </c>
      <c r="BL34" s="59">
        <v>1.58</v>
      </c>
      <c r="BM34" s="59">
        <v>198.18</v>
      </c>
      <c r="BN34" s="59">
        <v>0</v>
      </c>
      <c r="BO34" s="59">
        <v>1609.22</v>
      </c>
      <c r="BP34" s="59">
        <v>2059.63</v>
      </c>
      <c r="BQ34" s="59">
        <v>0</v>
      </c>
      <c r="BR34" s="59">
        <v>637.19000000000005</v>
      </c>
      <c r="BS34" s="59">
        <v>24.46</v>
      </c>
      <c r="BT34" s="58">
        <f t="shared" si="27"/>
        <v>1082.94</v>
      </c>
      <c r="BU34" s="59">
        <v>0</v>
      </c>
      <c r="BV34" s="59">
        <v>53.72</v>
      </c>
      <c r="BW34" s="59">
        <v>0</v>
      </c>
      <c r="BX34" s="59">
        <v>0</v>
      </c>
      <c r="BY34" s="59">
        <v>267.58</v>
      </c>
      <c r="BZ34" s="59">
        <v>0</v>
      </c>
      <c r="CA34" s="59">
        <v>761.64</v>
      </c>
      <c r="CB34" s="58">
        <f>'Quarter final consumption'!B34</f>
        <v>50936.680000000008</v>
      </c>
      <c r="CC34" s="58">
        <f>'Quarter final consumption'!C34</f>
        <v>424.15000000000003</v>
      </c>
      <c r="CD34" s="58">
        <f>'Quarter final consumption'!D34</f>
        <v>265.21999999999997</v>
      </c>
      <c r="CE34" s="58">
        <f>'Quarter final consumption'!E34</f>
        <v>20260.54</v>
      </c>
      <c r="CF34" s="58">
        <f>'Quarter final consumption'!F34</f>
        <v>21291.88</v>
      </c>
      <c r="CG34" s="58">
        <f>'Quarter final consumption'!G34</f>
        <v>203.3</v>
      </c>
      <c r="CH34" s="58">
        <f>'Quarter final consumption'!H34</f>
        <v>8105.22</v>
      </c>
      <c r="CI34" s="71">
        <f>'Quarter final consumption'!I34</f>
        <v>386.37</v>
      </c>
    </row>
    <row r="35" spans="1:87" ht="15.5" x14ac:dyDescent="0.35">
      <c r="A35" s="50" t="s">
        <v>200</v>
      </c>
      <c r="B35" s="58">
        <f t="shared" si="0"/>
        <v>57070</v>
      </c>
      <c r="C35" s="58">
        <f t="shared" si="1"/>
        <v>8289.869999999999</v>
      </c>
      <c r="D35" s="58">
        <f t="shared" si="2"/>
        <v>136.23000000000002</v>
      </c>
      <c r="E35" s="58">
        <f t="shared" si="3"/>
        <v>23938.79</v>
      </c>
      <c r="F35" s="58">
        <f t="shared" si="4"/>
        <v>-2067.41</v>
      </c>
      <c r="G35" s="58">
        <f t="shared" si="5"/>
        <v>21044.17</v>
      </c>
      <c r="H35" s="58">
        <f t="shared" si="6"/>
        <v>964.96</v>
      </c>
      <c r="I35" s="58">
        <f t="shared" si="7"/>
        <v>4591.59</v>
      </c>
      <c r="J35" s="58">
        <f t="shared" si="8"/>
        <v>171.79999999999927</v>
      </c>
      <c r="K35" s="58">
        <f t="shared" si="29"/>
        <v>-24.159999999999997</v>
      </c>
      <c r="L35" s="59">
        <v>0</v>
      </c>
      <c r="M35" s="59">
        <v>-29.21</v>
      </c>
      <c r="N35" s="59">
        <v>-1024.0899999999999</v>
      </c>
      <c r="O35" s="59">
        <v>1030.28</v>
      </c>
      <c r="P35" s="59">
        <v>-1.1399999999999999</v>
      </c>
      <c r="Q35" s="59">
        <v>0</v>
      </c>
      <c r="R35" s="59">
        <v>-135.1</v>
      </c>
      <c r="S35" s="59">
        <v>135.1</v>
      </c>
      <c r="T35" s="58">
        <f t="shared" si="30"/>
        <v>-12799.510000000002</v>
      </c>
      <c r="U35" s="58">
        <f t="shared" si="9"/>
        <v>-7898.0199999999986</v>
      </c>
      <c r="V35" s="58">
        <f t="shared" si="10"/>
        <v>409.44999999999993</v>
      </c>
      <c r="W35" s="58">
        <f t="shared" si="18"/>
        <v>-22914.7</v>
      </c>
      <c r="X35" s="58">
        <f t="shared" si="11"/>
        <v>22502.39</v>
      </c>
      <c r="Y35" s="58">
        <f t="shared" si="12"/>
        <v>-7799.7</v>
      </c>
      <c r="Z35" s="58">
        <f t="shared" si="13"/>
        <v>-779.02</v>
      </c>
      <c r="AA35" s="58">
        <f t="shared" si="31"/>
        <v>-4456.49</v>
      </c>
      <c r="AB35" s="58">
        <f t="shared" si="31"/>
        <v>7828.13</v>
      </c>
      <c r="AC35" s="58">
        <f t="shared" si="20"/>
        <v>308.45</v>
      </c>
      <c r="AD35" s="58">
        <f t="shared" si="32"/>
        <v>-11855.539999999997</v>
      </c>
      <c r="AE35" s="59">
        <v>-6609.44</v>
      </c>
      <c r="AF35" s="59">
        <v>-248.23</v>
      </c>
      <c r="AG35" s="59">
        <v>-221.78</v>
      </c>
      <c r="AH35" s="59">
        <v>-7368.71</v>
      </c>
      <c r="AI35" s="59">
        <v>-779.02</v>
      </c>
      <c r="AJ35" s="59">
        <v>-4456.49</v>
      </c>
      <c r="AK35" s="59">
        <v>7828.13</v>
      </c>
      <c r="AL35" s="58">
        <f t="shared" si="14"/>
        <v>-217.68</v>
      </c>
      <c r="AM35" s="59">
        <v>-65.73</v>
      </c>
      <c r="AN35" s="59">
        <v>-12.85</v>
      </c>
      <c r="AO35" s="59">
        <v>-16.559999999999999</v>
      </c>
      <c r="AP35" s="59">
        <v>-430.99</v>
      </c>
      <c r="AQ35" s="59">
        <v>0</v>
      </c>
      <c r="AR35" s="59">
        <v>308.45</v>
      </c>
      <c r="AS35" s="58">
        <f t="shared" si="22"/>
        <v>-94.950000000000728</v>
      </c>
      <c r="AT35" s="59">
        <v>-22914.7</v>
      </c>
      <c r="AU35" s="59">
        <v>22819.75</v>
      </c>
      <c r="AV35" s="58">
        <f t="shared" si="23"/>
        <v>12.989999999999895</v>
      </c>
      <c r="AW35" s="59">
        <v>-968.69</v>
      </c>
      <c r="AX35" s="59">
        <v>981.68</v>
      </c>
      <c r="AY35" s="59">
        <v>0</v>
      </c>
      <c r="AZ35" s="58">
        <f t="shared" si="24"/>
        <v>-646.94999999999993</v>
      </c>
      <c r="BA35" s="59">
        <v>-204.72</v>
      </c>
      <c r="BB35" s="59">
        <v>-363.21</v>
      </c>
      <c r="BC35" s="59">
        <v>-79.02</v>
      </c>
      <c r="BD35" s="58">
        <f t="shared" si="25"/>
        <v>2.6200000000000045</v>
      </c>
      <c r="BE35" s="59">
        <v>-49.44</v>
      </c>
      <c r="BF35" s="59">
        <v>52.06</v>
      </c>
      <c r="BG35" s="59">
        <v>0</v>
      </c>
      <c r="BH35" s="58">
        <f t="shared" si="15"/>
        <v>0</v>
      </c>
      <c r="BI35" s="59">
        <v>0</v>
      </c>
      <c r="BJ35" s="59">
        <v>0</v>
      </c>
      <c r="BK35" s="58">
        <f t="shared" si="26"/>
        <v>4312.33</v>
      </c>
      <c r="BL35" s="59">
        <v>0.84</v>
      </c>
      <c r="BM35" s="59">
        <v>204.67</v>
      </c>
      <c r="BN35" s="59">
        <v>0</v>
      </c>
      <c r="BO35" s="59">
        <v>1626.02</v>
      </c>
      <c r="BP35" s="59">
        <v>1905.31</v>
      </c>
      <c r="BQ35" s="59">
        <v>0</v>
      </c>
      <c r="BR35" s="59">
        <v>551.03</v>
      </c>
      <c r="BS35" s="59">
        <v>24.46</v>
      </c>
      <c r="BT35" s="58">
        <f t="shared" si="27"/>
        <v>832.63</v>
      </c>
      <c r="BU35" s="59">
        <v>0</v>
      </c>
      <c r="BV35" s="59">
        <v>60.2</v>
      </c>
      <c r="BW35" s="59">
        <v>0</v>
      </c>
      <c r="BX35" s="59">
        <v>0</v>
      </c>
      <c r="BY35" s="59">
        <v>277.01</v>
      </c>
      <c r="BZ35" s="59">
        <v>0</v>
      </c>
      <c r="CA35" s="59">
        <v>495.42</v>
      </c>
      <c r="CB35" s="58">
        <f>'Quarter final consumption'!B35</f>
        <v>39103.049999999996</v>
      </c>
      <c r="CC35" s="58">
        <f>'Quarter final consumption'!C35</f>
        <v>391.01000000000005</v>
      </c>
      <c r="CD35" s="58">
        <f>'Quarter final consumption'!D35</f>
        <v>251.6</v>
      </c>
      <c r="CE35" s="58">
        <f>'Quarter final consumption'!E35</f>
        <v>19839.239999999998</v>
      </c>
      <c r="CF35" s="58">
        <f>'Quarter final consumption'!F35</f>
        <v>11061.01</v>
      </c>
      <c r="CG35" s="58">
        <f>'Quarter final consumption'!G35</f>
        <v>185.94</v>
      </c>
      <c r="CH35" s="58">
        <f>'Quarter final consumption'!H35</f>
        <v>7088.58</v>
      </c>
      <c r="CI35" s="71">
        <f>'Quarter final consumption'!I35</f>
        <v>285.66999999999996</v>
      </c>
    </row>
    <row r="36" spans="1:87" ht="15.5" x14ac:dyDescent="0.35">
      <c r="A36" s="50" t="s">
        <v>201</v>
      </c>
      <c r="B36" s="58">
        <f t="shared" si="0"/>
        <v>51811.83</v>
      </c>
      <c r="C36" s="58">
        <f t="shared" si="1"/>
        <v>7333.09</v>
      </c>
      <c r="D36" s="58">
        <f t="shared" si="2"/>
        <v>39.260000000000019</v>
      </c>
      <c r="E36" s="58">
        <f t="shared" si="3"/>
        <v>25376.510000000002</v>
      </c>
      <c r="F36" s="58">
        <f t="shared" si="4"/>
        <v>-2885.1699999999983</v>
      </c>
      <c r="G36" s="58">
        <f t="shared" si="5"/>
        <v>16163.3</v>
      </c>
      <c r="H36" s="58">
        <f t="shared" si="6"/>
        <v>953.95</v>
      </c>
      <c r="I36" s="58">
        <f t="shared" si="7"/>
        <v>4707.54</v>
      </c>
      <c r="J36" s="58">
        <f t="shared" si="8"/>
        <v>123.35000000000127</v>
      </c>
      <c r="K36" s="58">
        <f t="shared" si="29"/>
        <v>-32.750000000000028</v>
      </c>
      <c r="L36" s="59">
        <v>0</v>
      </c>
      <c r="M36" s="59">
        <v>-26.88</v>
      </c>
      <c r="N36" s="59">
        <v>-704.38</v>
      </c>
      <c r="O36" s="59">
        <v>699.78</v>
      </c>
      <c r="P36" s="59">
        <v>-1.27</v>
      </c>
      <c r="Q36" s="59">
        <v>0</v>
      </c>
      <c r="R36" s="59">
        <v>-121.87</v>
      </c>
      <c r="S36" s="59">
        <v>121.87</v>
      </c>
      <c r="T36" s="58">
        <f t="shared" si="30"/>
        <v>-12222.019999999999</v>
      </c>
      <c r="U36" s="58">
        <f t="shared" si="9"/>
        <v>-6905.19</v>
      </c>
      <c r="V36" s="58">
        <f t="shared" si="10"/>
        <v>491.81</v>
      </c>
      <c r="W36" s="58">
        <f t="shared" si="18"/>
        <v>-24672.13</v>
      </c>
      <c r="X36" s="58">
        <f t="shared" si="11"/>
        <v>24446.410000000003</v>
      </c>
      <c r="Y36" s="58">
        <f t="shared" si="12"/>
        <v>-8012.9</v>
      </c>
      <c r="Z36" s="58">
        <f t="shared" si="13"/>
        <v>-769.86</v>
      </c>
      <c r="AA36" s="58">
        <f t="shared" si="31"/>
        <v>-4585.67</v>
      </c>
      <c r="AB36" s="58">
        <f t="shared" si="31"/>
        <v>7519.86</v>
      </c>
      <c r="AC36" s="58">
        <f t="shared" si="20"/>
        <v>265.64999999999998</v>
      </c>
      <c r="AD36" s="58">
        <f t="shared" si="32"/>
        <v>-11505.879999999997</v>
      </c>
      <c r="AE36" s="59">
        <v>-5524.03</v>
      </c>
      <c r="AF36" s="59">
        <v>-256.82</v>
      </c>
      <c r="AG36" s="59">
        <v>-239.49</v>
      </c>
      <c r="AH36" s="59">
        <v>-7649.87</v>
      </c>
      <c r="AI36" s="59">
        <v>-769.86</v>
      </c>
      <c r="AJ36" s="59">
        <v>-4585.67</v>
      </c>
      <c r="AK36" s="59">
        <v>7519.86</v>
      </c>
      <c r="AL36" s="58">
        <f t="shared" si="14"/>
        <v>-184.86</v>
      </c>
      <c r="AM36" s="59">
        <v>-58.2</v>
      </c>
      <c r="AN36" s="59">
        <v>-12.85</v>
      </c>
      <c r="AO36" s="59">
        <v>-16.43</v>
      </c>
      <c r="AP36" s="59">
        <v>-363.03</v>
      </c>
      <c r="AQ36" s="59">
        <v>0</v>
      </c>
      <c r="AR36" s="59">
        <v>265.64999999999998</v>
      </c>
      <c r="AS36" s="58">
        <f t="shared" si="22"/>
        <v>76.680000000000291</v>
      </c>
      <c r="AT36" s="59">
        <v>-24672.13</v>
      </c>
      <c r="AU36" s="59">
        <v>24748.81</v>
      </c>
      <c r="AV36" s="58">
        <f t="shared" si="23"/>
        <v>-20.449999999999818</v>
      </c>
      <c r="AW36" s="59">
        <v>-1077.8599999999999</v>
      </c>
      <c r="AX36" s="59">
        <v>1057.4100000000001</v>
      </c>
      <c r="AY36" s="59">
        <v>0</v>
      </c>
      <c r="AZ36" s="58">
        <f t="shared" si="24"/>
        <v>-589.76</v>
      </c>
      <c r="BA36" s="59">
        <v>-194.68</v>
      </c>
      <c r="BB36" s="59">
        <v>-348.6</v>
      </c>
      <c r="BC36" s="59">
        <v>-46.48</v>
      </c>
      <c r="BD36" s="58">
        <f t="shared" si="25"/>
        <v>2.25</v>
      </c>
      <c r="BE36" s="59">
        <v>-50.42</v>
      </c>
      <c r="BF36" s="59">
        <v>52.67</v>
      </c>
      <c r="BG36" s="59">
        <v>0</v>
      </c>
      <c r="BH36" s="58">
        <f t="shared" si="15"/>
        <v>0</v>
      </c>
      <c r="BI36" s="59">
        <v>0</v>
      </c>
      <c r="BJ36" s="59">
        <v>0</v>
      </c>
      <c r="BK36" s="58">
        <f t="shared" si="26"/>
        <v>4012.46</v>
      </c>
      <c r="BL36" s="59">
        <v>0.81</v>
      </c>
      <c r="BM36" s="59">
        <v>204.89</v>
      </c>
      <c r="BN36" s="59">
        <v>0</v>
      </c>
      <c r="BO36" s="59">
        <v>1637.32</v>
      </c>
      <c r="BP36" s="59">
        <v>1616.88</v>
      </c>
      <c r="BQ36" s="59">
        <v>0</v>
      </c>
      <c r="BR36" s="59">
        <v>528.1</v>
      </c>
      <c r="BS36" s="59">
        <v>24.46</v>
      </c>
      <c r="BT36" s="58">
        <f t="shared" si="27"/>
        <v>734.5</v>
      </c>
      <c r="BU36" s="59">
        <v>0</v>
      </c>
      <c r="BV36" s="59">
        <v>48.46</v>
      </c>
      <c r="BW36" s="59">
        <v>0</v>
      </c>
      <c r="BX36" s="59">
        <v>0</v>
      </c>
      <c r="BY36" s="59">
        <v>162.33000000000001</v>
      </c>
      <c r="BZ36" s="59">
        <v>0</v>
      </c>
      <c r="CA36" s="59">
        <v>523.71</v>
      </c>
      <c r="CB36" s="58">
        <f>'Quarter final consumption'!B36</f>
        <v>34813.960000000006</v>
      </c>
      <c r="CC36" s="58">
        <f>'Quarter final consumption'!C36</f>
        <v>427.09000000000003</v>
      </c>
      <c r="CD36" s="58">
        <f>'Quarter final consumption'!D36</f>
        <v>250.84000000000003</v>
      </c>
      <c r="CE36" s="58">
        <f>'Quarter final consumption'!E36</f>
        <v>20623.700000000004</v>
      </c>
      <c r="CF36" s="58">
        <f>'Quarter final consumption'!F36</f>
        <v>6369.92</v>
      </c>
      <c r="CG36" s="58">
        <f>'Quarter final consumption'!G36</f>
        <v>184.09000000000003</v>
      </c>
      <c r="CH36" s="58">
        <f>'Quarter final consumption'!H36</f>
        <v>6713.27</v>
      </c>
      <c r="CI36" s="71">
        <f>'Quarter final consumption'!I36</f>
        <v>245.04999999999998</v>
      </c>
    </row>
    <row r="37" spans="1:87" ht="15.5" x14ac:dyDescent="0.35">
      <c r="A37" s="50" t="s">
        <v>202</v>
      </c>
      <c r="B37" s="58">
        <f t="shared" si="0"/>
        <v>67416.659999999989</v>
      </c>
      <c r="C37" s="58">
        <f t="shared" si="1"/>
        <v>11975.979999999998</v>
      </c>
      <c r="D37" s="58">
        <f t="shared" si="2"/>
        <v>105.99999999999991</v>
      </c>
      <c r="E37" s="58">
        <f t="shared" si="3"/>
        <v>24654.109999999997</v>
      </c>
      <c r="F37" s="58">
        <f t="shared" si="4"/>
        <v>-1983.1100000000006</v>
      </c>
      <c r="G37" s="58">
        <f t="shared" si="5"/>
        <v>26742.85</v>
      </c>
      <c r="H37" s="58">
        <f t="shared" si="6"/>
        <v>1173.3599999999999</v>
      </c>
      <c r="I37" s="58">
        <f t="shared" si="7"/>
        <v>4483.16</v>
      </c>
      <c r="J37" s="58">
        <f t="shared" si="8"/>
        <v>264.31000000000131</v>
      </c>
      <c r="K37" s="58">
        <f t="shared" si="29"/>
        <v>-194.23</v>
      </c>
      <c r="L37" s="59">
        <v>0</v>
      </c>
      <c r="M37" s="59">
        <v>-29.39</v>
      </c>
      <c r="N37" s="59">
        <v>-1134.0999999999999</v>
      </c>
      <c r="O37" s="59">
        <v>969.71</v>
      </c>
      <c r="P37" s="59">
        <v>-0.45</v>
      </c>
      <c r="Q37" s="59">
        <v>0</v>
      </c>
      <c r="R37" s="59">
        <v>-210.41</v>
      </c>
      <c r="S37" s="59">
        <v>210.41</v>
      </c>
      <c r="T37" s="58">
        <f t="shared" si="30"/>
        <v>-14980.21</v>
      </c>
      <c r="U37" s="58">
        <f t="shared" si="9"/>
        <v>-11522.509999999998</v>
      </c>
      <c r="V37" s="58">
        <f t="shared" si="10"/>
        <v>452.25000000000006</v>
      </c>
      <c r="W37" s="58">
        <f>AT37</f>
        <v>-23520.01</v>
      </c>
      <c r="X37" s="58">
        <f t="shared" si="11"/>
        <v>22889.62</v>
      </c>
      <c r="Y37" s="58">
        <f t="shared" si="12"/>
        <v>-7252.72</v>
      </c>
      <c r="Z37" s="58">
        <f t="shared" si="13"/>
        <v>-949.18</v>
      </c>
      <c r="AA37" s="58">
        <f t="shared" si="31"/>
        <v>-4272.75</v>
      </c>
      <c r="AB37" s="58">
        <f t="shared" si="31"/>
        <v>8817.91</v>
      </c>
      <c r="AC37" s="58">
        <f>AR37</f>
        <v>377.18</v>
      </c>
      <c r="AD37" s="58">
        <f t="shared" si="32"/>
        <v>-14002.530000000002</v>
      </c>
      <c r="AE37" s="59">
        <v>-10131.08</v>
      </c>
      <c r="AF37" s="59">
        <v>-250.95</v>
      </c>
      <c r="AG37" s="59">
        <v>-503.89</v>
      </c>
      <c r="AH37" s="59">
        <v>-6712.59</v>
      </c>
      <c r="AI37" s="59">
        <v>-949.18</v>
      </c>
      <c r="AJ37" s="59">
        <v>-4272.75</v>
      </c>
      <c r="AK37" s="59">
        <v>8817.91</v>
      </c>
      <c r="AL37" s="58">
        <f t="shared" si="14"/>
        <v>-269.19</v>
      </c>
      <c r="AM37" s="59">
        <v>-77.83</v>
      </c>
      <c r="AN37" s="59">
        <v>-12.85</v>
      </c>
      <c r="AO37" s="59">
        <v>-15.56</v>
      </c>
      <c r="AP37" s="59">
        <v>-540.13</v>
      </c>
      <c r="AQ37" s="59">
        <v>0</v>
      </c>
      <c r="AR37" s="59">
        <v>377.18</v>
      </c>
      <c r="AS37" s="58">
        <f t="shared" si="22"/>
        <v>-33.779999999998836</v>
      </c>
      <c r="AT37" s="59">
        <v>-23520.01</v>
      </c>
      <c r="AU37" s="59">
        <v>23486.23</v>
      </c>
      <c r="AV37" s="58">
        <f t="shared" si="23"/>
        <v>-28.809999999999945</v>
      </c>
      <c r="AW37" s="59">
        <v>-1088.31</v>
      </c>
      <c r="AX37" s="59">
        <v>1059.5</v>
      </c>
      <c r="AY37" s="59">
        <v>0</v>
      </c>
      <c r="AZ37" s="58">
        <f t="shared" si="24"/>
        <v>-644.88</v>
      </c>
      <c r="BA37" s="59">
        <v>-176.47</v>
      </c>
      <c r="BB37" s="59">
        <v>-391.25</v>
      </c>
      <c r="BC37" s="59">
        <v>-77.16</v>
      </c>
      <c r="BD37" s="58">
        <f t="shared" si="25"/>
        <v>-1.0200000000000031</v>
      </c>
      <c r="BE37" s="59">
        <v>-48.82</v>
      </c>
      <c r="BF37" s="59">
        <v>47.8</v>
      </c>
      <c r="BG37" s="59">
        <v>0</v>
      </c>
      <c r="BH37" s="58">
        <f t="shared" si="15"/>
        <v>0</v>
      </c>
      <c r="BI37" s="59">
        <v>0</v>
      </c>
      <c r="BJ37" s="59">
        <v>0</v>
      </c>
      <c r="BK37" s="58">
        <f t="shared" si="26"/>
        <v>4389.45</v>
      </c>
      <c r="BL37" s="59">
        <v>0.89</v>
      </c>
      <c r="BM37" s="59">
        <v>212.33</v>
      </c>
      <c r="BN37" s="59">
        <v>0</v>
      </c>
      <c r="BO37" s="59">
        <v>1618.76</v>
      </c>
      <c r="BP37" s="59">
        <v>1912.69</v>
      </c>
      <c r="BQ37" s="59">
        <v>0</v>
      </c>
      <c r="BR37" s="59">
        <v>620.32000000000005</v>
      </c>
      <c r="BS37" s="59">
        <v>24.46</v>
      </c>
      <c r="BT37" s="58">
        <f t="shared" si="27"/>
        <v>883.34999999999991</v>
      </c>
      <c r="BU37" s="59">
        <v>0</v>
      </c>
      <c r="BV37" s="59">
        <v>48.76</v>
      </c>
      <c r="BW37" s="59">
        <v>0</v>
      </c>
      <c r="BX37" s="59">
        <v>0</v>
      </c>
      <c r="BY37" s="59">
        <v>235.82</v>
      </c>
      <c r="BZ37" s="59">
        <v>0</v>
      </c>
      <c r="CA37" s="59">
        <v>598.77</v>
      </c>
      <c r="CB37" s="58">
        <f>'Quarter final consumption'!B37</f>
        <v>46967.6</v>
      </c>
      <c r="CC37" s="58">
        <f>'Quarter final consumption'!C37</f>
        <v>452.58000000000004</v>
      </c>
      <c r="CD37" s="58">
        <f>'Quarter final consumption'!D37</f>
        <v>267.77</v>
      </c>
      <c r="CE37" s="58">
        <f>'Quarter final consumption'!E37</f>
        <v>20257.46</v>
      </c>
      <c r="CF37" s="58">
        <f>'Quarter final consumption'!F37</f>
        <v>17341.169999999998</v>
      </c>
      <c r="CG37" s="58">
        <f>'Quarter final consumption'!G37</f>
        <v>224.17999999999998</v>
      </c>
      <c r="CH37" s="58">
        <f>'Quarter final consumption'!H37</f>
        <v>8073.5400000000009</v>
      </c>
      <c r="CI37" s="71">
        <f>'Quarter final consumption'!I37</f>
        <v>350.9</v>
      </c>
    </row>
    <row r="38" spans="1:87" ht="15.5" x14ac:dyDescent="0.35">
      <c r="A38" s="50" t="s">
        <v>203</v>
      </c>
      <c r="B38" s="58">
        <f t="shared" ref="B38:B69" si="33">SUM(C38:J38)</f>
        <v>73756.860000000015</v>
      </c>
      <c r="C38" s="58">
        <f t="shared" ref="C38:C69" si="34">-L38-U38+BL38+BU38+CC38</f>
        <v>13714.56</v>
      </c>
      <c r="D38" s="58">
        <f t="shared" ref="D38:D69" si="35">-M38-V38+BM38+BV38+CD38</f>
        <v>169.07000000000008</v>
      </c>
      <c r="E38" s="58">
        <f t="shared" ref="E38:E69" si="36">-N38-W38+BN38+BW38</f>
        <v>22663.040000000001</v>
      </c>
      <c r="F38" s="58">
        <f t="shared" ref="F38:F69" si="37">-O38-X38+BO38+BX38+CE38</f>
        <v>-211.37999999999738</v>
      </c>
      <c r="G38" s="58">
        <f t="shared" ref="G38:G69" si="38">-P38-Y38+BP38+BY38+CF38</f>
        <v>30871.620000000003</v>
      </c>
      <c r="H38" s="58">
        <f t="shared" ref="H38:H69" si="39">-Q38-Z38+BQ38+BZ38+CG38</f>
        <v>1129.96</v>
      </c>
      <c r="I38" s="58">
        <f t="shared" ref="I38:I69" si="40">-R38-AA38</f>
        <v>5268.05</v>
      </c>
      <c r="J38" s="58">
        <f t="shared" ref="J38:J69" si="41">-S38-AB38+BR38+CA38+CH38</f>
        <v>151.93999999999869</v>
      </c>
      <c r="K38" s="58">
        <f t="shared" si="29"/>
        <v>68.949999999999989</v>
      </c>
      <c r="L38" s="59">
        <v>0</v>
      </c>
      <c r="M38" s="59">
        <v>-27.59</v>
      </c>
      <c r="N38" s="59">
        <v>-705.38</v>
      </c>
      <c r="O38" s="59">
        <v>803.86</v>
      </c>
      <c r="P38" s="59">
        <v>-1.94</v>
      </c>
      <c r="Q38" s="59">
        <v>0</v>
      </c>
      <c r="R38" s="59">
        <v>-190.02</v>
      </c>
      <c r="S38" s="59">
        <v>190.02</v>
      </c>
      <c r="T38" s="58">
        <f t="shared" si="30"/>
        <v>-16009.02</v>
      </c>
      <c r="U38" s="58">
        <f t="shared" ref="U38:U69" si="42">AE38+AM38+AW38+BA38+BE38</f>
        <v>-13245.07</v>
      </c>
      <c r="V38" s="58">
        <f t="shared" ref="V38:V69" si="43">AF38+AN38+AX38+BB38+BF38</f>
        <v>399.52999999999986</v>
      </c>
      <c r="W38" s="58">
        <f>AT38</f>
        <v>-21957.66</v>
      </c>
      <c r="X38" s="58">
        <f t="shared" ref="X38:X65" si="44">AG38+AO38+AU38+AY38+BC38+BG38</f>
        <v>21389.309999999998</v>
      </c>
      <c r="Y38" s="58">
        <f t="shared" ref="Y38:Y69" si="45">AH38+AP38</f>
        <v>-6403.1900000000005</v>
      </c>
      <c r="Z38" s="58">
        <f t="shared" ref="Z38:Z69" si="46">AI38+AQ38</f>
        <v>-884.46</v>
      </c>
      <c r="AA38" s="58">
        <f t="shared" si="31"/>
        <v>-5078.03</v>
      </c>
      <c r="AB38" s="58">
        <f t="shared" si="31"/>
        <v>9361.5300000000007</v>
      </c>
      <c r="AC38" s="58">
        <f>AR38</f>
        <v>409.02</v>
      </c>
      <c r="AD38" s="58">
        <f t="shared" ref="AD38:AD52" si="47">SUM(AE38:AK38)</f>
        <v>-14862.099999999997</v>
      </c>
      <c r="AE38" s="59">
        <v>-11848.81</v>
      </c>
      <c r="AF38" s="59">
        <v>-245.03</v>
      </c>
      <c r="AG38" s="59">
        <v>-368.92</v>
      </c>
      <c r="AH38" s="59">
        <v>-5798.38</v>
      </c>
      <c r="AI38" s="59">
        <v>-884.46</v>
      </c>
      <c r="AJ38" s="59">
        <v>-5078.03</v>
      </c>
      <c r="AK38" s="59">
        <v>9361.5300000000007</v>
      </c>
      <c r="AL38" s="58">
        <f t="shared" si="14"/>
        <v>-311.24</v>
      </c>
      <c r="AM38" s="59">
        <v>-86.19</v>
      </c>
      <c r="AN38" s="59">
        <v>-12.85</v>
      </c>
      <c r="AO38" s="59">
        <v>-16.41</v>
      </c>
      <c r="AP38" s="59">
        <v>-604.80999999999995</v>
      </c>
      <c r="AQ38" s="59">
        <v>0</v>
      </c>
      <c r="AR38" s="59">
        <v>409.02</v>
      </c>
      <c r="AS38" s="58">
        <f t="shared" si="22"/>
        <v>-120.90999999999985</v>
      </c>
      <c r="AT38" s="59">
        <v>-21957.66</v>
      </c>
      <c r="AU38" s="59">
        <v>21836.75</v>
      </c>
      <c r="AV38" s="58">
        <f t="shared" si="23"/>
        <v>-5.1500000000000909</v>
      </c>
      <c r="AW38" s="59">
        <v>-1064.27</v>
      </c>
      <c r="AX38" s="59">
        <v>1059.1199999999999</v>
      </c>
      <c r="AY38" s="59">
        <v>0</v>
      </c>
      <c r="AZ38" s="58">
        <f t="shared" si="24"/>
        <v>-710.61</v>
      </c>
      <c r="BA38" s="59">
        <v>-191.09</v>
      </c>
      <c r="BB38" s="59">
        <v>-457.41</v>
      </c>
      <c r="BC38" s="59">
        <v>-62.11</v>
      </c>
      <c r="BD38" s="58">
        <f t="shared" si="25"/>
        <v>0.99000000000000199</v>
      </c>
      <c r="BE38" s="59">
        <v>-54.71</v>
      </c>
      <c r="BF38" s="59">
        <v>55.7</v>
      </c>
      <c r="BG38" s="59">
        <v>0</v>
      </c>
      <c r="BH38" s="58">
        <f t="shared" si="15"/>
        <v>0</v>
      </c>
      <c r="BI38" s="59">
        <v>0</v>
      </c>
      <c r="BJ38" s="59">
        <v>0</v>
      </c>
      <c r="BK38" s="58">
        <f t="shared" si="26"/>
        <v>4188.7700000000004</v>
      </c>
      <c r="BL38" s="59">
        <v>0.89</v>
      </c>
      <c r="BM38" s="59">
        <v>225.72</v>
      </c>
      <c r="BN38" s="59">
        <v>0</v>
      </c>
      <c r="BO38" s="59">
        <v>1289.6300000000001</v>
      </c>
      <c r="BP38" s="59">
        <v>1968.23</v>
      </c>
      <c r="BQ38" s="59">
        <v>0</v>
      </c>
      <c r="BR38" s="59">
        <v>689.31</v>
      </c>
      <c r="BS38" s="59">
        <v>14.99</v>
      </c>
      <c r="BT38" s="58">
        <f t="shared" si="27"/>
        <v>1089.9299999999998</v>
      </c>
      <c r="BU38" s="59">
        <v>0</v>
      </c>
      <c r="BV38" s="59">
        <v>42.51</v>
      </c>
      <c r="BW38" s="59">
        <v>0</v>
      </c>
      <c r="BX38" s="59">
        <v>0</v>
      </c>
      <c r="BY38" s="59">
        <v>331.24</v>
      </c>
      <c r="BZ38" s="59">
        <v>0</v>
      </c>
      <c r="CA38" s="59">
        <v>716.18</v>
      </c>
      <c r="CB38" s="58">
        <f>'Quarter final consumption'!B38</f>
        <v>52534.189999999995</v>
      </c>
      <c r="CC38" s="58">
        <f>'Quarter final consumption'!C38</f>
        <v>468.6</v>
      </c>
      <c r="CD38" s="58">
        <f>'Quarter final consumption'!D38</f>
        <v>272.77999999999997</v>
      </c>
      <c r="CE38" s="58">
        <f>'Quarter final consumption'!E38</f>
        <v>20692.16</v>
      </c>
      <c r="CF38" s="58">
        <f>'Quarter final consumption'!F38</f>
        <v>22167.02</v>
      </c>
      <c r="CG38" s="58">
        <f>'Quarter final consumption'!G38</f>
        <v>245.5</v>
      </c>
      <c r="CH38" s="58">
        <f>'Quarter final consumption'!H38</f>
        <v>8298</v>
      </c>
      <c r="CI38" s="71">
        <f>'Quarter final consumption'!I38</f>
        <v>390.13</v>
      </c>
    </row>
    <row r="39" spans="1:87" ht="15.5" x14ac:dyDescent="0.35">
      <c r="A39" s="50" t="s">
        <v>204</v>
      </c>
      <c r="B39" s="58">
        <f t="shared" si="33"/>
        <v>56029.130000000005</v>
      </c>
      <c r="C39" s="58">
        <f t="shared" si="34"/>
        <v>9095.5200000000023</v>
      </c>
      <c r="D39" s="58">
        <f t="shared" si="35"/>
        <v>107.60999999999987</v>
      </c>
      <c r="E39" s="58">
        <f t="shared" si="36"/>
        <v>23688.38</v>
      </c>
      <c r="F39" s="58">
        <f t="shared" si="37"/>
        <v>-1825.6299999999974</v>
      </c>
      <c r="G39" s="58">
        <f t="shared" si="38"/>
        <v>19033.739999999998</v>
      </c>
      <c r="H39" s="58">
        <f t="shared" si="39"/>
        <v>1032.6000000000001</v>
      </c>
      <c r="I39" s="58">
        <f t="shared" si="40"/>
        <v>4655.16</v>
      </c>
      <c r="J39" s="58">
        <f t="shared" si="41"/>
        <v>241.74999999999909</v>
      </c>
      <c r="K39" s="58">
        <f t="shared" si="29"/>
        <v>-190.08000000000004</v>
      </c>
      <c r="L39" s="59">
        <v>0</v>
      </c>
      <c r="M39" s="59">
        <v>-25.73</v>
      </c>
      <c r="N39" s="59">
        <v>-776.99</v>
      </c>
      <c r="O39" s="59">
        <v>613.85</v>
      </c>
      <c r="P39" s="59">
        <v>-1.21</v>
      </c>
      <c r="Q39" s="59">
        <v>0</v>
      </c>
      <c r="R39" s="59">
        <v>-151</v>
      </c>
      <c r="S39" s="59">
        <v>151</v>
      </c>
      <c r="T39" s="58">
        <f t="shared" ref="T39:T52" si="48">SUM(U39:AC39)</f>
        <v>-12670.249999999998</v>
      </c>
      <c r="U39" s="58">
        <f t="shared" si="42"/>
        <v>-8708.880000000001</v>
      </c>
      <c r="V39" s="58">
        <f t="shared" si="43"/>
        <v>462.21000000000015</v>
      </c>
      <c r="W39" s="58">
        <f>AT39</f>
        <v>-22911.39</v>
      </c>
      <c r="X39" s="58">
        <f t="shared" si="44"/>
        <v>22739.61</v>
      </c>
      <c r="Y39" s="58">
        <f t="shared" si="45"/>
        <v>-6843.73</v>
      </c>
      <c r="Z39" s="58">
        <f t="shared" si="46"/>
        <v>-818.44</v>
      </c>
      <c r="AA39" s="58">
        <f t="shared" ref="AA39:AB39" si="49">AJ39</f>
        <v>-4504.16</v>
      </c>
      <c r="AB39" s="58">
        <f t="shared" si="49"/>
        <v>7618.76</v>
      </c>
      <c r="AC39" s="58">
        <f>AR39</f>
        <v>295.77</v>
      </c>
      <c r="AD39" s="58">
        <f t="shared" si="47"/>
        <v>-11941.150000000003</v>
      </c>
      <c r="AE39" s="59">
        <v>-7308.77</v>
      </c>
      <c r="AF39" s="59">
        <v>-239.46</v>
      </c>
      <c r="AG39" s="59">
        <v>-270.51</v>
      </c>
      <c r="AH39" s="59">
        <v>-6418.57</v>
      </c>
      <c r="AI39" s="59">
        <v>-818.44</v>
      </c>
      <c r="AJ39" s="59">
        <v>-4504.16</v>
      </c>
      <c r="AK39" s="59">
        <v>7618.76</v>
      </c>
      <c r="AL39" s="58">
        <f t="shared" si="14"/>
        <v>-224.55000000000007</v>
      </c>
      <c r="AM39" s="59">
        <v>-66.06</v>
      </c>
      <c r="AN39" s="59">
        <v>-12.85</v>
      </c>
      <c r="AO39" s="59">
        <v>-16.25</v>
      </c>
      <c r="AP39" s="59">
        <v>-425.16</v>
      </c>
      <c r="AQ39" s="59">
        <v>0</v>
      </c>
      <c r="AR39" s="59">
        <v>295.77</v>
      </c>
      <c r="AS39" s="58">
        <f t="shared" si="22"/>
        <v>169.56999999999971</v>
      </c>
      <c r="AT39" s="59">
        <v>-22911.39</v>
      </c>
      <c r="AU39" s="59">
        <v>23080.959999999999</v>
      </c>
      <c r="AV39" s="58">
        <f t="shared" si="23"/>
        <v>4.0299999999999727</v>
      </c>
      <c r="AW39" s="59">
        <v>-1075.8800000000001</v>
      </c>
      <c r="AX39" s="59">
        <v>1079.9100000000001</v>
      </c>
      <c r="AY39" s="59">
        <v>0</v>
      </c>
      <c r="AZ39" s="58">
        <f t="shared" si="24"/>
        <v>-682.93999999999994</v>
      </c>
      <c r="BA39" s="59">
        <v>-206.7</v>
      </c>
      <c r="BB39" s="59">
        <v>-421.65</v>
      </c>
      <c r="BC39" s="59">
        <v>-54.59</v>
      </c>
      <c r="BD39" s="58">
        <f t="shared" si="25"/>
        <v>4.7899999999999991</v>
      </c>
      <c r="BE39" s="59">
        <v>-51.47</v>
      </c>
      <c r="BF39" s="59">
        <v>56.26</v>
      </c>
      <c r="BG39" s="59">
        <v>0</v>
      </c>
      <c r="BH39" s="58">
        <f t="shared" si="15"/>
        <v>0</v>
      </c>
      <c r="BI39" s="59">
        <v>0</v>
      </c>
      <c r="BJ39" s="59">
        <v>0</v>
      </c>
      <c r="BK39" s="58">
        <f t="shared" si="26"/>
        <v>3997.43</v>
      </c>
      <c r="BL39" s="59">
        <v>0.12</v>
      </c>
      <c r="BM39" s="59">
        <v>213.74</v>
      </c>
      <c r="BN39" s="59">
        <v>0</v>
      </c>
      <c r="BO39" s="59">
        <v>1474.15</v>
      </c>
      <c r="BP39" s="59">
        <v>1719.28</v>
      </c>
      <c r="BQ39" s="59">
        <v>0</v>
      </c>
      <c r="BR39" s="59">
        <v>575.15</v>
      </c>
      <c r="BS39" s="59">
        <v>14.99</v>
      </c>
      <c r="BT39" s="58">
        <f t="shared" si="27"/>
        <v>821.74</v>
      </c>
      <c r="BU39" s="59">
        <v>0</v>
      </c>
      <c r="BV39" s="59">
        <v>44.85</v>
      </c>
      <c r="BW39" s="59">
        <v>0</v>
      </c>
      <c r="BX39" s="59">
        <v>0</v>
      </c>
      <c r="BY39" s="59">
        <v>227.34</v>
      </c>
      <c r="BZ39" s="59">
        <v>0</v>
      </c>
      <c r="CA39" s="59">
        <v>549.54999999999995</v>
      </c>
      <c r="CB39" s="58">
        <f>'Quarter final consumption'!B39</f>
        <v>38351.049999999996</v>
      </c>
      <c r="CC39" s="58">
        <f>'Quarter final consumption'!C39</f>
        <v>386.52</v>
      </c>
      <c r="CD39" s="58">
        <f>'Quarter final consumption'!D39</f>
        <v>285.5</v>
      </c>
      <c r="CE39" s="58">
        <f>'Quarter final consumption'!E39</f>
        <v>20053.68</v>
      </c>
      <c r="CF39" s="58">
        <f>'Quarter final consumption'!F39</f>
        <v>10242.179999999998</v>
      </c>
      <c r="CG39" s="58">
        <f>'Quarter final consumption'!G39</f>
        <v>214.16000000000003</v>
      </c>
      <c r="CH39" s="58">
        <f>'Quarter final consumption'!H39</f>
        <v>6886.8099999999995</v>
      </c>
      <c r="CI39" s="71">
        <f>'Quarter final consumption'!I39</f>
        <v>282.2</v>
      </c>
    </row>
    <row r="40" spans="1:87" ht="15.5" x14ac:dyDescent="0.35">
      <c r="A40" s="50" t="s">
        <v>205</v>
      </c>
      <c r="B40" s="58">
        <f t="shared" si="33"/>
        <v>51107.450000000004</v>
      </c>
      <c r="C40" s="58">
        <f t="shared" si="34"/>
        <v>8558.92</v>
      </c>
      <c r="D40" s="58">
        <f t="shared" si="35"/>
        <v>77.22</v>
      </c>
      <c r="E40" s="58">
        <f t="shared" si="36"/>
        <v>24283.420000000002</v>
      </c>
      <c r="F40" s="58">
        <f t="shared" si="37"/>
        <v>-2022.6599999999962</v>
      </c>
      <c r="G40" s="58">
        <f t="shared" si="38"/>
        <v>14640.19</v>
      </c>
      <c r="H40" s="58">
        <f t="shared" si="39"/>
        <v>1043.1500000000001</v>
      </c>
      <c r="I40" s="58">
        <f t="shared" si="40"/>
        <v>4411.2</v>
      </c>
      <c r="J40" s="58">
        <f t="shared" si="41"/>
        <v>116.01000000000022</v>
      </c>
      <c r="K40" s="58">
        <f t="shared" ref="K40:K52" si="50">SUM(L40:S40)</f>
        <v>-29.61000000000007</v>
      </c>
      <c r="L40" s="59">
        <v>0</v>
      </c>
      <c r="M40" s="59">
        <v>-27.27</v>
      </c>
      <c r="N40" s="59">
        <v>-688.45</v>
      </c>
      <c r="O40" s="59">
        <v>686.67</v>
      </c>
      <c r="P40" s="59">
        <v>-0.56000000000000005</v>
      </c>
      <c r="Q40" s="59">
        <v>0</v>
      </c>
      <c r="R40" s="59">
        <v>-144.79</v>
      </c>
      <c r="S40" s="59">
        <v>144.79</v>
      </c>
      <c r="T40" s="58">
        <f t="shared" si="48"/>
        <v>-12879.580000000004</v>
      </c>
      <c r="U40" s="58">
        <f t="shared" si="42"/>
        <v>-8194.82</v>
      </c>
      <c r="V40" s="58">
        <f t="shared" si="43"/>
        <v>482.35</v>
      </c>
      <c r="W40" s="58">
        <f>AT40</f>
        <v>-23594.97</v>
      </c>
      <c r="X40" s="58">
        <f t="shared" si="44"/>
        <v>22993.94</v>
      </c>
      <c r="Y40" s="58">
        <f t="shared" si="45"/>
        <v>-7255.4</v>
      </c>
      <c r="Z40" s="58">
        <f t="shared" si="46"/>
        <v>-817.94</v>
      </c>
      <c r="AA40" s="58">
        <f>AJ40</f>
        <v>-4266.41</v>
      </c>
      <c r="AB40" s="58">
        <f>AK40</f>
        <v>7525.98</v>
      </c>
      <c r="AC40" s="58">
        <f>AR40</f>
        <v>247.69</v>
      </c>
      <c r="AD40" s="58">
        <f t="shared" si="47"/>
        <v>-11791.820000000003</v>
      </c>
      <c r="AE40" s="59">
        <v>-6786.62</v>
      </c>
      <c r="AF40" s="59">
        <v>-236.22</v>
      </c>
      <c r="AG40" s="59">
        <v>-304.11</v>
      </c>
      <c r="AH40" s="59">
        <v>-6906.5</v>
      </c>
      <c r="AI40" s="59">
        <v>-817.94</v>
      </c>
      <c r="AJ40" s="59">
        <v>-4266.41</v>
      </c>
      <c r="AK40" s="59">
        <v>7525.98</v>
      </c>
      <c r="AL40" s="58">
        <f t="shared" si="14"/>
        <v>-187.73999999999995</v>
      </c>
      <c r="AM40" s="59">
        <v>-57.51</v>
      </c>
      <c r="AN40" s="59">
        <v>-12.85</v>
      </c>
      <c r="AO40" s="59">
        <v>-16.170000000000002</v>
      </c>
      <c r="AP40" s="59">
        <v>-348.9</v>
      </c>
      <c r="AQ40" s="59">
        <v>0</v>
      </c>
      <c r="AR40" s="59">
        <v>247.69</v>
      </c>
      <c r="AS40" s="58">
        <f t="shared" si="22"/>
        <v>-218.51000000000204</v>
      </c>
      <c r="AT40" s="59">
        <v>-23594.97</v>
      </c>
      <c r="AU40" s="59">
        <v>23376.46</v>
      </c>
      <c r="AV40" s="58">
        <f t="shared" si="23"/>
        <v>-18.839999999999918</v>
      </c>
      <c r="AW40" s="59">
        <v>-1096.0899999999999</v>
      </c>
      <c r="AX40" s="59">
        <v>1077.25</v>
      </c>
      <c r="AY40" s="59">
        <v>0</v>
      </c>
      <c r="AZ40" s="58">
        <f t="shared" si="24"/>
        <v>-664.97</v>
      </c>
      <c r="BA40" s="59">
        <v>-204.01</v>
      </c>
      <c r="BB40" s="59">
        <v>-398.72</v>
      </c>
      <c r="BC40" s="59">
        <v>-62.24</v>
      </c>
      <c r="BD40" s="58">
        <f t="shared" si="25"/>
        <v>2.2999999999999972</v>
      </c>
      <c r="BE40" s="59">
        <v>-50.59</v>
      </c>
      <c r="BF40" s="59">
        <v>52.89</v>
      </c>
      <c r="BG40" s="59">
        <v>0</v>
      </c>
      <c r="BH40" s="58">
        <f t="shared" si="15"/>
        <v>0</v>
      </c>
      <c r="BI40" s="59">
        <v>0</v>
      </c>
      <c r="BJ40" s="59">
        <v>0</v>
      </c>
      <c r="BK40" s="58">
        <f t="shared" si="26"/>
        <v>3842.1499999999996</v>
      </c>
      <c r="BL40" s="59">
        <v>0.1</v>
      </c>
      <c r="BM40" s="59">
        <v>217.46</v>
      </c>
      <c r="BN40" s="59">
        <v>0</v>
      </c>
      <c r="BO40" s="59">
        <v>1477.65</v>
      </c>
      <c r="BP40" s="59">
        <v>1568.53</v>
      </c>
      <c r="BQ40" s="59">
        <v>0</v>
      </c>
      <c r="BR40" s="59">
        <v>563.41999999999996</v>
      </c>
      <c r="BS40" s="59">
        <v>14.99</v>
      </c>
      <c r="BT40" s="58">
        <f t="shared" si="27"/>
        <v>766.57999999999993</v>
      </c>
      <c r="BU40" s="59">
        <v>0</v>
      </c>
      <c r="BV40" s="59">
        <v>57.24</v>
      </c>
      <c r="BW40" s="59">
        <v>0</v>
      </c>
      <c r="BX40" s="59">
        <v>0</v>
      </c>
      <c r="BY40" s="59">
        <v>199.53</v>
      </c>
      <c r="BZ40" s="59">
        <v>0</v>
      </c>
      <c r="CA40" s="59">
        <v>509.81</v>
      </c>
      <c r="CB40" s="58">
        <f>'Quarter final consumption'!B40</f>
        <v>33593.22</v>
      </c>
      <c r="CC40" s="58">
        <f>'Quarter final consumption'!C40</f>
        <v>364</v>
      </c>
      <c r="CD40" s="58">
        <f>'Quarter final consumption'!D40</f>
        <v>257.60000000000002</v>
      </c>
      <c r="CE40" s="58">
        <f>'Quarter final consumption'!E40</f>
        <v>20180.3</v>
      </c>
      <c r="CF40" s="58">
        <f>'Quarter final consumption'!F40</f>
        <v>5616.17</v>
      </c>
      <c r="CG40" s="58">
        <f>'Quarter final consumption'!G40</f>
        <v>225.21</v>
      </c>
      <c r="CH40" s="58">
        <f>'Quarter final consumption'!H40</f>
        <v>6713.5499999999993</v>
      </c>
      <c r="CI40" s="71">
        <f>'Quarter final consumption'!I40</f>
        <v>236.39</v>
      </c>
    </row>
    <row r="41" spans="1:87" ht="15.5" x14ac:dyDescent="0.35">
      <c r="A41" s="50" t="s">
        <v>206</v>
      </c>
      <c r="B41" s="58">
        <f t="shared" si="33"/>
        <v>63740.37999999999</v>
      </c>
      <c r="C41" s="58">
        <f t="shared" si="34"/>
        <v>11717.71</v>
      </c>
      <c r="D41" s="58">
        <f t="shared" si="35"/>
        <v>72.640000000000072</v>
      </c>
      <c r="E41" s="58">
        <f t="shared" si="36"/>
        <v>23056.35</v>
      </c>
      <c r="F41" s="58">
        <f t="shared" si="37"/>
        <v>-1519.8900000000031</v>
      </c>
      <c r="G41" s="58">
        <f t="shared" si="38"/>
        <v>25514.12</v>
      </c>
      <c r="H41" s="58">
        <f t="shared" si="39"/>
        <v>1216.94</v>
      </c>
      <c r="I41" s="58">
        <f t="shared" si="40"/>
        <v>3554.84</v>
      </c>
      <c r="J41" s="58">
        <f t="shared" si="41"/>
        <v>127.67000000000007</v>
      </c>
      <c r="K41" s="58">
        <f t="shared" si="50"/>
        <v>71.109999999999957</v>
      </c>
      <c r="L41" s="59">
        <v>0</v>
      </c>
      <c r="M41" s="59">
        <v>-28.69</v>
      </c>
      <c r="N41" s="59">
        <v>-663.89</v>
      </c>
      <c r="O41" s="59">
        <v>764.73</v>
      </c>
      <c r="P41" s="59">
        <v>-1.04</v>
      </c>
      <c r="Q41" s="59">
        <v>0</v>
      </c>
      <c r="R41" s="59">
        <v>-273.33</v>
      </c>
      <c r="S41" s="59">
        <v>273.33</v>
      </c>
      <c r="T41" s="58">
        <f t="shared" si="48"/>
        <v>-14943.599999999995</v>
      </c>
      <c r="U41" s="58">
        <f t="shared" si="42"/>
        <v>-11307.93</v>
      </c>
      <c r="V41" s="58">
        <f t="shared" si="43"/>
        <v>451.93999999999994</v>
      </c>
      <c r="W41" s="58">
        <f>AT41</f>
        <v>-22392.46</v>
      </c>
      <c r="X41" s="58">
        <f t="shared" si="44"/>
        <v>21788.440000000002</v>
      </c>
      <c r="Y41" s="58">
        <f t="shared" si="45"/>
        <v>-8167.54</v>
      </c>
      <c r="Z41" s="58">
        <f t="shared" si="46"/>
        <v>-950.2</v>
      </c>
      <c r="AA41" s="58">
        <f>AJ41</f>
        <v>-3281.51</v>
      </c>
      <c r="AB41" s="58">
        <f>AK41</f>
        <v>8563.42</v>
      </c>
      <c r="AC41" s="58">
        <f>AR41</f>
        <v>352.24</v>
      </c>
      <c r="AD41" s="58">
        <f t="shared" si="47"/>
        <v>-13842.490000000003</v>
      </c>
      <c r="AE41" s="59">
        <v>-9901.89</v>
      </c>
      <c r="AF41" s="59">
        <v>-246.2</v>
      </c>
      <c r="AG41" s="59">
        <v>-373.31</v>
      </c>
      <c r="AH41" s="59">
        <v>-7652.8</v>
      </c>
      <c r="AI41" s="59">
        <v>-950.2</v>
      </c>
      <c r="AJ41" s="59">
        <v>-3281.51</v>
      </c>
      <c r="AK41" s="59">
        <v>8563.42</v>
      </c>
      <c r="AL41" s="58">
        <f t="shared" si="14"/>
        <v>-267.77999999999997</v>
      </c>
      <c r="AM41" s="59">
        <v>-76.099999999999994</v>
      </c>
      <c r="AN41" s="59">
        <v>-12.85</v>
      </c>
      <c r="AO41" s="59">
        <v>-16.329999999999998</v>
      </c>
      <c r="AP41" s="59">
        <v>-514.74</v>
      </c>
      <c r="AQ41" s="59">
        <v>0</v>
      </c>
      <c r="AR41" s="59">
        <v>352.24</v>
      </c>
      <c r="AS41" s="58">
        <f t="shared" si="22"/>
        <v>-154.93999999999869</v>
      </c>
      <c r="AT41" s="59">
        <v>-22392.46</v>
      </c>
      <c r="AU41" s="59">
        <v>22237.52</v>
      </c>
      <c r="AV41" s="58">
        <f t="shared" si="23"/>
        <v>-23.740000000000009</v>
      </c>
      <c r="AW41" s="59">
        <v>-1078.8499999999999</v>
      </c>
      <c r="AX41" s="59">
        <v>1055.1099999999999</v>
      </c>
      <c r="AY41" s="59">
        <v>0</v>
      </c>
      <c r="AZ41" s="58">
        <f t="shared" si="24"/>
        <v>-654.90000000000009</v>
      </c>
      <c r="BA41" s="59">
        <v>-213.82</v>
      </c>
      <c r="BB41" s="59">
        <v>-381.64</v>
      </c>
      <c r="BC41" s="59">
        <v>-59.44</v>
      </c>
      <c r="BD41" s="58">
        <f t="shared" si="25"/>
        <v>0.25</v>
      </c>
      <c r="BE41" s="59">
        <v>-37.270000000000003</v>
      </c>
      <c r="BF41" s="59">
        <v>37.520000000000003</v>
      </c>
      <c r="BG41" s="59">
        <v>0</v>
      </c>
      <c r="BH41" s="58">
        <f t="shared" si="15"/>
        <v>0</v>
      </c>
      <c r="BI41" s="59">
        <v>0</v>
      </c>
      <c r="BJ41" s="59">
        <v>0</v>
      </c>
      <c r="BK41" s="58">
        <f t="shared" si="26"/>
        <v>3999.8199999999997</v>
      </c>
      <c r="BL41" s="59">
        <v>1.57</v>
      </c>
      <c r="BM41" s="59">
        <v>214.19</v>
      </c>
      <c r="BN41" s="59">
        <v>0</v>
      </c>
      <c r="BO41" s="59">
        <v>1389.45</v>
      </c>
      <c r="BP41" s="59">
        <v>1782.53</v>
      </c>
      <c r="BQ41" s="59">
        <v>0</v>
      </c>
      <c r="BR41" s="59">
        <v>597.09</v>
      </c>
      <c r="BS41" s="59">
        <v>14.99</v>
      </c>
      <c r="BT41" s="58">
        <f t="shared" si="27"/>
        <v>888.86000000000013</v>
      </c>
      <c r="BU41" s="59">
        <v>0</v>
      </c>
      <c r="BV41" s="59">
        <v>32.61</v>
      </c>
      <c r="BW41" s="59">
        <v>0</v>
      </c>
      <c r="BX41" s="59">
        <v>0</v>
      </c>
      <c r="BY41" s="59">
        <v>274.91000000000003</v>
      </c>
      <c r="BZ41" s="59">
        <v>0</v>
      </c>
      <c r="CA41" s="59">
        <v>581.34</v>
      </c>
      <c r="CB41" s="58">
        <f>'Quarter final consumption'!B41</f>
        <v>43977.979999999989</v>
      </c>
      <c r="CC41" s="58">
        <f>'Quarter final consumption'!C41</f>
        <v>408.21000000000004</v>
      </c>
      <c r="CD41" s="58">
        <f>'Quarter final consumption'!D41</f>
        <v>249.09</v>
      </c>
      <c r="CE41" s="58">
        <f>'Quarter final consumption'!E41</f>
        <v>19643.829999999998</v>
      </c>
      <c r="CF41" s="58">
        <f>'Quarter final consumption'!F41</f>
        <v>15288.099999999999</v>
      </c>
      <c r="CG41" s="58">
        <f>'Quarter final consumption'!G41</f>
        <v>266.74</v>
      </c>
      <c r="CH41" s="58">
        <f>'Quarter final consumption'!H41</f>
        <v>7785.99</v>
      </c>
      <c r="CI41" s="71">
        <f>'Quarter final consumption'!I41</f>
        <v>336.02</v>
      </c>
    </row>
    <row r="42" spans="1:87" s="21" customFormat="1" ht="15.5" x14ac:dyDescent="0.35">
      <c r="A42" s="50" t="s">
        <v>207</v>
      </c>
      <c r="B42" s="58">
        <f t="shared" si="33"/>
        <v>67900.010000000009</v>
      </c>
      <c r="C42" s="58">
        <f t="shared" si="34"/>
        <v>11286.86</v>
      </c>
      <c r="D42" s="58">
        <f t="shared" si="35"/>
        <v>394.13000000000011</v>
      </c>
      <c r="E42" s="58">
        <f t="shared" si="36"/>
        <v>21822.36</v>
      </c>
      <c r="F42" s="58">
        <f t="shared" si="37"/>
        <v>-268.34000000000015</v>
      </c>
      <c r="G42" s="58">
        <f t="shared" si="38"/>
        <v>29574.469999999998</v>
      </c>
      <c r="H42" s="58">
        <f t="shared" si="39"/>
        <v>1198.79</v>
      </c>
      <c r="I42" s="58">
        <f t="shared" si="40"/>
        <v>3772.26</v>
      </c>
      <c r="J42" s="58">
        <f t="shared" si="41"/>
        <v>119.48000000000047</v>
      </c>
      <c r="K42" s="58">
        <f t="shared" si="50"/>
        <v>-114.7299999999999</v>
      </c>
      <c r="L42" s="59">
        <v>0</v>
      </c>
      <c r="M42" s="59">
        <v>-30.16</v>
      </c>
      <c r="N42" s="59">
        <v>-780.3</v>
      </c>
      <c r="O42" s="59">
        <v>698.21</v>
      </c>
      <c r="P42" s="59">
        <v>-2.48</v>
      </c>
      <c r="Q42" s="59">
        <v>0</v>
      </c>
      <c r="R42" s="59">
        <v>-309.92</v>
      </c>
      <c r="S42" s="59">
        <v>309.92</v>
      </c>
      <c r="T42" s="58">
        <f t="shared" si="48"/>
        <v>-14909.330000000002</v>
      </c>
      <c r="U42" s="58">
        <f t="shared" si="42"/>
        <v>-10809.710000000001</v>
      </c>
      <c r="V42" s="58">
        <f t="shared" si="43"/>
        <v>156.9899999999999</v>
      </c>
      <c r="W42" s="58">
        <f t="shared" ref="W42:W63" si="51">AT42</f>
        <v>-21042.06</v>
      </c>
      <c r="X42" s="58">
        <f t="shared" si="44"/>
        <v>20531.25</v>
      </c>
      <c r="Y42" s="58">
        <f t="shared" si="45"/>
        <v>-8654.9599999999991</v>
      </c>
      <c r="Z42" s="58">
        <f t="shared" si="46"/>
        <v>-892.46</v>
      </c>
      <c r="AA42" s="58">
        <f t="shared" ref="AA42:AB57" si="52">AJ42</f>
        <v>-3462.34</v>
      </c>
      <c r="AB42" s="58">
        <f t="shared" si="52"/>
        <v>8848.23</v>
      </c>
      <c r="AC42" s="58">
        <f t="shared" ref="AC42:AC94" si="53">AR42</f>
        <v>415.73</v>
      </c>
      <c r="AD42" s="58">
        <f t="shared" si="47"/>
        <v>-13510.839999999997</v>
      </c>
      <c r="AE42" s="59">
        <v>-9371.64</v>
      </c>
      <c r="AF42" s="59">
        <v>-257.22000000000003</v>
      </c>
      <c r="AG42" s="59">
        <v>-329.38</v>
      </c>
      <c r="AH42" s="59">
        <v>-8046.03</v>
      </c>
      <c r="AI42" s="59">
        <v>-892.46</v>
      </c>
      <c r="AJ42" s="59">
        <v>-3462.34</v>
      </c>
      <c r="AK42" s="59">
        <v>8848.23</v>
      </c>
      <c r="AL42" s="58">
        <f t="shared" si="14"/>
        <v>-309.69999999999993</v>
      </c>
      <c r="AM42" s="59">
        <v>-87.35</v>
      </c>
      <c r="AN42" s="59">
        <v>-12.85</v>
      </c>
      <c r="AO42" s="59">
        <v>-16.3</v>
      </c>
      <c r="AP42" s="59">
        <v>-608.92999999999995</v>
      </c>
      <c r="AQ42" s="59">
        <v>0</v>
      </c>
      <c r="AR42" s="59">
        <v>415.73</v>
      </c>
      <c r="AS42" s="58">
        <f t="shared" si="22"/>
        <v>-107.69000000000233</v>
      </c>
      <c r="AT42" s="59">
        <v>-21042.06</v>
      </c>
      <c r="AU42" s="59">
        <v>20934.37</v>
      </c>
      <c r="AV42" s="58">
        <f t="shared" si="23"/>
        <v>-38.779999999999973</v>
      </c>
      <c r="AW42" s="59">
        <v>-1094.8399999999999</v>
      </c>
      <c r="AX42" s="59">
        <v>1056.06</v>
      </c>
      <c r="AY42" s="59">
        <v>0</v>
      </c>
      <c r="AZ42" s="58">
        <f t="shared" si="24"/>
        <v>-938.3900000000001</v>
      </c>
      <c r="BA42" s="59">
        <v>-211.19</v>
      </c>
      <c r="BB42" s="59">
        <v>-669.76</v>
      </c>
      <c r="BC42" s="59">
        <v>-57.44</v>
      </c>
      <c r="BD42" s="58">
        <f t="shared" si="25"/>
        <v>-3.9299999999999997</v>
      </c>
      <c r="BE42" s="59">
        <v>-44.69</v>
      </c>
      <c r="BF42" s="59">
        <v>40.76</v>
      </c>
      <c r="BG42" s="59">
        <v>0</v>
      </c>
      <c r="BH42" s="58">
        <f t="shared" si="15"/>
        <v>0</v>
      </c>
      <c r="BI42" s="59">
        <v>0</v>
      </c>
      <c r="BJ42" s="59">
        <v>0</v>
      </c>
      <c r="BK42" s="58">
        <f t="shared" si="26"/>
        <v>3915.2200000000003</v>
      </c>
      <c r="BL42" s="59">
        <v>1.52</v>
      </c>
      <c r="BM42" s="59">
        <v>223.51</v>
      </c>
      <c r="BN42" s="59">
        <v>0</v>
      </c>
      <c r="BO42" s="59">
        <v>1237.8399999999999</v>
      </c>
      <c r="BP42" s="59">
        <v>1787.93</v>
      </c>
      <c r="BQ42" s="59">
        <v>0</v>
      </c>
      <c r="BR42" s="59">
        <v>647.52</v>
      </c>
      <c r="BS42" s="59">
        <v>16.899999999999999</v>
      </c>
      <c r="BT42" s="58">
        <f t="shared" si="27"/>
        <v>1104.5900000000001</v>
      </c>
      <c r="BU42" s="59">
        <v>0</v>
      </c>
      <c r="BV42" s="59">
        <v>36.43</v>
      </c>
      <c r="BW42" s="59">
        <v>0</v>
      </c>
      <c r="BX42" s="59">
        <v>0</v>
      </c>
      <c r="BY42" s="59">
        <v>328.71</v>
      </c>
      <c r="BZ42" s="59">
        <v>0</v>
      </c>
      <c r="CA42" s="59">
        <v>739.45</v>
      </c>
      <c r="CB42" s="58">
        <f>'Quarter final consumption'!B42</f>
        <v>47853.02</v>
      </c>
      <c r="CC42" s="58">
        <f>'Quarter final consumption'!C42</f>
        <v>475.63</v>
      </c>
      <c r="CD42" s="58">
        <f>'Quarter final consumption'!D42</f>
        <v>261.02</v>
      </c>
      <c r="CE42" s="58">
        <f>'Quarter final consumption'!E42</f>
        <v>19723.28</v>
      </c>
      <c r="CF42" s="58">
        <f>'Quarter final consumption'!F42</f>
        <v>18800.39</v>
      </c>
      <c r="CG42" s="58">
        <f>'Quarter final consumption'!G42</f>
        <v>306.32999999999993</v>
      </c>
      <c r="CH42" s="58">
        <f>'Quarter final consumption'!H42</f>
        <v>7890.66</v>
      </c>
      <c r="CI42" s="71">
        <f>'Quarter final consumption'!I42</f>
        <v>395.71</v>
      </c>
    </row>
    <row r="43" spans="1:87" s="21" customFormat="1" ht="15.5" x14ac:dyDescent="0.35">
      <c r="A43" s="50" t="s">
        <v>208</v>
      </c>
      <c r="B43" s="58">
        <f t="shared" si="33"/>
        <v>53707.440000000017</v>
      </c>
      <c r="C43" s="58">
        <f t="shared" si="34"/>
        <v>8107.93</v>
      </c>
      <c r="D43" s="58">
        <f t="shared" si="35"/>
        <v>160.52999999999986</v>
      </c>
      <c r="E43" s="58">
        <f t="shared" si="36"/>
        <v>23706.350000000002</v>
      </c>
      <c r="F43" s="58">
        <f t="shared" si="37"/>
        <v>-2200.6299999999974</v>
      </c>
      <c r="G43" s="58">
        <f t="shared" si="38"/>
        <v>19217.800000000003</v>
      </c>
      <c r="H43" s="58">
        <f t="shared" si="39"/>
        <v>1082.8699999999999</v>
      </c>
      <c r="I43" s="58">
        <f t="shared" si="40"/>
        <v>3519.5499999999997</v>
      </c>
      <c r="J43" s="58">
        <f t="shared" si="41"/>
        <v>113.03999999999905</v>
      </c>
      <c r="K43" s="58">
        <f t="shared" si="50"/>
        <v>-134.43999999999997</v>
      </c>
      <c r="L43" s="59">
        <v>0</v>
      </c>
      <c r="M43" s="59">
        <v>-32.61</v>
      </c>
      <c r="N43" s="59">
        <v>-664.02</v>
      </c>
      <c r="O43" s="59">
        <v>564.5</v>
      </c>
      <c r="P43" s="59">
        <v>-2.31</v>
      </c>
      <c r="Q43" s="59">
        <v>0</v>
      </c>
      <c r="R43" s="59">
        <v>-153.33000000000001</v>
      </c>
      <c r="S43" s="59">
        <v>153.33000000000001</v>
      </c>
      <c r="T43" s="58">
        <f t="shared" si="48"/>
        <v>-12626.660000000002</v>
      </c>
      <c r="U43" s="58">
        <f t="shared" si="42"/>
        <v>-7663.7400000000007</v>
      </c>
      <c r="V43" s="58">
        <f t="shared" si="43"/>
        <v>403.35000000000014</v>
      </c>
      <c r="W43" s="58">
        <f t="shared" si="51"/>
        <v>-23042.33</v>
      </c>
      <c r="X43" s="58">
        <f t="shared" si="44"/>
        <v>22434.31</v>
      </c>
      <c r="Y43" s="58">
        <f t="shared" si="45"/>
        <v>-8574.33</v>
      </c>
      <c r="Z43" s="58">
        <f t="shared" si="46"/>
        <v>-787.9</v>
      </c>
      <c r="AA43" s="58">
        <f t="shared" si="52"/>
        <v>-3366.22</v>
      </c>
      <c r="AB43" s="58">
        <f t="shared" si="52"/>
        <v>7661.24</v>
      </c>
      <c r="AC43" s="58">
        <f t="shared" si="53"/>
        <v>308.95999999999998</v>
      </c>
      <c r="AD43" s="58">
        <f t="shared" si="47"/>
        <v>-11337.269999999999</v>
      </c>
      <c r="AE43" s="59">
        <v>-6225.59</v>
      </c>
      <c r="AF43" s="59">
        <v>-255.19</v>
      </c>
      <c r="AG43" s="59">
        <v>-230.98</v>
      </c>
      <c r="AH43" s="59">
        <v>-8132.63</v>
      </c>
      <c r="AI43" s="59">
        <v>-787.9</v>
      </c>
      <c r="AJ43" s="59">
        <v>-3366.22</v>
      </c>
      <c r="AK43" s="59">
        <v>7661.24</v>
      </c>
      <c r="AL43" s="58">
        <f t="shared" si="14"/>
        <v>-230.32999999999998</v>
      </c>
      <c r="AM43" s="59">
        <v>-68.599999999999994</v>
      </c>
      <c r="AN43" s="59">
        <v>-12.85</v>
      </c>
      <c r="AO43" s="59">
        <v>-16.14</v>
      </c>
      <c r="AP43" s="59">
        <v>-441.7</v>
      </c>
      <c r="AQ43" s="59">
        <v>0</v>
      </c>
      <c r="AR43" s="59">
        <v>308.95999999999998</v>
      </c>
      <c r="AS43" s="58">
        <f t="shared" si="22"/>
        <v>-305.36000000000058</v>
      </c>
      <c r="AT43" s="59">
        <v>-23042.33</v>
      </c>
      <c r="AU43" s="59">
        <v>22736.97</v>
      </c>
      <c r="AV43" s="58">
        <f t="shared" si="23"/>
        <v>-40.960000000000036</v>
      </c>
      <c r="AW43" s="59">
        <v>-1090.1500000000001</v>
      </c>
      <c r="AX43" s="59">
        <v>1049.19</v>
      </c>
      <c r="AY43" s="59">
        <v>0</v>
      </c>
      <c r="AZ43" s="58">
        <f t="shared" si="24"/>
        <v>-708.76</v>
      </c>
      <c r="BA43" s="59">
        <v>-233.13</v>
      </c>
      <c r="BB43" s="59">
        <v>-420.09</v>
      </c>
      <c r="BC43" s="59">
        <v>-55.54</v>
      </c>
      <c r="BD43" s="58">
        <f t="shared" si="25"/>
        <v>-3.980000000000004</v>
      </c>
      <c r="BE43" s="59">
        <v>-46.27</v>
      </c>
      <c r="BF43" s="59">
        <v>42.29</v>
      </c>
      <c r="BG43" s="59">
        <v>0</v>
      </c>
      <c r="BH43" s="58">
        <f t="shared" si="15"/>
        <v>0</v>
      </c>
      <c r="BI43" s="59">
        <v>0</v>
      </c>
      <c r="BJ43" s="59">
        <v>0</v>
      </c>
      <c r="BK43" s="58">
        <f t="shared" si="26"/>
        <v>3844.17</v>
      </c>
      <c r="BL43" s="59">
        <v>0.15</v>
      </c>
      <c r="BM43" s="59">
        <v>228.41</v>
      </c>
      <c r="BN43" s="59">
        <v>0</v>
      </c>
      <c r="BO43" s="59">
        <v>1370.56</v>
      </c>
      <c r="BP43" s="59">
        <v>1645.4</v>
      </c>
      <c r="BQ43" s="59">
        <v>0</v>
      </c>
      <c r="BR43" s="59">
        <v>582.75</v>
      </c>
      <c r="BS43" s="59">
        <v>16.899999999999999</v>
      </c>
      <c r="BT43" s="58">
        <f t="shared" si="27"/>
        <v>790.93000000000006</v>
      </c>
      <c r="BU43" s="59">
        <v>0</v>
      </c>
      <c r="BV43" s="59">
        <v>49.2</v>
      </c>
      <c r="BW43" s="59">
        <v>0</v>
      </c>
      <c r="BX43" s="59">
        <v>0</v>
      </c>
      <c r="BY43" s="59">
        <v>204.28</v>
      </c>
      <c r="BZ43" s="59">
        <v>0</v>
      </c>
      <c r="CA43" s="59">
        <v>537.45000000000005</v>
      </c>
      <c r="CB43" s="58">
        <f>'Quarter final consumption'!B43</f>
        <v>36313.300000000003</v>
      </c>
      <c r="CC43" s="58">
        <f>'Quarter final consumption'!C43</f>
        <v>444.04</v>
      </c>
      <c r="CD43" s="58">
        <f>'Quarter final consumption'!D43</f>
        <v>253.66</v>
      </c>
      <c r="CE43" s="58">
        <f>'Quarter final consumption'!E43</f>
        <v>19427.620000000003</v>
      </c>
      <c r="CF43" s="58">
        <f>'Quarter final consumption'!F43</f>
        <v>8791.4800000000014</v>
      </c>
      <c r="CG43" s="58">
        <f>'Quarter final consumption'!G43</f>
        <v>294.97000000000003</v>
      </c>
      <c r="CH43" s="58">
        <f>'Quarter final consumption'!H43</f>
        <v>6807.4099999999989</v>
      </c>
      <c r="CI43" s="71">
        <f>'Quarter final consumption'!I43</f>
        <v>294.12</v>
      </c>
    </row>
    <row r="44" spans="1:87" s="21" customFormat="1" ht="15.5" x14ac:dyDescent="0.35">
      <c r="A44" s="50" t="s">
        <v>209</v>
      </c>
      <c r="B44" s="58">
        <f t="shared" si="33"/>
        <v>51013.8</v>
      </c>
      <c r="C44" s="58">
        <f t="shared" si="34"/>
        <v>8457.61</v>
      </c>
      <c r="D44" s="58">
        <f t="shared" si="35"/>
        <v>137.27000000000015</v>
      </c>
      <c r="E44" s="58">
        <f t="shared" si="36"/>
        <v>23614.22</v>
      </c>
      <c r="F44" s="58">
        <f t="shared" si="37"/>
        <v>-2095.2799999999988</v>
      </c>
      <c r="G44" s="58">
        <f t="shared" si="38"/>
        <v>15534.18</v>
      </c>
      <c r="H44" s="58">
        <f t="shared" si="39"/>
        <v>1092.26</v>
      </c>
      <c r="I44" s="58">
        <f t="shared" si="40"/>
        <v>4042.32</v>
      </c>
      <c r="J44" s="58">
        <f t="shared" si="41"/>
        <v>231.22000000000025</v>
      </c>
      <c r="K44" s="58">
        <f t="shared" si="50"/>
        <v>-191.45000000000002</v>
      </c>
      <c r="L44" s="59">
        <v>0</v>
      </c>
      <c r="M44" s="59">
        <v>-31.39</v>
      </c>
      <c r="N44" s="59">
        <v>-645.11</v>
      </c>
      <c r="O44" s="59">
        <v>486.42</v>
      </c>
      <c r="P44" s="59">
        <v>-1.37</v>
      </c>
      <c r="Q44" s="59">
        <v>0</v>
      </c>
      <c r="R44" s="59">
        <v>-184.65</v>
      </c>
      <c r="S44" s="59">
        <v>184.65</v>
      </c>
      <c r="T44" s="58">
        <f t="shared" si="48"/>
        <v>-12071.890000000001</v>
      </c>
      <c r="U44" s="58">
        <f t="shared" si="42"/>
        <v>-8035.76</v>
      </c>
      <c r="V44" s="58">
        <f t="shared" si="43"/>
        <v>444.12999999999982</v>
      </c>
      <c r="W44" s="58">
        <f t="shared" si="51"/>
        <v>-22969.11</v>
      </c>
      <c r="X44" s="58">
        <f t="shared" si="44"/>
        <v>22825.46</v>
      </c>
      <c r="Y44" s="58">
        <f t="shared" si="45"/>
        <v>-7322.8300000000008</v>
      </c>
      <c r="Z44" s="58">
        <f t="shared" si="46"/>
        <v>-801.98</v>
      </c>
      <c r="AA44" s="58">
        <f t="shared" si="52"/>
        <v>-3857.67</v>
      </c>
      <c r="AB44" s="58">
        <f t="shared" si="52"/>
        <v>7365.88</v>
      </c>
      <c r="AC44" s="58">
        <f t="shared" si="53"/>
        <v>279.99</v>
      </c>
      <c r="AD44" s="58">
        <f t="shared" si="47"/>
        <v>-11317.02</v>
      </c>
      <c r="AE44" s="59">
        <v>-6632.98</v>
      </c>
      <c r="AF44" s="59">
        <v>-224.85</v>
      </c>
      <c r="AG44" s="59">
        <v>-238.9</v>
      </c>
      <c r="AH44" s="59">
        <v>-6926.52</v>
      </c>
      <c r="AI44" s="59">
        <v>-801.98</v>
      </c>
      <c r="AJ44" s="59">
        <v>-3857.67</v>
      </c>
      <c r="AK44" s="59">
        <v>7365.88</v>
      </c>
      <c r="AL44" s="58">
        <f t="shared" si="14"/>
        <v>-208.76999999999998</v>
      </c>
      <c r="AM44" s="59">
        <v>-63.51</v>
      </c>
      <c r="AN44" s="59">
        <v>-12.85</v>
      </c>
      <c r="AO44" s="59">
        <v>-16.09</v>
      </c>
      <c r="AP44" s="59">
        <v>-396.31</v>
      </c>
      <c r="AQ44" s="59">
        <v>0</v>
      </c>
      <c r="AR44" s="59">
        <v>279.99</v>
      </c>
      <c r="AS44" s="58">
        <f t="shared" si="22"/>
        <v>165.45999999999913</v>
      </c>
      <c r="AT44" s="59">
        <v>-22969.11</v>
      </c>
      <c r="AU44" s="59">
        <v>23134.57</v>
      </c>
      <c r="AV44" s="58">
        <f t="shared" si="23"/>
        <v>-37.340000000000146</v>
      </c>
      <c r="AW44" s="59">
        <v>-1071.93</v>
      </c>
      <c r="AX44" s="59">
        <v>1034.5899999999999</v>
      </c>
      <c r="AY44" s="59">
        <v>0</v>
      </c>
      <c r="AZ44" s="58">
        <f t="shared" si="24"/>
        <v>-673.35</v>
      </c>
      <c r="BA44" s="59">
        <v>-222.32</v>
      </c>
      <c r="BB44" s="59">
        <v>-396.91</v>
      </c>
      <c r="BC44" s="59">
        <v>-54.12</v>
      </c>
      <c r="BD44" s="58">
        <f t="shared" si="25"/>
        <v>-0.87000000000000455</v>
      </c>
      <c r="BE44" s="59">
        <v>-45.02</v>
      </c>
      <c r="BF44" s="59">
        <v>44.15</v>
      </c>
      <c r="BG44" s="59">
        <v>0</v>
      </c>
      <c r="BH44" s="58">
        <f t="shared" si="15"/>
        <v>0</v>
      </c>
      <c r="BI44" s="59">
        <v>0</v>
      </c>
      <c r="BJ44" s="59">
        <v>0</v>
      </c>
      <c r="BK44" s="58">
        <f t="shared" si="26"/>
        <v>3645.43</v>
      </c>
      <c r="BL44" s="59">
        <v>0.8</v>
      </c>
      <c r="BM44" s="59">
        <v>217.03</v>
      </c>
      <c r="BN44" s="59">
        <v>0</v>
      </c>
      <c r="BO44" s="59">
        <v>1387.01</v>
      </c>
      <c r="BP44" s="59">
        <v>1442.24</v>
      </c>
      <c r="BQ44" s="59">
        <v>0</v>
      </c>
      <c r="BR44" s="59">
        <v>581.45000000000005</v>
      </c>
      <c r="BS44" s="59">
        <v>16.899999999999999</v>
      </c>
      <c r="BT44" s="58">
        <f t="shared" si="27"/>
        <v>776.53</v>
      </c>
      <c r="BU44" s="59">
        <v>0</v>
      </c>
      <c r="BV44" s="59">
        <v>70.11</v>
      </c>
      <c r="BW44" s="59">
        <v>0</v>
      </c>
      <c r="BX44" s="59">
        <v>0</v>
      </c>
      <c r="BY44" s="59">
        <v>178.73</v>
      </c>
      <c r="BZ44" s="59">
        <v>0</v>
      </c>
      <c r="CA44" s="59">
        <v>527.69000000000005</v>
      </c>
      <c r="CB44" s="58">
        <f>'Quarter final consumption'!B44</f>
        <v>34331.949999999997</v>
      </c>
      <c r="CC44" s="58">
        <f>'Quarter final consumption'!C44</f>
        <v>421.05</v>
      </c>
      <c r="CD44" s="58">
        <f>'Quarter final consumption'!D44</f>
        <v>262.87</v>
      </c>
      <c r="CE44" s="58">
        <f>'Quarter final consumption'!E44</f>
        <v>19829.59</v>
      </c>
      <c r="CF44" s="58">
        <f>'Quarter final consumption'!F44</f>
        <v>6589.0099999999993</v>
      </c>
      <c r="CG44" s="58">
        <f>'Quarter final consumption'!G44</f>
        <v>290.27999999999997</v>
      </c>
      <c r="CH44" s="58">
        <f>'Quarter final consumption'!H44</f>
        <v>6672.61</v>
      </c>
      <c r="CI44" s="71">
        <f>'Quarter final consumption'!I44</f>
        <v>266.54000000000002</v>
      </c>
    </row>
    <row r="45" spans="1:87" s="21" customFormat="1" ht="15.5" x14ac:dyDescent="0.35">
      <c r="A45" s="50" t="s">
        <v>210</v>
      </c>
      <c r="B45" s="58">
        <f t="shared" si="33"/>
        <v>64821.61</v>
      </c>
      <c r="C45" s="58">
        <f t="shared" si="34"/>
        <v>12555.57</v>
      </c>
      <c r="D45" s="58">
        <f t="shared" si="35"/>
        <v>-137.88999999999987</v>
      </c>
      <c r="E45" s="58">
        <f t="shared" si="36"/>
        <v>22478.920000000002</v>
      </c>
      <c r="F45" s="58">
        <f t="shared" si="37"/>
        <v>-1695.3899999999958</v>
      </c>
      <c r="G45" s="58">
        <f t="shared" si="38"/>
        <v>26728.79</v>
      </c>
      <c r="H45" s="58">
        <f t="shared" si="39"/>
        <v>1280.2</v>
      </c>
      <c r="I45" s="58">
        <f t="shared" si="40"/>
        <v>3593.02</v>
      </c>
      <c r="J45" s="58">
        <f t="shared" si="41"/>
        <v>18.389999999999418</v>
      </c>
      <c r="K45" s="58">
        <f t="shared" si="50"/>
        <v>331.15</v>
      </c>
      <c r="L45" s="59">
        <v>0</v>
      </c>
      <c r="M45" s="59">
        <v>-32.25</v>
      </c>
      <c r="N45" s="59">
        <v>-580.11</v>
      </c>
      <c r="O45" s="59">
        <v>944.03</v>
      </c>
      <c r="P45" s="59">
        <v>-0.52</v>
      </c>
      <c r="Q45" s="59">
        <v>0</v>
      </c>
      <c r="R45" s="59">
        <v>-243.35</v>
      </c>
      <c r="S45" s="59">
        <v>243.35</v>
      </c>
      <c r="T45" s="58">
        <f t="shared" si="48"/>
        <v>-14742.420000000007</v>
      </c>
      <c r="U45" s="58">
        <f t="shared" si="42"/>
        <v>-12107.71</v>
      </c>
      <c r="V45" s="58">
        <f t="shared" si="43"/>
        <v>698.03999999999985</v>
      </c>
      <c r="W45" s="58">
        <f t="shared" si="51"/>
        <v>-21898.81</v>
      </c>
      <c r="X45" s="58">
        <f t="shared" si="44"/>
        <v>21508.929999999997</v>
      </c>
      <c r="Y45" s="58">
        <f t="shared" si="45"/>
        <v>-8080.55</v>
      </c>
      <c r="Z45" s="58">
        <f t="shared" si="46"/>
        <v>-936.37</v>
      </c>
      <c r="AA45" s="58">
        <f t="shared" si="52"/>
        <v>-3349.67</v>
      </c>
      <c r="AB45" s="58">
        <f t="shared" si="52"/>
        <v>9022.81</v>
      </c>
      <c r="AC45" s="58">
        <f t="shared" si="53"/>
        <v>400.91</v>
      </c>
      <c r="AD45" s="58">
        <f t="shared" si="47"/>
        <v>-14017.090000000002</v>
      </c>
      <c r="AE45" s="59">
        <v>-10673.72</v>
      </c>
      <c r="AF45" s="59">
        <v>-223.61</v>
      </c>
      <c r="AG45" s="59">
        <v>-361.7</v>
      </c>
      <c r="AH45" s="59">
        <v>-7494.83</v>
      </c>
      <c r="AI45" s="59">
        <v>-936.37</v>
      </c>
      <c r="AJ45" s="59">
        <v>-3349.67</v>
      </c>
      <c r="AK45" s="59">
        <v>9022.81</v>
      </c>
      <c r="AL45" s="58">
        <f t="shared" si="14"/>
        <v>-298.68</v>
      </c>
      <c r="AM45" s="59">
        <v>-84.75</v>
      </c>
      <c r="AN45" s="59">
        <v>-12.85</v>
      </c>
      <c r="AO45" s="59">
        <v>-16.27</v>
      </c>
      <c r="AP45" s="59">
        <v>-585.72</v>
      </c>
      <c r="AQ45" s="59">
        <v>0</v>
      </c>
      <c r="AR45" s="59">
        <v>400.91</v>
      </c>
      <c r="AS45" s="58">
        <f t="shared" si="22"/>
        <v>30.649999999997817</v>
      </c>
      <c r="AT45" s="59">
        <v>-21898.81</v>
      </c>
      <c r="AU45" s="59">
        <v>21929.46</v>
      </c>
      <c r="AV45" s="58">
        <f t="shared" si="23"/>
        <v>-30.380000000000109</v>
      </c>
      <c r="AW45" s="59">
        <v>-1061.67</v>
      </c>
      <c r="AX45" s="59">
        <v>1031.29</v>
      </c>
      <c r="AY45" s="59">
        <v>0</v>
      </c>
      <c r="AZ45" s="58">
        <f t="shared" si="24"/>
        <v>-426.3</v>
      </c>
      <c r="BA45" s="59">
        <v>-237.81</v>
      </c>
      <c r="BB45" s="59">
        <v>-145.93</v>
      </c>
      <c r="BC45" s="59">
        <v>-42.56</v>
      </c>
      <c r="BD45" s="58">
        <f t="shared" si="25"/>
        <v>-0.61999999999999744</v>
      </c>
      <c r="BE45" s="59">
        <v>-49.76</v>
      </c>
      <c r="BF45" s="59">
        <v>49.14</v>
      </c>
      <c r="BG45" s="59">
        <v>0</v>
      </c>
      <c r="BH45" s="58">
        <f t="shared" si="15"/>
        <v>0</v>
      </c>
      <c r="BI45" s="59">
        <v>0</v>
      </c>
      <c r="BJ45" s="59">
        <v>0</v>
      </c>
      <c r="BK45" s="58">
        <f t="shared" si="26"/>
        <v>3908.01</v>
      </c>
      <c r="BL45" s="59">
        <v>0.82</v>
      </c>
      <c r="BM45" s="59">
        <v>212.53</v>
      </c>
      <c r="BN45" s="59">
        <v>0</v>
      </c>
      <c r="BO45" s="59">
        <v>1360.44</v>
      </c>
      <c r="BP45" s="59">
        <v>1661.4</v>
      </c>
      <c r="BQ45" s="59">
        <v>0</v>
      </c>
      <c r="BR45" s="59">
        <v>655.92</v>
      </c>
      <c r="BS45" s="59">
        <v>16.899999999999999</v>
      </c>
      <c r="BT45" s="58">
        <f t="shared" si="27"/>
        <v>1009.51</v>
      </c>
      <c r="BU45" s="59">
        <v>0</v>
      </c>
      <c r="BV45" s="59">
        <v>60.61</v>
      </c>
      <c r="BW45" s="59">
        <v>0</v>
      </c>
      <c r="BX45" s="59">
        <v>0</v>
      </c>
      <c r="BY45" s="59">
        <v>326.77999999999997</v>
      </c>
      <c r="BZ45" s="59">
        <v>0</v>
      </c>
      <c r="CA45" s="59">
        <v>622.12</v>
      </c>
      <c r="CB45" s="58">
        <f>'Quarter final consumption'!B45</f>
        <v>45490.420000000006</v>
      </c>
      <c r="CC45" s="58">
        <f>'Quarter final consumption'!C45</f>
        <v>447.04</v>
      </c>
      <c r="CD45" s="58">
        <f>'Quarter final consumption'!D45</f>
        <v>254.76</v>
      </c>
      <c r="CE45" s="58">
        <f>'Quarter final consumption'!E45</f>
        <v>19397.13</v>
      </c>
      <c r="CF45" s="58">
        <f>'Quarter final consumption'!F45</f>
        <v>16659.539999999997</v>
      </c>
      <c r="CG45" s="58">
        <f>'Quarter final consumption'!G45</f>
        <v>343.83</v>
      </c>
      <c r="CH45" s="58">
        <f>'Quarter final consumption'!H45</f>
        <v>8006.5099999999993</v>
      </c>
      <c r="CI45" s="71">
        <f>'Quarter final consumption'!I45</f>
        <v>381.61</v>
      </c>
    </row>
    <row r="46" spans="1:87" s="21" customFormat="1" ht="15.5" x14ac:dyDescent="0.35">
      <c r="A46" s="50" t="s">
        <v>211</v>
      </c>
      <c r="B46" s="58">
        <f t="shared" si="33"/>
        <v>68560.119999999981</v>
      </c>
      <c r="C46" s="58">
        <f t="shared" si="34"/>
        <v>10572.67</v>
      </c>
      <c r="D46" s="58">
        <f t="shared" si="35"/>
        <v>178.84000000000003</v>
      </c>
      <c r="E46" s="58">
        <f t="shared" si="36"/>
        <v>22291.759999999998</v>
      </c>
      <c r="F46" s="58">
        <f t="shared" si="37"/>
        <v>-733.13000000000466</v>
      </c>
      <c r="G46" s="58">
        <f t="shared" si="38"/>
        <v>30953.180000000004</v>
      </c>
      <c r="H46" s="58">
        <f t="shared" si="39"/>
        <v>1478.6399999999999</v>
      </c>
      <c r="I46" s="58">
        <f t="shared" si="40"/>
        <v>3643.4500000000003</v>
      </c>
      <c r="J46" s="58">
        <f t="shared" si="41"/>
        <v>174.70999999999731</v>
      </c>
      <c r="K46" s="58">
        <f t="shared" si="50"/>
        <v>-25.57000000000005</v>
      </c>
      <c r="L46" s="59">
        <v>0</v>
      </c>
      <c r="M46" s="59">
        <v>-33.119999999999997</v>
      </c>
      <c r="N46" s="59">
        <v>-981.69</v>
      </c>
      <c r="O46" s="59">
        <v>990.47</v>
      </c>
      <c r="P46" s="59">
        <v>-1.23</v>
      </c>
      <c r="Q46" s="59">
        <v>0</v>
      </c>
      <c r="R46" s="59">
        <v>-361.11</v>
      </c>
      <c r="S46" s="59">
        <v>361.11</v>
      </c>
      <c r="T46" s="58">
        <f t="shared" si="48"/>
        <v>-14493.469999999998</v>
      </c>
      <c r="U46" s="58">
        <f t="shared" si="42"/>
        <v>-10059.949999999999</v>
      </c>
      <c r="V46" s="58">
        <f t="shared" si="43"/>
        <v>372.02</v>
      </c>
      <c r="W46" s="58">
        <f t="shared" si="51"/>
        <v>-21310.07</v>
      </c>
      <c r="X46" s="58">
        <f t="shared" si="44"/>
        <v>20641.240000000002</v>
      </c>
      <c r="Y46" s="58">
        <f t="shared" si="45"/>
        <v>-9231.57</v>
      </c>
      <c r="Z46" s="58">
        <f t="shared" si="46"/>
        <v>-906.35</v>
      </c>
      <c r="AA46" s="58">
        <f t="shared" si="52"/>
        <v>-3282.34</v>
      </c>
      <c r="AB46" s="58">
        <f t="shared" si="52"/>
        <v>8824.9</v>
      </c>
      <c r="AC46" s="58">
        <f t="shared" si="53"/>
        <v>458.65</v>
      </c>
      <c r="AD46" s="58">
        <f t="shared" si="47"/>
        <v>-13101.97</v>
      </c>
      <c r="AE46" s="59">
        <v>-8611.81</v>
      </c>
      <c r="AF46" s="59">
        <v>-245.57</v>
      </c>
      <c r="AG46" s="59">
        <v>-324.2</v>
      </c>
      <c r="AH46" s="59">
        <v>-8571.48</v>
      </c>
      <c r="AI46" s="59">
        <v>-891.47</v>
      </c>
      <c r="AJ46" s="59">
        <v>-3282.34</v>
      </c>
      <c r="AK46" s="59">
        <v>8824.9</v>
      </c>
      <c r="AL46" s="58">
        <f t="shared" si="14"/>
        <v>-336.99</v>
      </c>
      <c r="AM46" s="59">
        <v>-91.33</v>
      </c>
      <c r="AN46" s="59">
        <v>-12.85</v>
      </c>
      <c r="AO46" s="59">
        <v>-16.489999999999998</v>
      </c>
      <c r="AP46" s="59">
        <v>-660.09</v>
      </c>
      <c r="AQ46" s="59">
        <v>-14.88</v>
      </c>
      <c r="AR46" s="59">
        <v>458.65</v>
      </c>
      <c r="AS46" s="58">
        <f t="shared" si="22"/>
        <v>-267.34000000000015</v>
      </c>
      <c r="AT46" s="59">
        <v>-21310.07</v>
      </c>
      <c r="AU46" s="59">
        <v>21042.73</v>
      </c>
      <c r="AV46" s="58">
        <f t="shared" si="23"/>
        <v>-44.819999999999936</v>
      </c>
      <c r="AW46" s="59">
        <v>-1066.01</v>
      </c>
      <c r="AX46" s="59">
        <v>1021.19</v>
      </c>
      <c r="AY46" s="59">
        <v>0</v>
      </c>
      <c r="AZ46" s="58">
        <f t="shared" si="24"/>
        <v>-736.45999999999992</v>
      </c>
      <c r="BA46" s="59">
        <v>-224.89</v>
      </c>
      <c r="BB46" s="59">
        <v>-450.77</v>
      </c>
      <c r="BC46" s="59">
        <v>-60.8</v>
      </c>
      <c r="BD46" s="58">
        <f t="shared" si="25"/>
        <v>-5.8899999999999935</v>
      </c>
      <c r="BE46" s="59">
        <v>-65.91</v>
      </c>
      <c r="BF46" s="59">
        <v>60.02</v>
      </c>
      <c r="BG46" s="59">
        <v>0</v>
      </c>
      <c r="BH46" s="58">
        <f t="shared" si="15"/>
        <v>0</v>
      </c>
      <c r="BI46" s="59">
        <v>0</v>
      </c>
      <c r="BJ46" s="59">
        <v>0</v>
      </c>
      <c r="BK46" s="58">
        <f t="shared" si="26"/>
        <v>3852.9</v>
      </c>
      <c r="BL46" s="59">
        <v>1.62</v>
      </c>
      <c r="BM46" s="59">
        <v>221.94</v>
      </c>
      <c r="BN46" s="59">
        <v>0</v>
      </c>
      <c r="BO46" s="59">
        <v>1377.85</v>
      </c>
      <c r="BP46" s="59">
        <v>1651.88</v>
      </c>
      <c r="BQ46" s="59">
        <v>0</v>
      </c>
      <c r="BR46" s="59">
        <v>581.72</v>
      </c>
      <c r="BS46" s="59">
        <v>17.89</v>
      </c>
      <c r="BT46" s="58">
        <f t="shared" si="27"/>
        <v>890.82</v>
      </c>
      <c r="BU46" s="59">
        <v>0</v>
      </c>
      <c r="BV46" s="59">
        <v>39</v>
      </c>
      <c r="BW46" s="59">
        <v>0</v>
      </c>
      <c r="BX46" s="59">
        <v>0</v>
      </c>
      <c r="BY46" s="59">
        <v>205.09</v>
      </c>
      <c r="BZ46" s="59">
        <v>0</v>
      </c>
      <c r="CA46" s="59">
        <v>646.73</v>
      </c>
      <c r="CB46" s="58">
        <f>'Quarter final consumption'!B46</f>
        <v>49294.390000000007</v>
      </c>
      <c r="CC46" s="58">
        <f>'Quarter final consumption'!C46</f>
        <v>511.1</v>
      </c>
      <c r="CD46" s="58">
        <f>'Quarter final consumption'!D46</f>
        <v>256.8</v>
      </c>
      <c r="CE46" s="58">
        <f>'Quarter final consumption'!E46</f>
        <v>19520.73</v>
      </c>
      <c r="CF46" s="58">
        <f>'Quarter final consumption'!F46</f>
        <v>19863.410000000003</v>
      </c>
      <c r="CG46" s="58">
        <f>'Quarter final consumption'!G46</f>
        <v>572.29</v>
      </c>
      <c r="CH46" s="58">
        <f>'Quarter final consumption'!H46</f>
        <v>8132.2699999999986</v>
      </c>
      <c r="CI46" s="71">
        <f>'Quarter final consumption'!I46</f>
        <v>437.78999999999996</v>
      </c>
    </row>
    <row r="47" spans="1:87" s="21" customFormat="1" ht="15.5" x14ac:dyDescent="0.35">
      <c r="A47" s="50" t="s">
        <v>212</v>
      </c>
      <c r="B47" s="58">
        <f t="shared" si="33"/>
        <v>54227.000000000007</v>
      </c>
      <c r="C47" s="58">
        <f t="shared" si="34"/>
        <v>8590.83</v>
      </c>
      <c r="D47" s="58">
        <f t="shared" si="35"/>
        <v>151.44999999999996</v>
      </c>
      <c r="E47" s="58">
        <f t="shared" si="36"/>
        <v>23614.94</v>
      </c>
      <c r="F47" s="58">
        <f t="shared" si="37"/>
        <v>-2801.6699999999983</v>
      </c>
      <c r="G47" s="58">
        <f t="shared" si="38"/>
        <v>19941.590000000004</v>
      </c>
      <c r="H47" s="58">
        <f t="shared" si="39"/>
        <v>1446.0700000000002</v>
      </c>
      <c r="I47" s="58">
        <f t="shared" si="40"/>
        <v>2949.93</v>
      </c>
      <c r="J47" s="58">
        <f t="shared" si="41"/>
        <v>333.85999999999876</v>
      </c>
      <c r="K47" s="58">
        <f t="shared" si="50"/>
        <v>-75.099999999999966</v>
      </c>
      <c r="L47" s="59">
        <v>0</v>
      </c>
      <c r="M47" s="59">
        <v>-32.479999999999997</v>
      </c>
      <c r="N47" s="59">
        <v>-977.28</v>
      </c>
      <c r="O47" s="59">
        <v>935.5</v>
      </c>
      <c r="P47" s="59">
        <v>-0.84</v>
      </c>
      <c r="Q47" s="59">
        <v>0</v>
      </c>
      <c r="R47" s="59">
        <v>-182.06</v>
      </c>
      <c r="S47" s="59">
        <v>182.06</v>
      </c>
      <c r="T47" s="58">
        <f t="shared" si="48"/>
        <v>-12424.630000000003</v>
      </c>
      <c r="U47" s="58">
        <f t="shared" si="42"/>
        <v>-8143.02</v>
      </c>
      <c r="V47" s="58">
        <f t="shared" si="43"/>
        <v>402.0200000000001</v>
      </c>
      <c r="W47" s="58">
        <f t="shared" si="51"/>
        <v>-22637.66</v>
      </c>
      <c r="X47" s="58">
        <f t="shared" si="44"/>
        <v>22100.25</v>
      </c>
      <c r="Y47" s="58">
        <f t="shared" si="45"/>
        <v>-8361.1</v>
      </c>
      <c r="Z47" s="58">
        <f t="shared" si="46"/>
        <v>-850.81000000000006</v>
      </c>
      <c r="AA47" s="58">
        <f t="shared" si="52"/>
        <v>-2767.87</v>
      </c>
      <c r="AB47" s="58">
        <f t="shared" si="52"/>
        <v>7491.83</v>
      </c>
      <c r="AC47" s="58">
        <f t="shared" si="53"/>
        <v>341.73</v>
      </c>
      <c r="AD47" s="58">
        <f t="shared" si="47"/>
        <v>-11206.300000000001</v>
      </c>
      <c r="AE47" s="59">
        <v>-6644.16</v>
      </c>
      <c r="AF47" s="59">
        <v>-239.82</v>
      </c>
      <c r="AG47" s="59">
        <v>-326.89999999999998</v>
      </c>
      <c r="AH47" s="59">
        <v>-7879.44</v>
      </c>
      <c r="AI47" s="59">
        <v>-839.94</v>
      </c>
      <c r="AJ47" s="59">
        <v>-2767.87</v>
      </c>
      <c r="AK47" s="59">
        <v>7491.83</v>
      </c>
      <c r="AL47" s="58">
        <f t="shared" si="14"/>
        <v>-251.14999999999998</v>
      </c>
      <c r="AM47" s="59">
        <v>-71.13</v>
      </c>
      <c r="AN47" s="59">
        <v>-12.85</v>
      </c>
      <c r="AO47" s="59">
        <v>-16.37</v>
      </c>
      <c r="AP47" s="59">
        <v>-481.66</v>
      </c>
      <c r="AQ47" s="59">
        <v>-10.87</v>
      </c>
      <c r="AR47" s="59">
        <v>341.73</v>
      </c>
      <c r="AS47" s="58">
        <f t="shared" si="22"/>
        <v>-127.65999999999985</v>
      </c>
      <c r="AT47" s="59">
        <v>-22637.66</v>
      </c>
      <c r="AU47" s="59">
        <v>22510</v>
      </c>
      <c r="AV47" s="58">
        <f t="shared" si="23"/>
        <v>-91.799999999999955</v>
      </c>
      <c r="AW47" s="59">
        <v>-1120.25</v>
      </c>
      <c r="AX47" s="59">
        <v>1028.45</v>
      </c>
      <c r="AY47" s="59">
        <v>0</v>
      </c>
      <c r="AZ47" s="58">
        <f t="shared" si="24"/>
        <v>-743.54</v>
      </c>
      <c r="BA47" s="59">
        <v>-244.51</v>
      </c>
      <c r="BB47" s="59">
        <v>-432.55</v>
      </c>
      <c r="BC47" s="59">
        <v>-66.48</v>
      </c>
      <c r="BD47" s="58">
        <f t="shared" si="25"/>
        <v>-4.18</v>
      </c>
      <c r="BE47" s="59">
        <v>-62.97</v>
      </c>
      <c r="BF47" s="59">
        <v>58.79</v>
      </c>
      <c r="BG47" s="59">
        <v>0</v>
      </c>
      <c r="BH47" s="58">
        <f t="shared" si="15"/>
        <v>0</v>
      </c>
      <c r="BI47" s="59">
        <v>0</v>
      </c>
      <c r="BJ47" s="59">
        <v>0</v>
      </c>
      <c r="BK47" s="58">
        <f t="shared" si="26"/>
        <v>3675.0599999999995</v>
      </c>
      <c r="BL47" s="59">
        <v>0.71</v>
      </c>
      <c r="BM47" s="59">
        <v>213.59</v>
      </c>
      <c r="BN47" s="59">
        <v>0</v>
      </c>
      <c r="BO47" s="59">
        <v>1393.83</v>
      </c>
      <c r="BP47" s="59">
        <v>1521.19</v>
      </c>
      <c r="BQ47" s="59">
        <v>0</v>
      </c>
      <c r="BR47" s="59">
        <v>527.85</v>
      </c>
      <c r="BS47" s="59">
        <v>17.89</v>
      </c>
      <c r="BT47" s="58">
        <f t="shared" si="27"/>
        <v>780.25</v>
      </c>
      <c r="BU47" s="59">
        <v>0</v>
      </c>
      <c r="BV47" s="59">
        <v>60.24</v>
      </c>
      <c r="BW47" s="59">
        <v>0</v>
      </c>
      <c r="BX47" s="59">
        <v>0</v>
      </c>
      <c r="BY47" s="59">
        <v>128.74</v>
      </c>
      <c r="BZ47" s="59">
        <v>0</v>
      </c>
      <c r="CA47" s="59">
        <v>591.27</v>
      </c>
      <c r="CB47" s="58">
        <f>'Quarter final consumption'!B47</f>
        <v>37275.679999999993</v>
      </c>
      <c r="CC47" s="58">
        <f>'Quarter final consumption'!C47</f>
        <v>447.1</v>
      </c>
      <c r="CD47" s="58">
        <f>'Quarter final consumption'!D47</f>
        <v>247.16000000000003</v>
      </c>
      <c r="CE47" s="58">
        <f>'Quarter final consumption'!E47</f>
        <v>18840.25</v>
      </c>
      <c r="CF47" s="58">
        <f>'Quarter final consumption'!F47</f>
        <v>9929.7200000000012</v>
      </c>
      <c r="CG47" s="58">
        <f>'Quarter final consumption'!G47</f>
        <v>595.26</v>
      </c>
      <c r="CH47" s="58">
        <f>'Quarter final consumption'!H47</f>
        <v>6888.6299999999992</v>
      </c>
      <c r="CI47" s="71">
        <f>'Quarter final consumption'!I47</f>
        <v>327.56</v>
      </c>
    </row>
    <row r="48" spans="1:87" s="21" customFormat="1" ht="15.5" x14ac:dyDescent="0.35">
      <c r="A48" s="50" t="s">
        <v>213</v>
      </c>
      <c r="B48" s="58">
        <f t="shared" si="33"/>
        <v>48698.23</v>
      </c>
      <c r="C48" s="58">
        <f t="shared" si="34"/>
        <v>7405.82</v>
      </c>
      <c r="D48" s="58">
        <f t="shared" si="35"/>
        <v>151.39999999999992</v>
      </c>
      <c r="E48" s="58">
        <f t="shared" si="36"/>
        <v>23495.11</v>
      </c>
      <c r="F48" s="58">
        <f t="shared" si="37"/>
        <v>-3317.1399999999958</v>
      </c>
      <c r="G48" s="58">
        <f t="shared" si="38"/>
        <v>16220.249999999998</v>
      </c>
      <c r="H48" s="58">
        <f t="shared" si="39"/>
        <v>1509.8899999999999</v>
      </c>
      <c r="I48" s="58">
        <f t="shared" si="40"/>
        <v>2914.47</v>
      </c>
      <c r="J48" s="58">
        <f t="shared" si="41"/>
        <v>318.42999999999938</v>
      </c>
      <c r="K48" s="58">
        <f t="shared" si="50"/>
        <v>-57.63999999999993</v>
      </c>
      <c r="L48" s="59">
        <v>0</v>
      </c>
      <c r="M48" s="59">
        <v>-32.03</v>
      </c>
      <c r="N48" s="59">
        <v>-685.74</v>
      </c>
      <c r="O48" s="59">
        <v>662.7</v>
      </c>
      <c r="P48" s="59">
        <v>-2.57</v>
      </c>
      <c r="Q48" s="59">
        <v>0</v>
      </c>
      <c r="R48" s="59">
        <v>-175.52</v>
      </c>
      <c r="S48" s="59">
        <v>175.52</v>
      </c>
      <c r="T48" s="58">
        <f t="shared" si="48"/>
        <v>-11842.58</v>
      </c>
      <c r="U48" s="58">
        <f t="shared" si="42"/>
        <v>-6996.13</v>
      </c>
      <c r="V48" s="58">
        <f t="shared" si="43"/>
        <v>427.83000000000004</v>
      </c>
      <c r="W48" s="58">
        <f t="shared" si="51"/>
        <v>-22809.37</v>
      </c>
      <c r="X48" s="58">
        <f t="shared" si="44"/>
        <v>22420.44</v>
      </c>
      <c r="Y48" s="58">
        <f t="shared" si="45"/>
        <v>-8826.81</v>
      </c>
      <c r="Z48" s="58">
        <f t="shared" si="46"/>
        <v>-861.05</v>
      </c>
      <c r="AA48" s="58">
        <f t="shared" si="52"/>
        <v>-2738.95</v>
      </c>
      <c r="AB48" s="58">
        <f t="shared" si="52"/>
        <v>7230.84</v>
      </c>
      <c r="AC48" s="58">
        <f t="shared" si="53"/>
        <v>310.62</v>
      </c>
      <c r="AD48" s="58">
        <f t="shared" si="47"/>
        <v>-10913.470000000001</v>
      </c>
      <c r="AE48" s="59">
        <v>-5579.87</v>
      </c>
      <c r="AF48" s="59">
        <v>-197.92</v>
      </c>
      <c r="AG48" s="59">
        <v>-383.68</v>
      </c>
      <c r="AH48" s="59">
        <v>-8392.64</v>
      </c>
      <c r="AI48" s="59">
        <v>-851.25</v>
      </c>
      <c r="AJ48" s="59">
        <v>-2738.95</v>
      </c>
      <c r="AK48" s="59">
        <v>7230.84</v>
      </c>
      <c r="AL48" s="58">
        <f t="shared" si="14"/>
        <v>-228.28999999999996</v>
      </c>
      <c r="AM48" s="59">
        <v>-65.75</v>
      </c>
      <c r="AN48" s="59">
        <v>-12.85</v>
      </c>
      <c r="AO48" s="59">
        <v>-16.34</v>
      </c>
      <c r="AP48" s="59">
        <v>-434.17</v>
      </c>
      <c r="AQ48" s="59">
        <v>-9.8000000000000007</v>
      </c>
      <c r="AR48" s="59">
        <v>310.62</v>
      </c>
      <c r="AS48" s="58">
        <f t="shared" si="22"/>
        <v>65.920000000001892</v>
      </c>
      <c r="AT48" s="59">
        <v>-22809.37</v>
      </c>
      <c r="AU48" s="59">
        <v>22875.29</v>
      </c>
      <c r="AV48" s="58">
        <f t="shared" si="23"/>
        <v>-46</v>
      </c>
      <c r="AW48" s="59">
        <v>-1062.2</v>
      </c>
      <c r="AX48" s="59">
        <v>1016.2</v>
      </c>
      <c r="AY48" s="59">
        <v>0</v>
      </c>
      <c r="AZ48" s="58">
        <f t="shared" si="24"/>
        <v>-717.85</v>
      </c>
      <c r="BA48" s="59">
        <v>-230.14</v>
      </c>
      <c r="BB48" s="59">
        <v>-432.88</v>
      </c>
      <c r="BC48" s="59">
        <v>-54.83</v>
      </c>
      <c r="BD48" s="58">
        <f t="shared" si="25"/>
        <v>-2.8900000000000006</v>
      </c>
      <c r="BE48" s="59">
        <v>-58.17</v>
      </c>
      <c r="BF48" s="59">
        <v>55.28</v>
      </c>
      <c r="BG48" s="59">
        <v>0</v>
      </c>
      <c r="BH48" s="58">
        <f t="shared" si="15"/>
        <v>0</v>
      </c>
      <c r="BI48" s="59">
        <v>0</v>
      </c>
      <c r="BJ48" s="59">
        <v>0</v>
      </c>
      <c r="BK48" s="58">
        <f t="shared" si="26"/>
        <v>3442.18</v>
      </c>
      <c r="BL48" s="59">
        <v>0</v>
      </c>
      <c r="BM48" s="59">
        <v>215.06</v>
      </c>
      <c r="BN48" s="59">
        <v>0</v>
      </c>
      <c r="BO48" s="59">
        <v>1391.86</v>
      </c>
      <c r="BP48" s="59">
        <v>1296.99</v>
      </c>
      <c r="BQ48" s="59">
        <v>0</v>
      </c>
      <c r="BR48" s="59">
        <v>520.38</v>
      </c>
      <c r="BS48" s="59">
        <v>17.89</v>
      </c>
      <c r="BT48" s="58">
        <f t="shared" si="27"/>
        <v>764.82</v>
      </c>
      <c r="BU48" s="59">
        <v>0</v>
      </c>
      <c r="BV48" s="59">
        <v>86.61</v>
      </c>
      <c r="BW48" s="59">
        <v>0</v>
      </c>
      <c r="BX48" s="59">
        <v>0</v>
      </c>
      <c r="BY48" s="59">
        <v>109.74</v>
      </c>
      <c r="BZ48" s="59">
        <v>0</v>
      </c>
      <c r="CA48" s="59">
        <v>568.47</v>
      </c>
      <c r="CB48" s="58">
        <f>'Quarter final consumption'!B48</f>
        <v>32590.22</v>
      </c>
      <c r="CC48" s="58">
        <f>'Quarter final consumption'!C48</f>
        <v>409.69000000000005</v>
      </c>
      <c r="CD48" s="58">
        <f>'Quarter final consumption'!D48</f>
        <v>245.53</v>
      </c>
      <c r="CE48" s="58">
        <f>'Quarter final consumption'!E48</f>
        <v>18374.140000000003</v>
      </c>
      <c r="CF48" s="58">
        <f>'Quarter final consumption'!F48</f>
        <v>5984.1399999999994</v>
      </c>
      <c r="CG48" s="58">
        <f>'Quarter final consumption'!G48</f>
        <v>648.84</v>
      </c>
      <c r="CH48" s="58">
        <f>'Quarter final consumption'!H48</f>
        <v>6635.94</v>
      </c>
      <c r="CI48" s="71">
        <f>'Quarter final consumption'!I48</f>
        <v>291.94000000000005</v>
      </c>
    </row>
    <row r="49" spans="1:87" s="21" customFormat="1" ht="15.5" x14ac:dyDescent="0.35">
      <c r="A49" s="50" t="s">
        <v>214</v>
      </c>
      <c r="B49" s="58">
        <f t="shared" si="33"/>
        <v>62816.830000000009</v>
      </c>
      <c r="C49" s="58">
        <f t="shared" si="34"/>
        <v>10920.330000000002</v>
      </c>
      <c r="D49" s="58">
        <f t="shared" si="35"/>
        <v>44.930000000000035</v>
      </c>
      <c r="E49" s="58">
        <f t="shared" si="36"/>
        <v>22366.960000000003</v>
      </c>
      <c r="F49" s="58">
        <f t="shared" si="37"/>
        <v>-2090.1499999999978</v>
      </c>
      <c r="G49" s="58">
        <f t="shared" si="38"/>
        <v>26358.45</v>
      </c>
      <c r="H49" s="58">
        <f t="shared" si="39"/>
        <v>1661.8600000000001</v>
      </c>
      <c r="I49" s="58">
        <f t="shared" si="40"/>
        <v>3457.54</v>
      </c>
      <c r="J49" s="58">
        <f t="shared" si="41"/>
        <v>96.910000000000764</v>
      </c>
      <c r="K49" s="58">
        <f t="shared" si="50"/>
        <v>22.899999999999977</v>
      </c>
      <c r="L49" s="59">
        <v>0</v>
      </c>
      <c r="M49" s="59">
        <v>-28.4</v>
      </c>
      <c r="N49" s="59">
        <v>-648.72</v>
      </c>
      <c r="O49" s="59">
        <v>701.25</v>
      </c>
      <c r="P49" s="59">
        <v>-1.23</v>
      </c>
      <c r="Q49" s="59">
        <v>0</v>
      </c>
      <c r="R49" s="59">
        <v>-337.18</v>
      </c>
      <c r="S49" s="59">
        <v>337.18</v>
      </c>
      <c r="T49" s="58">
        <f t="shared" si="48"/>
        <v>-14004.250000000004</v>
      </c>
      <c r="U49" s="58">
        <f t="shared" si="42"/>
        <v>-10441.540000000001</v>
      </c>
      <c r="V49" s="58">
        <f t="shared" si="43"/>
        <v>468.93999999999994</v>
      </c>
      <c r="W49" s="58">
        <f t="shared" si="51"/>
        <v>-21718.240000000002</v>
      </c>
      <c r="X49" s="58">
        <f t="shared" si="44"/>
        <v>21026.45</v>
      </c>
      <c r="Y49" s="58">
        <f t="shared" si="45"/>
        <v>-8166.6</v>
      </c>
      <c r="Z49" s="58">
        <f t="shared" si="46"/>
        <v>-964.85</v>
      </c>
      <c r="AA49" s="58">
        <f t="shared" si="52"/>
        <v>-3120.36</v>
      </c>
      <c r="AB49" s="58">
        <f t="shared" si="52"/>
        <v>8485.92</v>
      </c>
      <c r="AC49" s="58">
        <f t="shared" si="53"/>
        <v>426.03</v>
      </c>
      <c r="AD49" s="58">
        <f t="shared" si="47"/>
        <v>-12974.840000000002</v>
      </c>
      <c r="AE49" s="59">
        <v>-9107.59</v>
      </c>
      <c r="AF49" s="59">
        <v>-175.1</v>
      </c>
      <c r="AG49" s="59">
        <v>-550.32000000000005</v>
      </c>
      <c r="AH49" s="59">
        <v>-7556.3</v>
      </c>
      <c r="AI49" s="59">
        <v>-951.09</v>
      </c>
      <c r="AJ49" s="59">
        <v>-3120.36</v>
      </c>
      <c r="AK49" s="59">
        <v>8485.92</v>
      </c>
      <c r="AL49" s="58">
        <f t="shared" si="14"/>
        <v>-313.03999999999996</v>
      </c>
      <c r="AM49" s="59">
        <v>-85.7</v>
      </c>
      <c r="AN49" s="59">
        <v>-12.85</v>
      </c>
      <c r="AO49" s="59">
        <v>-16.46</v>
      </c>
      <c r="AP49" s="59">
        <v>-610.29999999999995</v>
      </c>
      <c r="AQ49" s="59">
        <v>-13.76</v>
      </c>
      <c r="AR49" s="59">
        <v>426.03</v>
      </c>
      <c r="AS49" s="58">
        <f t="shared" si="22"/>
        <v>-90.710000000002765</v>
      </c>
      <c r="AT49" s="59">
        <v>-21718.240000000002</v>
      </c>
      <c r="AU49" s="59">
        <v>21627.53</v>
      </c>
      <c r="AV49" s="58">
        <f t="shared" si="23"/>
        <v>-34.110000000000127</v>
      </c>
      <c r="AW49" s="59">
        <v>-1031.9000000000001</v>
      </c>
      <c r="AX49" s="59">
        <v>997.79</v>
      </c>
      <c r="AY49" s="59">
        <v>0</v>
      </c>
      <c r="AZ49" s="58">
        <f t="shared" si="24"/>
        <v>-588.79</v>
      </c>
      <c r="BA49" s="59">
        <v>-152.75</v>
      </c>
      <c r="BB49" s="59">
        <v>-401.74</v>
      </c>
      <c r="BC49" s="59">
        <v>-34.299999999999997</v>
      </c>
      <c r="BD49" s="58">
        <f t="shared" si="25"/>
        <v>-2.759999999999998</v>
      </c>
      <c r="BE49" s="59">
        <v>-63.6</v>
      </c>
      <c r="BF49" s="59">
        <v>60.84</v>
      </c>
      <c r="BG49" s="59">
        <v>0</v>
      </c>
      <c r="BH49" s="58">
        <f t="shared" si="15"/>
        <v>0</v>
      </c>
      <c r="BI49" s="59">
        <v>0</v>
      </c>
      <c r="BJ49" s="59">
        <v>0</v>
      </c>
      <c r="BK49" s="58">
        <f t="shared" si="26"/>
        <v>3793.89</v>
      </c>
      <c r="BL49" s="59">
        <v>1.42</v>
      </c>
      <c r="BM49" s="59">
        <v>198.67</v>
      </c>
      <c r="BN49" s="59">
        <v>0</v>
      </c>
      <c r="BO49" s="59">
        <v>1380.29</v>
      </c>
      <c r="BP49" s="59">
        <v>1598.41</v>
      </c>
      <c r="BQ49" s="59">
        <v>0</v>
      </c>
      <c r="BR49" s="59">
        <v>597.21</v>
      </c>
      <c r="BS49" s="59">
        <v>17.89</v>
      </c>
      <c r="BT49" s="58">
        <f t="shared" si="27"/>
        <v>799.88</v>
      </c>
      <c r="BU49" s="59">
        <v>0</v>
      </c>
      <c r="BV49" s="59">
        <v>50.13</v>
      </c>
      <c r="BW49" s="59">
        <v>0</v>
      </c>
      <c r="BX49" s="59">
        <v>0</v>
      </c>
      <c r="BY49" s="59">
        <v>161.53</v>
      </c>
      <c r="BZ49" s="59">
        <v>0</v>
      </c>
      <c r="CA49" s="59">
        <v>588.22</v>
      </c>
      <c r="CB49" s="58">
        <f>'Quarter final consumption'!B49</f>
        <v>44241.750000000007</v>
      </c>
      <c r="CC49" s="58">
        <f>'Quarter final consumption'!C49</f>
        <v>477.37</v>
      </c>
      <c r="CD49" s="58">
        <f>'Quarter final consumption'!D49</f>
        <v>236.67000000000002</v>
      </c>
      <c r="CE49" s="58">
        <f>'Quarter final consumption'!E49</f>
        <v>18257.260000000002</v>
      </c>
      <c r="CF49" s="58">
        <f>'Quarter final consumption'!F49</f>
        <v>16430.68</v>
      </c>
      <c r="CG49" s="58">
        <f>'Quarter final consumption'!G49</f>
        <v>697.01</v>
      </c>
      <c r="CH49" s="58">
        <f>'Quarter final consumption'!H49</f>
        <v>7734.58</v>
      </c>
      <c r="CI49" s="71">
        <f>'Quarter final consumption'!I49</f>
        <v>408.18</v>
      </c>
    </row>
    <row r="50" spans="1:87" s="21" customFormat="1" ht="15.5" x14ac:dyDescent="0.35">
      <c r="A50" s="50" t="s">
        <v>215</v>
      </c>
      <c r="B50" s="58">
        <f t="shared" si="33"/>
        <v>65554.720000000001</v>
      </c>
      <c r="C50" s="58">
        <f t="shared" si="34"/>
        <v>11096.9</v>
      </c>
      <c r="D50" s="58">
        <f t="shared" si="35"/>
        <v>-20.669999999999987</v>
      </c>
      <c r="E50" s="58">
        <f t="shared" si="36"/>
        <v>22284.13</v>
      </c>
      <c r="F50" s="58">
        <f t="shared" si="37"/>
        <v>-2095.9300000000039</v>
      </c>
      <c r="G50" s="58">
        <f t="shared" si="38"/>
        <v>28332.400000000001</v>
      </c>
      <c r="H50" s="58">
        <f t="shared" si="39"/>
        <v>1852.71</v>
      </c>
      <c r="I50" s="58">
        <f t="shared" si="40"/>
        <v>4095.0099999999998</v>
      </c>
      <c r="J50" s="58">
        <f t="shared" si="41"/>
        <v>10.169999999998254</v>
      </c>
      <c r="K50" s="58">
        <f t="shared" si="50"/>
        <v>64.430000000000064</v>
      </c>
      <c r="L50" s="59">
        <v>0</v>
      </c>
      <c r="M50" s="59">
        <v>3.23</v>
      </c>
      <c r="N50" s="59">
        <v>-744.39</v>
      </c>
      <c r="O50" s="59">
        <v>808.82</v>
      </c>
      <c r="P50" s="59">
        <v>-3.23</v>
      </c>
      <c r="Q50" s="59">
        <v>0</v>
      </c>
      <c r="R50" s="59">
        <v>-358.37</v>
      </c>
      <c r="S50" s="59">
        <v>358.37</v>
      </c>
      <c r="T50" s="58">
        <f t="shared" si="48"/>
        <v>-14457.460000000001</v>
      </c>
      <c r="U50" s="58">
        <f t="shared" si="42"/>
        <v>-10600.01</v>
      </c>
      <c r="V50" s="58">
        <f t="shared" si="43"/>
        <v>423.13999999999993</v>
      </c>
      <c r="W50" s="58">
        <f t="shared" si="51"/>
        <v>-21539.74</v>
      </c>
      <c r="X50" s="58">
        <f t="shared" si="44"/>
        <v>20710.39</v>
      </c>
      <c r="Y50" s="58">
        <f t="shared" si="45"/>
        <v>-7740.47</v>
      </c>
      <c r="Z50" s="58">
        <f t="shared" si="46"/>
        <v>-1036.9100000000001</v>
      </c>
      <c r="AA50" s="58">
        <f t="shared" si="52"/>
        <v>-3736.64</v>
      </c>
      <c r="AB50" s="58">
        <f t="shared" si="52"/>
        <v>8647.1200000000008</v>
      </c>
      <c r="AC50" s="58">
        <f t="shared" si="53"/>
        <v>415.66</v>
      </c>
      <c r="AD50" s="58">
        <f t="shared" si="47"/>
        <v>-13281.739999999996</v>
      </c>
      <c r="AE50" s="59">
        <v>-9398.27</v>
      </c>
      <c r="AF50" s="59">
        <v>-159.97999999999999</v>
      </c>
      <c r="AG50" s="59">
        <v>-519.79</v>
      </c>
      <c r="AH50" s="59">
        <v>-7106.42</v>
      </c>
      <c r="AI50" s="59">
        <v>-1007.76</v>
      </c>
      <c r="AJ50" s="59">
        <v>-3736.64</v>
      </c>
      <c r="AK50" s="59">
        <v>8647.1200000000008</v>
      </c>
      <c r="AL50" s="58">
        <f t="shared" si="14"/>
        <v>-366.43999999999988</v>
      </c>
      <c r="AM50" s="59">
        <v>-89.98</v>
      </c>
      <c r="AN50" s="59">
        <v>-12.85</v>
      </c>
      <c r="AO50" s="59">
        <v>-16.07</v>
      </c>
      <c r="AP50" s="59">
        <v>-634.04999999999995</v>
      </c>
      <c r="AQ50" s="59">
        <v>-29.15</v>
      </c>
      <c r="AR50" s="59">
        <v>415.66</v>
      </c>
      <c r="AS50" s="58">
        <f t="shared" si="22"/>
        <v>-271.85000000000218</v>
      </c>
      <c r="AT50" s="59">
        <v>-21539.74</v>
      </c>
      <c r="AU50" s="59">
        <v>21267.89</v>
      </c>
      <c r="AV50" s="58">
        <f t="shared" si="23"/>
        <v>-101.75</v>
      </c>
      <c r="AW50" s="59">
        <v>-950.65</v>
      </c>
      <c r="AX50" s="59">
        <v>848.9</v>
      </c>
      <c r="AY50" s="59">
        <v>0</v>
      </c>
      <c r="AZ50" s="58">
        <f t="shared" si="24"/>
        <v>-429.43</v>
      </c>
      <c r="BA50" s="59">
        <v>-116.2</v>
      </c>
      <c r="BB50" s="59">
        <v>-312.19</v>
      </c>
      <c r="BC50" s="59">
        <v>-1.04</v>
      </c>
      <c r="BD50" s="58">
        <f t="shared" si="25"/>
        <v>-6.25</v>
      </c>
      <c r="BE50" s="59">
        <v>-44.91</v>
      </c>
      <c r="BF50" s="59">
        <v>59.26</v>
      </c>
      <c r="BG50" s="59">
        <v>-20.6</v>
      </c>
      <c r="BH50" s="58">
        <f t="shared" si="15"/>
        <v>0</v>
      </c>
      <c r="BI50" s="59">
        <v>0</v>
      </c>
      <c r="BJ50" s="59">
        <v>0</v>
      </c>
      <c r="BK50" s="58">
        <f t="shared" si="26"/>
        <v>3777.4600000000005</v>
      </c>
      <c r="BL50" s="59">
        <v>0.59</v>
      </c>
      <c r="BM50" s="59">
        <v>164.22</v>
      </c>
      <c r="BN50" s="59">
        <v>0</v>
      </c>
      <c r="BO50" s="59">
        <v>1348.17</v>
      </c>
      <c r="BP50" s="59">
        <v>1609.91</v>
      </c>
      <c r="BQ50" s="59">
        <v>0</v>
      </c>
      <c r="BR50" s="59">
        <v>630.97</v>
      </c>
      <c r="BS50" s="59">
        <v>23.6</v>
      </c>
      <c r="BT50" s="58">
        <f t="shared" si="27"/>
        <v>948.02</v>
      </c>
      <c r="BU50" s="59">
        <v>0</v>
      </c>
      <c r="BV50" s="59">
        <v>31.14</v>
      </c>
      <c r="BW50" s="59">
        <v>0</v>
      </c>
      <c r="BX50" s="59">
        <v>0</v>
      </c>
      <c r="BY50" s="59">
        <v>236.63</v>
      </c>
      <c r="BZ50" s="59">
        <v>0</v>
      </c>
      <c r="CA50" s="59">
        <v>680.25</v>
      </c>
      <c r="CB50" s="58">
        <f>'Quarter final consumption'!B50</f>
        <v>46424.35</v>
      </c>
      <c r="CC50" s="58">
        <f>'Quarter final consumption'!C50</f>
        <v>496.29999999999995</v>
      </c>
      <c r="CD50" s="58">
        <f>'Quarter final consumption'!D50</f>
        <v>210.34</v>
      </c>
      <c r="CE50" s="58">
        <f>'Quarter final consumption'!E50</f>
        <v>18075.109999999997</v>
      </c>
      <c r="CF50" s="58">
        <f>'Quarter final consumption'!F50</f>
        <v>18742.16</v>
      </c>
      <c r="CG50" s="58">
        <f>'Quarter final consumption'!G50</f>
        <v>815.8</v>
      </c>
      <c r="CH50" s="58">
        <f>'Quarter final consumption'!H50</f>
        <v>7704.4400000000005</v>
      </c>
      <c r="CI50" s="71">
        <f>'Quarter final consumption'!I50</f>
        <v>380.2</v>
      </c>
    </row>
    <row r="51" spans="1:87" s="21" customFormat="1" ht="15.5" x14ac:dyDescent="0.35">
      <c r="A51" s="50" t="s">
        <v>216</v>
      </c>
      <c r="B51" s="58">
        <f t="shared" si="33"/>
        <v>49716.9</v>
      </c>
      <c r="C51" s="58">
        <f t="shared" si="34"/>
        <v>6499.0699999999988</v>
      </c>
      <c r="D51" s="58">
        <f t="shared" si="35"/>
        <v>-34.450000000000017</v>
      </c>
      <c r="E51" s="58">
        <f t="shared" si="36"/>
        <v>20990.82</v>
      </c>
      <c r="F51" s="58">
        <f t="shared" si="37"/>
        <v>-993</v>
      </c>
      <c r="G51" s="58">
        <f t="shared" si="38"/>
        <v>17241.55</v>
      </c>
      <c r="H51" s="58">
        <f t="shared" si="39"/>
        <v>1509.6100000000001</v>
      </c>
      <c r="I51" s="58">
        <f t="shared" si="40"/>
        <v>4241.54</v>
      </c>
      <c r="J51" s="58">
        <f t="shared" si="41"/>
        <v>261.75999999999931</v>
      </c>
      <c r="K51" s="58">
        <f t="shared" si="50"/>
        <v>58.03</v>
      </c>
      <c r="L51" s="59">
        <v>0</v>
      </c>
      <c r="M51" s="59">
        <v>10.6</v>
      </c>
      <c r="N51" s="59">
        <v>-966.27</v>
      </c>
      <c r="O51" s="59">
        <v>1024.3</v>
      </c>
      <c r="P51" s="59">
        <v>-10.6</v>
      </c>
      <c r="Q51" s="59">
        <v>0</v>
      </c>
      <c r="R51" s="59">
        <v>-249.54</v>
      </c>
      <c r="S51" s="59">
        <v>249.54</v>
      </c>
      <c r="T51" s="58">
        <f t="shared" si="48"/>
        <v>-11484.379999999997</v>
      </c>
      <c r="U51" s="58">
        <f t="shared" si="42"/>
        <v>-6083.2299999999987</v>
      </c>
      <c r="V51" s="58">
        <f t="shared" si="43"/>
        <v>389.63</v>
      </c>
      <c r="W51" s="58">
        <f t="shared" si="51"/>
        <v>-20024.55</v>
      </c>
      <c r="X51" s="58">
        <f t="shared" si="44"/>
        <v>19482.07</v>
      </c>
      <c r="Y51" s="58">
        <f t="shared" si="45"/>
        <v>-7609.09</v>
      </c>
      <c r="Z51" s="58">
        <f t="shared" si="46"/>
        <v>-934.93000000000006</v>
      </c>
      <c r="AA51" s="58">
        <f t="shared" si="52"/>
        <v>-3992</v>
      </c>
      <c r="AB51" s="58">
        <f t="shared" si="52"/>
        <v>7006.54</v>
      </c>
      <c r="AC51" s="58">
        <f t="shared" si="53"/>
        <v>281.18</v>
      </c>
      <c r="AD51" s="58">
        <f t="shared" si="47"/>
        <v>-10466.369999999999</v>
      </c>
      <c r="AE51" s="59">
        <v>-4865.32</v>
      </c>
      <c r="AF51" s="59">
        <v>-190.92</v>
      </c>
      <c r="AG51" s="59">
        <v>-314.58999999999997</v>
      </c>
      <c r="AH51" s="59">
        <v>-7190.34</v>
      </c>
      <c r="AI51" s="59">
        <v>-919.74</v>
      </c>
      <c r="AJ51" s="59">
        <v>-3992</v>
      </c>
      <c r="AK51" s="59">
        <v>7006.54</v>
      </c>
      <c r="AL51" s="58">
        <f t="shared" si="14"/>
        <v>-247.82999999999998</v>
      </c>
      <c r="AM51" s="59">
        <v>-66.150000000000006</v>
      </c>
      <c r="AN51" s="59">
        <v>-12.85</v>
      </c>
      <c r="AO51" s="59">
        <v>-16.07</v>
      </c>
      <c r="AP51" s="59">
        <v>-418.75</v>
      </c>
      <c r="AQ51" s="59">
        <v>-15.19</v>
      </c>
      <c r="AR51" s="59">
        <v>281.18</v>
      </c>
      <c r="AS51" s="58">
        <f t="shared" si="22"/>
        <v>-190.95999999999913</v>
      </c>
      <c r="AT51" s="59">
        <v>-20024.55</v>
      </c>
      <c r="AU51" s="59">
        <v>19833.59</v>
      </c>
      <c r="AV51" s="58">
        <f t="shared" si="23"/>
        <v>-103.98000000000002</v>
      </c>
      <c r="AW51" s="59">
        <v>-959.87</v>
      </c>
      <c r="AX51" s="59">
        <v>855.89</v>
      </c>
      <c r="AY51" s="59">
        <v>0</v>
      </c>
      <c r="AZ51" s="58">
        <f t="shared" si="24"/>
        <v>-459.36</v>
      </c>
      <c r="BA51" s="59">
        <v>-145.94999999999999</v>
      </c>
      <c r="BB51" s="59">
        <v>-312.92</v>
      </c>
      <c r="BC51" s="59">
        <v>-0.49</v>
      </c>
      <c r="BD51" s="58">
        <f t="shared" si="25"/>
        <v>-15.879999999999999</v>
      </c>
      <c r="BE51" s="59">
        <v>-45.94</v>
      </c>
      <c r="BF51" s="59">
        <v>50.43</v>
      </c>
      <c r="BG51" s="59">
        <v>-20.37</v>
      </c>
      <c r="BH51" s="58">
        <f t="shared" si="15"/>
        <v>0</v>
      </c>
      <c r="BI51" s="59">
        <v>0</v>
      </c>
      <c r="BJ51" s="59">
        <v>0</v>
      </c>
      <c r="BK51" s="58">
        <f t="shared" si="26"/>
        <v>3477.4199999999996</v>
      </c>
      <c r="BL51" s="59">
        <v>0.7</v>
      </c>
      <c r="BM51" s="59">
        <v>168.64</v>
      </c>
      <c r="BN51" s="59">
        <v>0</v>
      </c>
      <c r="BO51" s="59">
        <v>1209.78</v>
      </c>
      <c r="BP51" s="59">
        <v>1548.73</v>
      </c>
      <c r="BQ51" s="59">
        <v>0</v>
      </c>
      <c r="BR51" s="59">
        <v>525.97</v>
      </c>
      <c r="BS51" s="59">
        <v>23.6</v>
      </c>
      <c r="BT51" s="58">
        <f t="shared" si="27"/>
        <v>796.9</v>
      </c>
      <c r="BU51" s="59">
        <v>0</v>
      </c>
      <c r="BV51" s="59">
        <v>7.11</v>
      </c>
      <c r="BW51" s="59">
        <v>0</v>
      </c>
      <c r="BX51" s="59">
        <v>0</v>
      </c>
      <c r="BY51" s="59">
        <v>179.01</v>
      </c>
      <c r="BZ51" s="59">
        <v>0</v>
      </c>
      <c r="CA51" s="59">
        <v>610.78</v>
      </c>
      <c r="CB51" s="58">
        <f>'Quarter final consumption'!B51</f>
        <v>34013.479999999996</v>
      </c>
      <c r="CC51" s="58">
        <f>'Quarter final consumption'!C51</f>
        <v>415.14</v>
      </c>
      <c r="CD51" s="58">
        <f>'Quarter final consumption'!D51</f>
        <v>190.03</v>
      </c>
      <c r="CE51" s="58">
        <f>'Quarter final consumption'!E51</f>
        <v>18303.59</v>
      </c>
      <c r="CF51" s="58">
        <f>'Quarter final consumption'!F51</f>
        <v>7894.12</v>
      </c>
      <c r="CG51" s="58">
        <f>'Quarter final consumption'!G51</f>
        <v>574.67999999999995</v>
      </c>
      <c r="CH51" s="58">
        <f>'Quarter final consumption'!H51</f>
        <v>6381.0899999999992</v>
      </c>
      <c r="CI51" s="71">
        <f>'Quarter final consumption'!I51</f>
        <v>254.82999999999998</v>
      </c>
    </row>
    <row r="52" spans="1:87" ht="15.5" x14ac:dyDescent="0.35">
      <c r="A52" s="50" t="s">
        <v>217</v>
      </c>
      <c r="B52" s="58">
        <f t="shared" si="33"/>
        <v>46159.91</v>
      </c>
      <c r="C52" s="58">
        <f t="shared" si="34"/>
        <v>5577.0999999999995</v>
      </c>
      <c r="D52" s="58">
        <f t="shared" si="35"/>
        <v>0.29999999999995453</v>
      </c>
      <c r="E52" s="58">
        <f t="shared" si="36"/>
        <v>21745.8</v>
      </c>
      <c r="F52" s="58">
        <f t="shared" si="37"/>
        <v>-2047.989999999998</v>
      </c>
      <c r="G52" s="58">
        <f t="shared" si="38"/>
        <v>15201.260000000002</v>
      </c>
      <c r="H52" s="58">
        <f t="shared" si="39"/>
        <v>1434.37</v>
      </c>
      <c r="I52" s="58">
        <f t="shared" si="40"/>
        <v>4187.3899999999994</v>
      </c>
      <c r="J52" s="58">
        <f t="shared" si="41"/>
        <v>61.680000000001201</v>
      </c>
      <c r="K52" s="58">
        <f t="shared" si="50"/>
        <v>39.579999999999899</v>
      </c>
      <c r="L52" s="59">
        <v>0</v>
      </c>
      <c r="M52" s="59">
        <v>7.03</v>
      </c>
      <c r="N52" s="59">
        <v>-751.94</v>
      </c>
      <c r="O52" s="59">
        <v>791.52</v>
      </c>
      <c r="P52" s="59">
        <v>-7.03</v>
      </c>
      <c r="Q52" s="59">
        <v>0</v>
      </c>
      <c r="R52" s="59">
        <v>-279.77</v>
      </c>
      <c r="S52" s="59">
        <v>279.77</v>
      </c>
      <c r="T52" s="58">
        <f t="shared" si="48"/>
        <v>-11067.640000000003</v>
      </c>
      <c r="U52" s="58">
        <f t="shared" si="42"/>
        <v>-5186.5199999999995</v>
      </c>
      <c r="V52" s="58">
        <f t="shared" si="43"/>
        <v>367.97000000000008</v>
      </c>
      <c r="W52" s="58">
        <f t="shared" si="51"/>
        <v>-20993.86</v>
      </c>
      <c r="X52" s="58">
        <f t="shared" si="44"/>
        <v>20590.489999999998</v>
      </c>
      <c r="Y52" s="58">
        <f t="shared" si="45"/>
        <v>-8271.59</v>
      </c>
      <c r="Z52" s="58">
        <f t="shared" si="46"/>
        <v>-921.18999999999994</v>
      </c>
      <c r="AA52" s="58">
        <f t="shared" si="52"/>
        <v>-3907.62</v>
      </c>
      <c r="AB52" s="58">
        <f t="shared" si="52"/>
        <v>7005.29</v>
      </c>
      <c r="AC52" s="58">
        <f t="shared" si="53"/>
        <v>249.39</v>
      </c>
      <c r="AD52" s="58">
        <f t="shared" si="47"/>
        <v>-10216.829999999998</v>
      </c>
      <c r="AE52" s="59">
        <v>-3955.72</v>
      </c>
      <c r="AF52" s="59">
        <v>-207.04</v>
      </c>
      <c r="AG52" s="59">
        <v>-338.71</v>
      </c>
      <c r="AH52" s="59">
        <v>-7903.74</v>
      </c>
      <c r="AI52" s="59">
        <v>-909.29</v>
      </c>
      <c r="AJ52" s="59">
        <v>-3907.62</v>
      </c>
      <c r="AK52" s="59">
        <v>7005.29</v>
      </c>
      <c r="AL52" s="58">
        <f t="shared" si="14"/>
        <v>-220.13</v>
      </c>
      <c r="AM52" s="59">
        <v>-60.52</v>
      </c>
      <c r="AN52" s="59">
        <v>-12.85</v>
      </c>
      <c r="AO52" s="59">
        <v>-16.399999999999999</v>
      </c>
      <c r="AP52" s="59">
        <v>-367.85</v>
      </c>
      <c r="AQ52" s="59">
        <v>-11.9</v>
      </c>
      <c r="AR52" s="59">
        <v>249.39</v>
      </c>
      <c r="AS52" s="58">
        <f t="shared" si="22"/>
        <v>-9.430000000000291</v>
      </c>
      <c r="AT52" s="59">
        <v>-20993.86</v>
      </c>
      <c r="AU52" s="59">
        <v>20984.43</v>
      </c>
      <c r="AV52" s="58">
        <f t="shared" si="23"/>
        <v>-101.63</v>
      </c>
      <c r="AW52" s="59">
        <v>-938.07</v>
      </c>
      <c r="AX52" s="59">
        <v>836.44</v>
      </c>
      <c r="AY52" s="59">
        <v>0</v>
      </c>
      <c r="AZ52" s="58">
        <f t="shared" si="24"/>
        <v>-504.49</v>
      </c>
      <c r="BA52" s="59">
        <v>-190.34</v>
      </c>
      <c r="BB52" s="59">
        <v>-297.27</v>
      </c>
      <c r="BC52" s="59">
        <v>-16.88</v>
      </c>
      <c r="BD52" s="58">
        <f>SUM(BE52:BG52)</f>
        <v>-15.129999999999999</v>
      </c>
      <c r="BE52" s="59">
        <v>-41.87</v>
      </c>
      <c r="BF52" s="59">
        <v>48.69</v>
      </c>
      <c r="BG52" s="59">
        <v>-21.95</v>
      </c>
      <c r="BH52" s="58">
        <f t="shared" si="15"/>
        <v>0</v>
      </c>
      <c r="BI52" s="59">
        <v>0</v>
      </c>
      <c r="BJ52" s="59">
        <v>0</v>
      </c>
      <c r="BK52" s="58">
        <f t="shared" si="26"/>
        <v>3242.04</v>
      </c>
      <c r="BL52" s="59">
        <v>0.7</v>
      </c>
      <c r="BM52" s="59">
        <v>176.3</v>
      </c>
      <c r="BN52" s="59">
        <v>0</v>
      </c>
      <c r="BO52" s="59">
        <v>1233.45</v>
      </c>
      <c r="BP52" s="59">
        <v>1293.7</v>
      </c>
      <c r="BQ52" s="59">
        <v>0</v>
      </c>
      <c r="BR52" s="59">
        <v>514.29</v>
      </c>
      <c r="BS52" s="59">
        <v>23.6</v>
      </c>
      <c r="BT52" s="58">
        <f t="shared" si="27"/>
        <v>779.23</v>
      </c>
      <c r="BU52" s="59">
        <v>0</v>
      </c>
      <c r="BV52" s="59">
        <v>11.41</v>
      </c>
      <c r="BW52" s="59">
        <v>0</v>
      </c>
      <c r="BX52" s="59">
        <v>0</v>
      </c>
      <c r="BY52" s="59">
        <v>182.78</v>
      </c>
      <c r="BZ52" s="59">
        <v>0</v>
      </c>
      <c r="CA52" s="59">
        <v>585.04</v>
      </c>
      <c r="CB52" s="58">
        <f>'Quarter final consumption'!B52</f>
        <v>31112.07</v>
      </c>
      <c r="CC52" s="58">
        <f>'Quarter final consumption'!C52</f>
        <v>389.88</v>
      </c>
      <c r="CD52" s="58">
        <f>'Quarter final consumption'!D52</f>
        <v>187.59</v>
      </c>
      <c r="CE52" s="58">
        <f>'Quarter final consumption'!E52</f>
        <v>18100.57</v>
      </c>
      <c r="CF52" s="58">
        <f>'Quarter final consumption'!F52</f>
        <v>5446.1600000000008</v>
      </c>
      <c r="CG52" s="58">
        <f>'Quarter final consumption'!G52</f>
        <v>513.18000000000006</v>
      </c>
      <c r="CH52" s="58">
        <f>'Quarter final consumption'!H52</f>
        <v>6247.4100000000008</v>
      </c>
      <c r="CI52" s="71">
        <f>'Quarter final consumption'!I52</f>
        <v>227.28</v>
      </c>
    </row>
    <row r="53" spans="1:87" ht="15.5" x14ac:dyDescent="0.35">
      <c r="A53" s="50" t="s">
        <v>218</v>
      </c>
      <c r="B53" s="58">
        <f t="shared" si="33"/>
        <v>59728.060000000005</v>
      </c>
      <c r="C53" s="58">
        <f t="shared" si="34"/>
        <v>8187.49</v>
      </c>
      <c r="D53" s="58">
        <f t="shared" si="35"/>
        <v>71.970000000000027</v>
      </c>
      <c r="E53" s="58">
        <f t="shared" si="36"/>
        <v>20703.059999999998</v>
      </c>
      <c r="F53" s="58">
        <f t="shared" si="37"/>
        <v>-1405.0800000000017</v>
      </c>
      <c r="G53" s="58">
        <f t="shared" si="38"/>
        <v>26408.68</v>
      </c>
      <c r="H53" s="58">
        <f t="shared" si="39"/>
        <v>1906.3</v>
      </c>
      <c r="I53" s="58">
        <f t="shared" si="40"/>
        <v>3955.23</v>
      </c>
      <c r="J53" s="58">
        <f t="shared" si="41"/>
        <v>-99.589999999999236</v>
      </c>
      <c r="K53" s="58">
        <f t="shared" ref="K53:K94" si="54">SUM(L53:S53)</f>
        <v>110.65</v>
      </c>
      <c r="L53" s="59">
        <v>0</v>
      </c>
      <c r="M53" s="59">
        <v>9.35</v>
      </c>
      <c r="N53" s="59">
        <v>-752.69</v>
      </c>
      <c r="O53" s="59">
        <v>863.34</v>
      </c>
      <c r="P53" s="59">
        <v>-9.35</v>
      </c>
      <c r="Q53" s="59">
        <v>0</v>
      </c>
      <c r="R53" s="59">
        <v>-361.63</v>
      </c>
      <c r="S53" s="59">
        <v>361.63</v>
      </c>
      <c r="T53" s="58">
        <f t="shared" ref="T53:T94" si="55">SUM(U53:AC53)</f>
        <v>-13402.139999999996</v>
      </c>
      <c r="U53" s="58">
        <f t="shared" si="42"/>
        <v>-7754.87</v>
      </c>
      <c r="V53" s="58">
        <f t="shared" si="43"/>
        <v>355.12</v>
      </c>
      <c r="W53" s="58">
        <f t="shared" si="51"/>
        <v>-19950.37</v>
      </c>
      <c r="X53" s="58">
        <f t="shared" si="44"/>
        <v>19306.490000000002</v>
      </c>
      <c r="Y53" s="58">
        <f t="shared" si="45"/>
        <v>-9230.15</v>
      </c>
      <c r="Z53" s="58">
        <f t="shared" si="46"/>
        <v>-1059.1399999999999</v>
      </c>
      <c r="AA53" s="58">
        <f t="shared" si="52"/>
        <v>-3593.6</v>
      </c>
      <c r="AB53" s="58">
        <f t="shared" si="52"/>
        <v>8169.86</v>
      </c>
      <c r="AC53" s="58">
        <f t="shared" si="53"/>
        <v>354.52</v>
      </c>
      <c r="AD53" s="58">
        <f t="shared" ref="AD53:AD94" si="56">SUM(AE53:AK53)</f>
        <v>-12187.819999999996</v>
      </c>
      <c r="AE53" s="59">
        <v>-6426.44</v>
      </c>
      <c r="AF53" s="59">
        <v>-214</v>
      </c>
      <c r="AG53" s="59">
        <v>-393.31</v>
      </c>
      <c r="AH53" s="59">
        <v>-8693.99</v>
      </c>
      <c r="AI53" s="59">
        <v>-1036.3399999999999</v>
      </c>
      <c r="AJ53" s="59">
        <v>-3593.6</v>
      </c>
      <c r="AK53" s="59">
        <v>8169.86</v>
      </c>
      <c r="AL53" s="58">
        <f t="shared" si="14"/>
        <v>-312.82999999999993</v>
      </c>
      <c r="AM53" s="59">
        <v>-79.14</v>
      </c>
      <c r="AN53" s="59">
        <v>-12.85</v>
      </c>
      <c r="AO53" s="59">
        <v>-16.399999999999999</v>
      </c>
      <c r="AP53" s="59">
        <v>-536.16</v>
      </c>
      <c r="AQ53" s="59">
        <v>-22.8</v>
      </c>
      <c r="AR53" s="59">
        <v>354.52</v>
      </c>
      <c r="AS53" s="58">
        <f t="shared" si="22"/>
        <v>-161.72999999999956</v>
      </c>
      <c r="AT53" s="59">
        <v>-19950.37</v>
      </c>
      <c r="AU53" s="59">
        <v>19788.64</v>
      </c>
      <c r="AV53" s="58">
        <f t="shared" si="23"/>
        <v>-94.949999999999932</v>
      </c>
      <c r="AW53" s="59">
        <v>-998.16</v>
      </c>
      <c r="AX53" s="59">
        <v>903.21</v>
      </c>
      <c r="AY53" s="59">
        <v>0</v>
      </c>
      <c r="AZ53" s="58">
        <f t="shared" si="24"/>
        <v>-637.4</v>
      </c>
      <c r="BA53" s="59">
        <v>-211.2</v>
      </c>
      <c r="BB53" s="59">
        <v>-378.42</v>
      </c>
      <c r="BC53" s="59">
        <v>-47.78</v>
      </c>
      <c r="BD53" s="58">
        <f t="shared" si="25"/>
        <v>-7.41</v>
      </c>
      <c r="BE53" s="59">
        <v>-39.93</v>
      </c>
      <c r="BF53" s="59">
        <v>57.18</v>
      </c>
      <c r="BG53" s="59">
        <v>-24.66</v>
      </c>
      <c r="BH53" s="58">
        <f t="shared" si="15"/>
        <v>0</v>
      </c>
      <c r="BI53" s="59">
        <v>0</v>
      </c>
      <c r="BJ53" s="59">
        <v>0</v>
      </c>
      <c r="BK53" s="58">
        <f t="shared" si="26"/>
        <v>3597.8300000000004</v>
      </c>
      <c r="BL53" s="59">
        <v>1.4</v>
      </c>
      <c r="BM53" s="59">
        <v>189.71</v>
      </c>
      <c r="BN53" s="59">
        <v>0</v>
      </c>
      <c r="BO53" s="59">
        <v>1287.96</v>
      </c>
      <c r="BP53" s="59">
        <v>1530.86</v>
      </c>
      <c r="BQ53" s="59">
        <v>0</v>
      </c>
      <c r="BR53" s="59">
        <v>564.29999999999995</v>
      </c>
      <c r="BS53" s="59">
        <v>23.6</v>
      </c>
      <c r="BT53" s="58">
        <f t="shared" si="27"/>
        <v>855.11999999999989</v>
      </c>
      <c r="BU53" s="59">
        <v>0</v>
      </c>
      <c r="BV53" s="59">
        <v>19.02</v>
      </c>
      <c r="BW53" s="59">
        <v>0</v>
      </c>
      <c r="BX53" s="59">
        <v>0</v>
      </c>
      <c r="BY53" s="59">
        <v>300.93</v>
      </c>
      <c r="BZ53" s="59">
        <v>0</v>
      </c>
      <c r="CA53" s="59">
        <v>535.16999999999996</v>
      </c>
      <c r="CB53" s="58">
        <f>'Quarter final consumption'!B53</f>
        <v>41996.73</v>
      </c>
      <c r="CC53" s="58">
        <f>'Quarter final consumption'!C53</f>
        <v>431.22</v>
      </c>
      <c r="CD53" s="58">
        <f>'Quarter final consumption'!D53</f>
        <v>227.71000000000004</v>
      </c>
      <c r="CE53" s="58">
        <f>'Quarter final consumption'!E53</f>
        <v>17476.79</v>
      </c>
      <c r="CF53" s="58">
        <f>'Quarter final consumption'!F53</f>
        <v>15337.39</v>
      </c>
      <c r="CG53" s="58">
        <f>'Quarter final consumption'!G53</f>
        <v>847.16000000000008</v>
      </c>
      <c r="CH53" s="58">
        <f>'Quarter final consumption'!H53</f>
        <v>7332.43</v>
      </c>
      <c r="CI53" s="71">
        <f>'Quarter final consumption'!I53</f>
        <v>344.03</v>
      </c>
    </row>
    <row r="54" spans="1:87" ht="15.5" x14ac:dyDescent="0.35">
      <c r="A54" s="50" t="s">
        <v>219</v>
      </c>
      <c r="B54" s="58">
        <f t="shared" si="33"/>
        <v>66619.810000000012</v>
      </c>
      <c r="C54" s="58">
        <f t="shared" si="34"/>
        <v>9462.9700000000012</v>
      </c>
      <c r="D54" s="58">
        <f t="shared" si="35"/>
        <v>-38.470000000000027</v>
      </c>
      <c r="E54" s="58">
        <f t="shared" si="36"/>
        <v>19867.25</v>
      </c>
      <c r="F54" s="58">
        <f t="shared" si="37"/>
        <v>-877.54000000000087</v>
      </c>
      <c r="G54" s="58">
        <f t="shared" si="38"/>
        <v>31962.690000000006</v>
      </c>
      <c r="H54" s="58">
        <f t="shared" si="39"/>
        <v>2054.8000000000002</v>
      </c>
      <c r="I54" s="58">
        <f t="shared" si="40"/>
        <v>4358.5200000000004</v>
      </c>
      <c r="J54" s="58">
        <f t="shared" si="41"/>
        <v>-170.40999999999985</v>
      </c>
      <c r="K54" s="58">
        <f t="shared" si="54"/>
        <v>-4.1800000000000068</v>
      </c>
      <c r="L54" s="59">
        <v>0</v>
      </c>
      <c r="M54" s="59">
        <v>9.5399999999999991</v>
      </c>
      <c r="N54" s="59">
        <v>-679.53</v>
      </c>
      <c r="O54" s="59">
        <v>675.35</v>
      </c>
      <c r="P54" s="59">
        <v>-9.5399999999999991</v>
      </c>
      <c r="Q54" s="59">
        <v>0</v>
      </c>
      <c r="R54" s="59">
        <v>-281.98</v>
      </c>
      <c r="S54" s="59">
        <v>281.98</v>
      </c>
      <c r="T54" s="58">
        <f t="shared" si="55"/>
        <v>-14449.149999999998</v>
      </c>
      <c r="U54" s="58">
        <f t="shared" si="42"/>
        <v>-8914.5</v>
      </c>
      <c r="V54" s="58">
        <f t="shared" si="43"/>
        <v>484.25</v>
      </c>
      <c r="W54" s="58">
        <f t="shared" si="51"/>
        <v>-19187.72</v>
      </c>
      <c r="X54" s="58">
        <f t="shared" si="44"/>
        <v>18452.190000000002</v>
      </c>
      <c r="Y54" s="58">
        <f t="shared" si="45"/>
        <v>-9506.2800000000007</v>
      </c>
      <c r="Z54" s="58">
        <f t="shared" si="46"/>
        <v>-1058.1400000000001</v>
      </c>
      <c r="AA54" s="58">
        <f t="shared" si="52"/>
        <v>-4076.54</v>
      </c>
      <c r="AB54" s="58">
        <f t="shared" si="52"/>
        <v>8945.76</v>
      </c>
      <c r="AC54" s="58">
        <f t="shared" si="53"/>
        <v>411.83</v>
      </c>
      <c r="AD54" s="58">
        <f t="shared" si="56"/>
        <v>-13239.390000000001</v>
      </c>
      <c r="AE54" s="59">
        <v>-7636.81</v>
      </c>
      <c r="AF54" s="59">
        <v>-180.3</v>
      </c>
      <c r="AG54" s="59">
        <v>-365.19</v>
      </c>
      <c r="AH54" s="59">
        <v>-8879.84</v>
      </c>
      <c r="AI54" s="59">
        <v>-1046.47</v>
      </c>
      <c r="AJ54" s="59">
        <v>-4076.54</v>
      </c>
      <c r="AK54" s="59">
        <v>8945.76</v>
      </c>
      <c r="AL54" s="58">
        <f t="shared" si="14"/>
        <v>-342.3</v>
      </c>
      <c r="AM54" s="59">
        <v>-86.45</v>
      </c>
      <c r="AN54" s="59">
        <v>-12.85</v>
      </c>
      <c r="AO54" s="59">
        <v>-16.72</v>
      </c>
      <c r="AP54" s="59">
        <v>-626.44000000000005</v>
      </c>
      <c r="AQ54" s="59">
        <v>-11.67</v>
      </c>
      <c r="AR54" s="59">
        <v>411.83</v>
      </c>
      <c r="AS54" s="58">
        <f t="shared" si="22"/>
        <v>-317.20000000000073</v>
      </c>
      <c r="AT54" s="59">
        <v>-19187.72</v>
      </c>
      <c r="AU54" s="59">
        <v>18870.52</v>
      </c>
      <c r="AV54" s="58">
        <f t="shared" si="23"/>
        <v>-28.700000000000045</v>
      </c>
      <c r="AW54" s="59">
        <v>-963.72</v>
      </c>
      <c r="AX54" s="59">
        <v>935.02</v>
      </c>
      <c r="AY54" s="59">
        <v>0</v>
      </c>
      <c r="AZ54" s="58">
        <f t="shared" si="24"/>
        <v>-517.84</v>
      </c>
      <c r="BA54" s="59">
        <v>-200.82</v>
      </c>
      <c r="BB54" s="59">
        <v>-312.89999999999998</v>
      </c>
      <c r="BC54" s="59">
        <v>-4.12</v>
      </c>
      <c r="BD54" s="58">
        <f t="shared" si="25"/>
        <v>-3.7199999999999953</v>
      </c>
      <c r="BE54" s="59">
        <v>-26.7</v>
      </c>
      <c r="BF54" s="59">
        <v>55.28</v>
      </c>
      <c r="BG54" s="59">
        <v>-32.299999999999997</v>
      </c>
      <c r="BH54" s="58">
        <f t="shared" si="15"/>
        <v>0</v>
      </c>
      <c r="BI54" s="59">
        <v>0</v>
      </c>
      <c r="BJ54" s="59">
        <v>0</v>
      </c>
      <c r="BK54" s="58">
        <f t="shared" si="26"/>
        <v>3675.69</v>
      </c>
      <c r="BL54" s="59">
        <v>1.69</v>
      </c>
      <c r="BM54" s="59">
        <v>177.99</v>
      </c>
      <c r="BN54" s="59">
        <v>0</v>
      </c>
      <c r="BO54" s="59">
        <v>1148.19</v>
      </c>
      <c r="BP54" s="59">
        <v>1711.45</v>
      </c>
      <c r="BQ54" s="59">
        <v>0</v>
      </c>
      <c r="BR54" s="59">
        <v>612.80999999999995</v>
      </c>
      <c r="BS54" s="59">
        <v>23.56</v>
      </c>
      <c r="BT54" s="58">
        <f t="shared" si="27"/>
        <v>1006.04</v>
      </c>
      <c r="BU54" s="59">
        <v>0</v>
      </c>
      <c r="BV54" s="59">
        <v>35.58</v>
      </c>
      <c r="BW54" s="59">
        <v>0</v>
      </c>
      <c r="BX54" s="59">
        <v>0</v>
      </c>
      <c r="BY54" s="59">
        <v>368.19</v>
      </c>
      <c r="BZ54" s="59">
        <v>0</v>
      </c>
      <c r="CA54" s="59">
        <v>602.27</v>
      </c>
      <c r="CB54" s="58">
        <f>'Quarter final consumption'!B54</f>
        <v>47489.94000000001</v>
      </c>
      <c r="CC54" s="58">
        <f>'Quarter final consumption'!C54</f>
        <v>546.78</v>
      </c>
      <c r="CD54" s="58">
        <f>'Quarter final consumption'!D54</f>
        <v>241.75</v>
      </c>
      <c r="CE54" s="58">
        <f>'Quarter final consumption'!E54</f>
        <v>17101.810000000001</v>
      </c>
      <c r="CF54" s="58">
        <f>'Quarter final consumption'!F54</f>
        <v>20367.230000000003</v>
      </c>
      <c r="CG54" s="58">
        <f>'Quarter final consumption'!G54</f>
        <v>996.66000000000008</v>
      </c>
      <c r="CH54" s="58">
        <f>'Quarter final consumption'!H54</f>
        <v>7842.25</v>
      </c>
      <c r="CI54" s="71">
        <f>'Quarter final consumption'!I54</f>
        <v>393.46000000000004</v>
      </c>
    </row>
    <row r="55" spans="1:87" ht="15.5" x14ac:dyDescent="0.35">
      <c r="A55" s="50" t="s">
        <v>220</v>
      </c>
      <c r="B55" s="58">
        <f t="shared" si="33"/>
        <v>50464.7</v>
      </c>
      <c r="C55" s="58">
        <f t="shared" si="34"/>
        <v>6385.6500000000005</v>
      </c>
      <c r="D55" s="58">
        <f t="shared" si="35"/>
        <v>-107.16999999999996</v>
      </c>
      <c r="E55" s="58">
        <f t="shared" si="36"/>
        <v>20888.960000000003</v>
      </c>
      <c r="F55" s="58">
        <f t="shared" si="37"/>
        <v>-1097.0600000000049</v>
      </c>
      <c r="G55" s="58">
        <f t="shared" si="38"/>
        <v>19222.62</v>
      </c>
      <c r="H55" s="58">
        <f t="shared" si="39"/>
        <v>1707.1399999999999</v>
      </c>
      <c r="I55" s="58">
        <f t="shared" si="40"/>
        <v>3310.3</v>
      </c>
      <c r="J55" s="58">
        <f t="shared" si="41"/>
        <v>154.2599999999984</v>
      </c>
      <c r="K55" s="58">
        <f t="shared" si="54"/>
        <v>-4.4500000000000455</v>
      </c>
      <c r="L55" s="59">
        <v>0</v>
      </c>
      <c r="M55" s="59">
        <v>2.39</v>
      </c>
      <c r="N55" s="59">
        <v>-847.74</v>
      </c>
      <c r="O55" s="59">
        <v>843.29</v>
      </c>
      <c r="P55" s="59">
        <v>-2.39</v>
      </c>
      <c r="Q55" s="59">
        <v>0</v>
      </c>
      <c r="R55" s="59">
        <v>-199.76</v>
      </c>
      <c r="S55" s="59">
        <v>199.76</v>
      </c>
      <c r="T55" s="58">
        <f t="shared" si="55"/>
        <v>-11416.83</v>
      </c>
      <c r="U55" s="58">
        <f t="shared" si="42"/>
        <v>-5973.6100000000006</v>
      </c>
      <c r="V55" s="58">
        <f t="shared" si="43"/>
        <v>572.79</v>
      </c>
      <c r="W55" s="58">
        <f t="shared" si="51"/>
        <v>-20041.22</v>
      </c>
      <c r="X55" s="58">
        <f t="shared" si="44"/>
        <v>19598.980000000003</v>
      </c>
      <c r="Y55" s="58">
        <f t="shared" si="45"/>
        <v>-8882.64</v>
      </c>
      <c r="Z55" s="58">
        <f t="shared" si="46"/>
        <v>-1049.79</v>
      </c>
      <c r="AA55" s="58">
        <f t="shared" si="52"/>
        <v>-3110.54</v>
      </c>
      <c r="AB55" s="58">
        <f t="shared" si="52"/>
        <v>7172.89</v>
      </c>
      <c r="AC55" s="58">
        <f t="shared" si="53"/>
        <v>296.31</v>
      </c>
      <c r="AD55" s="58">
        <f t="shared" si="56"/>
        <v>-10485.650000000001</v>
      </c>
      <c r="AE55" s="59">
        <v>-4660.88</v>
      </c>
      <c r="AF55" s="59">
        <v>-169.18</v>
      </c>
      <c r="AG55" s="59">
        <v>-232.95</v>
      </c>
      <c r="AH55" s="59">
        <v>-8444.49</v>
      </c>
      <c r="AI55" s="59">
        <v>-1040.5</v>
      </c>
      <c r="AJ55" s="59">
        <v>-3110.54</v>
      </c>
      <c r="AK55" s="59">
        <v>7172.89</v>
      </c>
      <c r="AL55" s="58">
        <f t="shared" si="14"/>
        <v>-246.27999999999992</v>
      </c>
      <c r="AM55" s="59">
        <v>-65.75</v>
      </c>
      <c r="AN55" s="59">
        <v>-12.85</v>
      </c>
      <c r="AO55" s="59">
        <v>-16.55</v>
      </c>
      <c r="AP55" s="59">
        <v>-438.15</v>
      </c>
      <c r="AQ55" s="59">
        <v>-9.2899999999999991</v>
      </c>
      <c r="AR55" s="59">
        <v>296.31</v>
      </c>
      <c r="AS55" s="58">
        <f t="shared" si="22"/>
        <v>-170.72999999999956</v>
      </c>
      <c r="AT55" s="59">
        <v>-20041.22</v>
      </c>
      <c r="AU55" s="59">
        <v>19870.490000000002</v>
      </c>
      <c r="AV55" s="58">
        <f t="shared" si="23"/>
        <v>-32.840000000000032</v>
      </c>
      <c r="AW55" s="59">
        <v>-1013.74</v>
      </c>
      <c r="AX55" s="59">
        <v>980.9</v>
      </c>
      <c r="AY55" s="59">
        <v>0</v>
      </c>
      <c r="AZ55" s="58">
        <f t="shared" si="24"/>
        <v>-475.28</v>
      </c>
      <c r="BA55" s="59">
        <v>-196.39</v>
      </c>
      <c r="BB55" s="59">
        <v>-278.89</v>
      </c>
      <c r="BC55" s="59">
        <v>0</v>
      </c>
      <c r="BD55" s="58">
        <f t="shared" si="25"/>
        <v>-6.0500000000000007</v>
      </c>
      <c r="BE55" s="59">
        <v>-36.85</v>
      </c>
      <c r="BF55" s="59">
        <v>52.81</v>
      </c>
      <c r="BG55" s="59">
        <v>-22.01</v>
      </c>
      <c r="BH55" s="58">
        <f t="shared" si="15"/>
        <v>0</v>
      </c>
      <c r="BI55" s="59">
        <v>0</v>
      </c>
      <c r="BJ55" s="59">
        <v>0</v>
      </c>
      <c r="BK55" s="58">
        <f t="shared" si="26"/>
        <v>3626.82</v>
      </c>
      <c r="BL55" s="59">
        <v>0.6</v>
      </c>
      <c r="BM55" s="59">
        <v>172.03</v>
      </c>
      <c r="BN55" s="59">
        <v>0</v>
      </c>
      <c r="BO55" s="59">
        <v>1296.96</v>
      </c>
      <c r="BP55" s="59">
        <v>1627.27</v>
      </c>
      <c r="BQ55" s="59">
        <v>0</v>
      </c>
      <c r="BR55" s="59">
        <v>506.4</v>
      </c>
      <c r="BS55" s="59">
        <v>23.56</v>
      </c>
      <c r="BT55" s="58">
        <f t="shared" si="27"/>
        <v>915.83999999999992</v>
      </c>
      <c r="BU55" s="59">
        <v>0</v>
      </c>
      <c r="BV55" s="59">
        <v>57.68</v>
      </c>
      <c r="BW55" s="59">
        <v>0</v>
      </c>
      <c r="BX55" s="59">
        <v>0</v>
      </c>
      <c r="BY55" s="59">
        <v>280.64999999999998</v>
      </c>
      <c r="BZ55" s="59">
        <v>0</v>
      </c>
      <c r="CA55" s="59">
        <v>577.51</v>
      </c>
      <c r="CB55" s="58">
        <f>'Quarter final consumption'!B55</f>
        <v>34493.090000000004</v>
      </c>
      <c r="CC55" s="58">
        <f>'Quarter final consumption'!C55</f>
        <v>411.44</v>
      </c>
      <c r="CD55" s="58">
        <f>'Quarter final consumption'!D55</f>
        <v>238.3</v>
      </c>
      <c r="CE55" s="58">
        <f>'Quarter final consumption'!E55</f>
        <v>18048.25</v>
      </c>
      <c r="CF55" s="58">
        <f>'Quarter final consumption'!F55</f>
        <v>8429.67</v>
      </c>
      <c r="CG55" s="58">
        <f>'Quarter final consumption'!G55</f>
        <v>657.35</v>
      </c>
      <c r="CH55" s="58">
        <f>'Quarter final consumption'!H55</f>
        <v>6442.9999999999991</v>
      </c>
      <c r="CI55" s="71">
        <f>'Quarter final consumption'!I55</f>
        <v>265.08</v>
      </c>
    </row>
    <row r="56" spans="1:87" ht="15.5" x14ac:dyDescent="0.35">
      <c r="A56" s="50" t="s">
        <v>221</v>
      </c>
      <c r="B56" s="58">
        <f t="shared" si="33"/>
        <v>46313.729999999996</v>
      </c>
      <c r="C56" s="58">
        <f t="shared" si="34"/>
        <v>6524.5599999999995</v>
      </c>
      <c r="D56" s="58">
        <f t="shared" si="35"/>
        <v>-169.98999999999995</v>
      </c>
      <c r="E56" s="58">
        <f t="shared" si="36"/>
        <v>21252.089999999997</v>
      </c>
      <c r="F56" s="58">
        <f t="shared" si="37"/>
        <v>-1414.5499999999993</v>
      </c>
      <c r="G56" s="58">
        <f t="shared" si="38"/>
        <v>14965.580000000002</v>
      </c>
      <c r="H56" s="58">
        <f t="shared" si="39"/>
        <v>1672.1299999999999</v>
      </c>
      <c r="I56" s="58">
        <f t="shared" si="40"/>
        <v>3229.35</v>
      </c>
      <c r="J56" s="58">
        <f t="shared" si="41"/>
        <v>254.5600000000004</v>
      </c>
      <c r="K56" s="58">
        <f t="shared" si="54"/>
        <v>-13.089999999999975</v>
      </c>
      <c r="L56" s="59">
        <v>0</v>
      </c>
      <c r="M56" s="59">
        <v>5.68</v>
      </c>
      <c r="N56" s="59">
        <v>-629.41999999999996</v>
      </c>
      <c r="O56" s="59">
        <v>616.33000000000004</v>
      </c>
      <c r="P56" s="59">
        <v>-5.68</v>
      </c>
      <c r="Q56" s="59">
        <v>0</v>
      </c>
      <c r="R56" s="59">
        <v>-312.14</v>
      </c>
      <c r="S56" s="59">
        <v>312.14</v>
      </c>
      <c r="T56" s="58">
        <f t="shared" si="55"/>
        <v>-10614.580000000002</v>
      </c>
      <c r="U56" s="58">
        <f t="shared" si="42"/>
        <v>-6090.98</v>
      </c>
      <c r="V56" s="58">
        <f t="shared" si="43"/>
        <v>575.16</v>
      </c>
      <c r="W56" s="58">
        <f t="shared" si="51"/>
        <v>-20622.669999999998</v>
      </c>
      <c r="X56" s="58">
        <f t="shared" si="44"/>
        <v>20439.289999999997</v>
      </c>
      <c r="Y56" s="58">
        <f t="shared" si="45"/>
        <v>-7911.87</v>
      </c>
      <c r="Z56" s="58">
        <f t="shared" si="46"/>
        <v>-1103.08</v>
      </c>
      <c r="AA56" s="58">
        <f t="shared" si="52"/>
        <v>-2917.21</v>
      </c>
      <c r="AB56" s="58">
        <f t="shared" si="52"/>
        <v>6753.44</v>
      </c>
      <c r="AC56" s="58">
        <f t="shared" si="53"/>
        <v>263.33999999999997</v>
      </c>
      <c r="AD56" s="58">
        <f t="shared" si="56"/>
        <v>-10056.89</v>
      </c>
      <c r="AE56" s="59">
        <v>-4823.99</v>
      </c>
      <c r="AF56" s="59">
        <v>-170.37</v>
      </c>
      <c r="AG56" s="59">
        <v>-276.83</v>
      </c>
      <c r="AH56" s="59">
        <v>-7527.46</v>
      </c>
      <c r="AI56" s="59">
        <v>-1094.47</v>
      </c>
      <c r="AJ56" s="59">
        <v>-2917.21</v>
      </c>
      <c r="AK56" s="59">
        <v>6753.44</v>
      </c>
      <c r="AL56" s="58">
        <f t="shared" si="14"/>
        <v>-218.87000000000006</v>
      </c>
      <c r="AM56" s="59">
        <v>-59.84</v>
      </c>
      <c r="AN56" s="59">
        <v>-12.85</v>
      </c>
      <c r="AO56" s="59">
        <v>-16.5</v>
      </c>
      <c r="AP56" s="59">
        <v>-384.41</v>
      </c>
      <c r="AQ56" s="59">
        <v>-8.61</v>
      </c>
      <c r="AR56" s="59">
        <v>263.33999999999997</v>
      </c>
      <c r="AS56" s="58">
        <f t="shared" si="22"/>
        <v>130.38000000000102</v>
      </c>
      <c r="AT56" s="59">
        <v>-20622.669999999998</v>
      </c>
      <c r="AU56" s="59">
        <v>20753.05</v>
      </c>
      <c r="AV56" s="58">
        <f t="shared" si="23"/>
        <v>-32.650000000000091</v>
      </c>
      <c r="AW56" s="59">
        <v>-989.58</v>
      </c>
      <c r="AX56" s="59">
        <v>956.93</v>
      </c>
      <c r="AY56" s="59">
        <v>0</v>
      </c>
      <c r="AZ56" s="58">
        <f t="shared" si="24"/>
        <v>-414.75</v>
      </c>
      <c r="BA56" s="59">
        <v>-161.49</v>
      </c>
      <c r="BB56" s="59">
        <v>-253.19</v>
      </c>
      <c r="BC56" s="59">
        <v>-7.0000000000000007E-2</v>
      </c>
      <c r="BD56" s="58">
        <f t="shared" si="25"/>
        <v>-21.799999999999997</v>
      </c>
      <c r="BE56" s="59">
        <v>-56.08</v>
      </c>
      <c r="BF56" s="59">
        <v>54.64</v>
      </c>
      <c r="BG56" s="59">
        <v>-20.36</v>
      </c>
      <c r="BH56" s="58">
        <f t="shared" si="15"/>
        <v>0</v>
      </c>
      <c r="BI56" s="59">
        <v>0</v>
      </c>
      <c r="BJ56" s="59">
        <v>0</v>
      </c>
      <c r="BK56" s="58">
        <f t="shared" si="26"/>
        <v>3449.4</v>
      </c>
      <c r="BL56" s="59">
        <v>0.68</v>
      </c>
      <c r="BM56" s="59">
        <v>164.77</v>
      </c>
      <c r="BN56" s="59">
        <v>0</v>
      </c>
      <c r="BO56" s="59">
        <v>1400.48</v>
      </c>
      <c r="BP56" s="59">
        <v>1364.41</v>
      </c>
      <c r="BQ56" s="59">
        <v>0</v>
      </c>
      <c r="BR56" s="59">
        <v>495.5</v>
      </c>
      <c r="BS56" s="59">
        <v>23.56</v>
      </c>
      <c r="BT56" s="58">
        <f t="shared" si="27"/>
        <v>780.23</v>
      </c>
      <c r="BU56" s="59">
        <v>0</v>
      </c>
      <c r="BV56" s="59">
        <v>42.58</v>
      </c>
      <c r="BW56" s="59">
        <v>0</v>
      </c>
      <c r="BX56" s="59">
        <v>0</v>
      </c>
      <c r="BY56" s="59">
        <v>186.65</v>
      </c>
      <c r="BZ56" s="59">
        <v>0</v>
      </c>
      <c r="CA56" s="59">
        <v>551</v>
      </c>
      <c r="CB56" s="58">
        <f>'Quarter final consumption'!B56</f>
        <v>31454.710000000003</v>
      </c>
      <c r="CC56" s="58">
        <f>'Quarter final consumption'!C56</f>
        <v>432.9</v>
      </c>
      <c r="CD56" s="58">
        <f>'Quarter final consumption'!D56</f>
        <v>203.5</v>
      </c>
      <c r="CE56" s="58">
        <f>'Quarter final consumption'!E56</f>
        <v>18240.59</v>
      </c>
      <c r="CF56" s="58">
        <f>'Quarter final consumption'!F56</f>
        <v>5496.97</v>
      </c>
      <c r="CG56" s="58">
        <f>'Quarter final consumption'!G56</f>
        <v>569.04999999999995</v>
      </c>
      <c r="CH56" s="58">
        <f>'Quarter final consumption'!H56</f>
        <v>6273.64</v>
      </c>
      <c r="CI56" s="71">
        <f>'Quarter final consumption'!I56</f>
        <v>238.06</v>
      </c>
    </row>
    <row r="57" spans="1:87" ht="15.5" x14ac:dyDescent="0.35">
      <c r="A57" s="50" t="s">
        <v>222</v>
      </c>
      <c r="B57" s="58">
        <f t="shared" si="33"/>
        <v>64425.100000000006</v>
      </c>
      <c r="C57" s="58">
        <f t="shared" si="34"/>
        <v>10187.81</v>
      </c>
      <c r="D57" s="58">
        <f t="shared" si="35"/>
        <v>-103.81999999999988</v>
      </c>
      <c r="E57" s="58">
        <f t="shared" si="36"/>
        <v>21116.38</v>
      </c>
      <c r="F57" s="58">
        <f t="shared" si="37"/>
        <v>-1093.5799999999981</v>
      </c>
      <c r="G57" s="58">
        <f t="shared" si="38"/>
        <v>27970.17</v>
      </c>
      <c r="H57" s="58">
        <f t="shared" si="39"/>
        <v>2120.0500000000002</v>
      </c>
      <c r="I57" s="58">
        <f t="shared" si="40"/>
        <v>4224.57</v>
      </c>
      <c r="J57" s="58">
        <f t="shared" si="41"/>
        <v>3.5199999999995271</v>
      </c>
      <c r="K57" s="58">
        <f t="shared" si="54"/>
        <v>4.6200000000000045</v>
      </c>
      <c r="L57" s="59">
        <v>0</v>
      </c>
      <c r="M57" s="59">
        <v>5.01</v>
      </c>
      <c r="N57" s="59">
        <v>-661.74</v>
      </c>
      <c r="O57" s="59">
        <v>666.36</v>
      </c>
      <c r="P57" s="59">
        <v>-5.01</v>
      </c>
      <c r="Q57" s="59">
        <v>0</v>
      </c>
      <c r="R57" s="59">
        <v>-402.95</v>
      </c>
      <c r="S57" s="59">
        <v>402.95</v>
      </c>
      <c r="T57" s="58">
        <f t="shared" si="55"/>
        <v>-13766.849999999997</v>
      </c>
      <c r="U57" s="58">
        <f t="shared" si="42"/>
        <v>-9689.31</v>
      </c>
      <c r="V57" s="58">
        <f t="shared" si="43"/>
        <v>526.32999999999993</v>
      </c>
      <c r="W57" s="58">
        <f t="shared" si="51"/>
        <v>-20454.64</v>
      </c>
      <c r="X57" s="58">
        <f t="shared" si="44"/>
        <v>20076.72</v>
      </c>
      <c r="Y57" s="58">
        <f t="shared" si="45"/>
        <v>-8163.82</v>
      </c>
      <c r="Z57" s="58">
        <f t="shared" si="46"/>
        <v>-1141.78</v>
      </c>
      <c r="AA57" s="58">
        <f t="shared" si="52"/>
        <v>-3821.62</v>
      </c>
      <c r="AB57" s="58">
        <f t="shared" si="52"/>
        <v>8512.14</v>
      </c>
      <c r="AC57" s="58">
        <f t="shared" si="53"/>
        <v>389.13</v>
      </c>
      <c r="AD57" s="58">
        <f t="shared" si="56"/>
        <v>-12922.939999999999</v>
      </c>
      <c r="AE57" s="59">
        <v>-8434.33</v>
      </c>
      <c r="AF57" s="59">
        <v>-153.5</v>
      </c>
      <c r="AG57" s="59">
        <v>-320.68</v>
      </c>
      <c r="AH57" s="59">
        <v>-7574.38</v>
      </c>
      <c r="AI57" s="59">
        <v>-1130.57</v>
      </c>
      <c r="AJ57" s="59">
        <v>-3821.62</v>
      </c>
      <c r="AK57" s="59">
        <v>8512.14</v>
      </c>
      <c r="AL57" s="58">
        <f t="shared" si="14"/>
        <v>-323.44000000000005</v>
      </c>
      <c r="AM57" s="59">
        <v>-82.38</v>
      </c>
      <c r="AN57" s="59">
        <v>-12.85</v>
      </c>
      <c r="AO57" s="59">
        <v>-16.690000000000001</v>
      </c>
      <c r="AP57" s="59">
        <v>-589.44000000000005</v>
      </c>
      <c r="AQ57" s="59">
        <v>-11.21</v>
      </c>
      <c r="AR57" s="59">
        <v>389.13</v>
      </c>
      <c r="AS57" s="58">
        <f t="shared" si="22"/>
        <v>-12.779999999998836</v>
      </c>
      <c r="AT57" s="59">
        <v>-20454.64</v>
      </c>
      <c r="AU57" s="59">
        <v>20441.86</v>
      </c>
      <c r="AV57" s="58">
        <f t="shared" si="23"/>
        <v>-76.360000000000014</v>
      </c>
      <c r="AW57" s="59">
        <v>-971.13</v>
      </c>
      <c r="AX57" s="59">
        <v>894.77</v>
      </c>
      <c r="AY57" s="59">
        <v>0</v>
      </c>
      <c r="AZ57" s="58">
        <f t="shared" si="24"/>
        <v>-420.61</v>
      </c>
      <c r="BA57" s="59">
        <v>-154.94999999999999</v>
      </c>
      <c r="BB57" s="59">
        <v>-265.5</v>
      </c>
      <c r="BC57" s="59">
        <v>-0.16</v>
      </c>
      <c r="BD57" s="58">
        <f t="shared" si="25"/>
        <v>-10.720000000000006</v>
      </c>
      <c r="BE57" s="59">
        <v>-46.52</v>
      </c>
      <c r="BF57" s="59">
        <v>63.41</v>
      </c>
      <c r="BG57" s="59">
        <v>-27.61</v>
      </c>
      <c r="BH57" s="58">
        <f t="shared" si="15"/>
        <v>0</v>
      </c>
      <c r="BI57" s="59">
        <v>0</v>
      </c>
      <c r="BJ57" s="59">
        <v>0</v>
      </c>
      <c r="BK57" s="58">
        <f t="shared" si="26"/>
        <v>3736.01</v>
      </c>
      <c r="BL57" s="59">
        <v>0.47</v>
      </c>
      <c r="BM57" s="59">
        <v>165.3</v>
      </c>
      <c r="BN57" s="59">
        <v>0</v>
      </c>
      <c r="BO57" s="59">
        <v>1376.74</v>
      </c>
      <c r="BP57" s="59">
        <v>1561.29</v>
      </c>
      <c r="BQ57" s="59">
        <v>0</v>
      </c>
      <c r="BR57" s="59">
        <v>608.65</v>
      </c>
      <c r="BS57" s="59">
        <v>23.56</v>
      </c>
      <c r="BT57" s="58">
        <f t="shared" si="27"/>
        <v>833.98</v>
      </c>
      <c r="BU57" s="59">
        <v>0</v>
      </c>
      <c r="BV57" s="59">
        <v>32.06</v>
      </c>
      <c r="BW57" s="59">
        <v>0</v>
      </c>
      <c r="BX57" s="59">
        <v>0</v>
      </c>
      <c r="BY57" s="59">
        <v>207.97</v>
      </c>
      <c r="BZ57" s="59">
        <v>0</v>
      </c>
      <c r="CA57" s="59">
        <v>593.95000000000005</v>
      </c>
      <c r="CB57" s="58">
        <f>'Quarter final consumption'!B57</f>
        <v>46097.09</v>
      </c>
      <c r="CC57" s="58">
        <f>'Quarter final consumption'!C57</f>
        <v>498.03000000000009</v>
      </c>
      <c r="CD57" s="58">
        <f>'Quarter final consumption'!D57</f>
        <v>230.16000000000003</v>
      </c>
      <c r="CE57" s="58">
        <f>'Quarter final consumption'!E57</f>
        <v>18272.760000000002</v>
      </c>
      <c r="CF57" s="58">
        <f>'Quarter final consumption'!F57</f>
        <v>18032.079999999998</v>
      </c>
      <c r="CG57" s="58">
        <f>'Quarter final consumption'!G57</f>
        <v>978.27</v>
      </c>
      <c r="CH57" s="58">
        <f>'Quarter final consumption'!H57</f>
        <v>7716.01</v>
      </c>
      <c r="CI57" s="71">
        <f>'Quarter final consumption'!I57</f>
        <v>369.78</v>
      </c>
    </row>
    <row r="58" spans="1:87" ht="15.5" x14ac:dyDescent="0.35">
      <c r="A58" s="50" t="s">
        <v>223</v>
      </c>
      <c r="B58" s="58">
        <f t="shared" si="33"/>
        <v>62937.599999999999</v>
      </c>
      <c r="C58" s="58">
        <f t="shared" si="34"/>
        <v>10139.619999999999</v>
      </c>
      <c r="D58" s="58">
        <f t="shared" si="35"/>
        <v>-120.22</v>
      </c>
      <c r="E58" s="58">
        <f t="shared" si="36"/>
        <v>20550.73</v>
      </c>
      <c r="F58" s="58">
        <f t="shared" si="37"/>
        <v>-1793.239999999998</v>
      </c>
      <c r="G58" s="58">
        <f t="shared" si="38"/>
        <v>27133.39</v>
      </c>
      <c r="H58" s="58">
        <f t="shared" si="39"/>
        <v>2143.6999999999998</v>
      </c>
      <c r="I58" s="58">
        <f t="shared" si="40"/>
        <v>4811.66</v>
      </c>
      <c r="J58" s="58">
        <f t="shared" si="41"/>
        <v>71.960000000001855</v>
      </c>
      <c r="K58" s="58">
        <f t="shared" si="54"/>
        <v>-7.5800000000000409</v>
      </c>
      <c r="L58" s="59">
        <v>0</v>
      </c>
      <c r="M58" s="59">
        <v>2.74</v>
      </c>
      <c r="N58" s="59">
        <v>-675.88</v>
      </c>
      <c r="O58" s="59">
        <v>668.3</v>
      </c>
      <c r="P58" s="59">
        <v>-2.74</v>
      </c>
      <c r="Q58" s="59">
        <v>0</v>
      </c>
      <c r="R58" s="59">
        <v>-405.32</v>
      </c>
      <c r="S58" s="59">
        <v>405.32</v>
      </c>
      <c r="T58" s="58">
        <f t="shared" si="55"/>
        <v>-13918.32</v>
      </c>
      <c r="U58" s="58">
        <f t="shared" si="42"/>
        <v>-9667.1</v>
      </c>
      <c r="V58" s="58">
        <f t="shared" si="43"/>
        <v>517.24</v>
      </c>
      <c r="W58" s="58">
        <f t="shared" si="51"/>
        <v>-19874.849999999999</v>
      </c>
      <c r="X58" s="58">
        <f t="shared" si="44"/>
        <v>19479.080000000002</v>
      </c>
      <c r="Y58" s="58">
        <f t="shared" si="45"/>
        <v>-7630.04</v>
      </c>
      <c r="Z58" s="58">
        <f t="shared" si="46"/>
        <v>-1194.22</v>
      </c>
      <c r="AA58" s="58">
        <f t="shared" ref="AA58:AB73" si="57">AJ58</f>
        <v>-4406.34</v>
      </c>
      <c r="AB58" s="58">
        <f t="shared" si="57"/>
        <v>8416.65</v>
      </c>
      <c r="AC58" s="58">
        <f t="shared" si="53"/>
        <v>441.26</v>
      </c>
      <c r="AD58" s="58">
        <f t="shared" si="56"/>
        <v>-12902.15</v>
      </c>
      <c r="AE58" s="59">
        <v>-8354.5</v>
      </c>
      <c r="AF58" s="59">
        <v>-169.22</v>
      </c>
      <c r="AG58" s="59">
        <v>-236.06</v>
      </c>
      <c r="AH58" s="59">
        <v>-6995.47</v>
      </c>
      <c r="AI58" s="59">
        <v>-1157.21</v>
      </c>
      <c r="AJ58" s="59">
        <v>-4406.34</v>
      </c>
      <c r="AK58" s="59">
        <v>8416.65</v>
      </c>
      <c r="AL58" s="58">
        <f t="shared" si="14"/>
        <v>-365.01</v>
      </c>
      <c r="AM58" s="59">
        <v>-102.89</v>
      </c>
      <c r="AN58" s="59">
        <v>-12.85</v>
      </c>
      <c r="AO58" s="59">
        <v>-18.95</v>
      </c>
      <c r="AP58" s="59">
        <v>-634.57000000000005</v>
      </c>
      <c r="AQ58" s="59">
        <v>-37.01</v>
      </c>
      <c r="AR58" s="59">
        <v>441.26</v>
      </c>
      <c r="AS58" s="58">
        <f t="shared" si="22"/>
        <v>-116.82999999999811</v>
      </c>
      <c r="AT58" s="59">
        <v>-19874.849999999999</v>
      </c>
      <c r="AU58" s="59">
        <v>19758.02</v>
      </c>
      <c r="AV58" s="58">
        <f t="shared" si="23"/>
        <v>-71.5</v>
      </c>
      <c r="AW58" s="59">
        <v>-963.91</v>
      </c>
      <c r="AX58" s="59">
        <v>892.41</v>
      </c>
      <c r="AY58" s="59">
        <v>0</v>
      </c>
      <c r="AZ58" s="58">
        <f t="shared" si="24"/>
        <v>-444.93</v>
      </c>
      <c r="BA58" s="59">
        <v>-196.27</v>
      </c>
      <c r="BB58" s="59">
        <v>-248.66</v>
      </c>
      <c r="BC58" s="59">
        <v>0</v>
      </c>
      <c r="BD58" s="58">
        <f t="shared" si="25"/>
        <v>-17.899999999999999</v>
      </c>
      <c r="BE58" s="59">
        <v>-49.53</v>
      </c>
      <c r="BF58" s="59">
        <v>55.56</v>
      </c>
      <c r="BG58" s="59">
        <v>-23.93</v>
      </c>
      <c r="BH58" s="58">
        <f t="shared" si="15"/>
        <v>0</v>
      </c>
      <c r="BI58" s="59">
        <v>0</v>
      </c>
      <c r="BJ58" s="59">
        <v>0</v>
      </c>
      <c r="BK58" s="58">
        <f t="shared" si="26"/>
        <v>3675.53</v>
      </c>
      <c r="BL58" s="59">
        <v>0.39</v>
      </c>
      <c r="BM58" s="59">
        <v>163.44999999999999</v>
      </c>
      <c r="BN58" s="59">
        <v>0</v>
      </c>
      <c r="BO58" s="59">
        <v>1351.06</v>
      </c>
      <c r="BP58" s="59">
        <v>1510.89</v>
      </c>
      <c r="BQ58" s="59">
        <v>0</v>
      </c>
      <c r="BR58" s="59">
        <v>604.19000000000005</v>
      </c>
      <c r="BS58" s="59">
        <v>45.55</v>
      </c>
      <c r="BT58" s="58">
        <f t="shared" si="27"/>
        <v>957.31000000000006</v>
      </c>
      <c r="BU58" s="59">
        <v>0</v>
      </c>
      <c r="BV58" s="59">
        <v>35.78</v>
      </c>
      <c r="BW58" s="59">
        <v>0</v>
      </c>
      <c r="BX58" s="59">
        <v>0</v>
      </c>
      <c r="BY58" s="59">
        <v>216.81</v>
      </c>
      <c r="BZ58" s="59">
        <v>0</v>
      </c>
      <c r="CA58" s="59">
        <v>704.72</v>
      </c>
      <c r="CB58" s="58">
        <f>'Quarter final consumption'!B58</f>
        <v>44372.390000000007</v>
      </c>
      <c r="CC58" s="58">
        <f>'Quarter final consumption'!C58</f>
        <v>472.13</v>
      </c>
      <c r="CD58" s="58">
        <f>'Quarter final consumption'!D58</f>
        <v>200.53</v>
      </c>
      <c r="CE58" s="58">
        <f>'Quarter final consumption'!E58</f>
        <v>17003.080000000002</v>
      </c>
      <c r="CF58" s="58">
        <f>'Quarter final consumption'!F58</f>
        <v>17772.91</v>
      </c>
      <c r="CG58" s="58">
        <f>'Quarter final consumption'!G58</f>
        <v>949.48</v>
      </c>
      <c r="CH58" s="58">
        <f>'Quarter final consumption'!H58</f>
        <v>7585.02</v>
      </c>
      <c r="CI58" s="71">
        <f>'Quarter final consumption'!I58</f>
        <v>389.24</v>
      </c>
    </row>
    <row r="59" spans="1:87" ht="15.5" x14ac:dyDescent="0.35">
      <c r="A59" s="50" t="s">
        <v>224</v>
      </c>
      <c r="B59" s="58">
        <f t="shared" si="33"/>
        <v>48072.75</v>
      </c>
      <c r="C59" s="58">
        <f t="shared" si="34"/>
        <v>6342.9100000000008</v>
      </c>
      <c r="D59" s="58">
        <f t="shared" si="35"/>
        <v>-130.49999999999994</v>
      </c>
      <c r="E59" s="58">
        <f t="shared" si="36"/>
        <v>21808.44</v>
      </c>
      <c r="F59" s="58">
        <f t="shared" si="37"/>
        <v>-2507</v>
      </c>
      <c r="G59" s="58">
        <f t="shared" si="38"/>
        <v>15928.55</v>
      </c>
      <c r="H59" s="58">
        <f t="shared" si="39"/>
        <v>1730.87</v>
      </c>
      <c r="I59" s="58">
        <f t="shared" si="40"/>
        <v>4754.26</v>
      </c>
      <c r="J59" s="58">
        <f t="shared" si="41"/>
        <v>145.22000000000025</v>
      </c>
      <c r="K59" s="58">
        <f t="shared" si="54"/>
        <v>-6.2800000000000864</v>
      </c>
      <c r="L59" s="59">
        <v>0</v>
      </c>
      <c r="M59" s="59">
        <v>0.85</v>
      </c>
      <c r="N59" s="59">
        <v>-732.96</v>
      </c>
      <c r="O59" s="59">
        <v>726.68</v>
      </c>
      <c r="P59" s="59">
        <v>-0.85</v>
      </c>
      <c r="Q59" s="59">
        <v>0</v>
      </c>
      <c r="R59" s="59">
        <v>-415.2</v>
      </c>
      <c r="S59" s="59">
        <v>415.2</v>
      </c>
      <c r="T59" s="58">
        <f t="shared" si="55"/>
        <v>-11087.839999999998</v>
      </c>
      <c r="U59" s="58">
        <f t="shared" si="42"/>
        <v>-5918.3600000000006</v>
      </c>
      <c r="V59" s="58">
        <f t="shared" si="43"/>
        <v>529.44999999999993</v>
      </c>
      <c r="W59" s="58">
        <f t="shared" si="51"/>
        <v>-21075.48</v>
      </c>
      <c r="X59" s="58">
        <f t="shared" si="44"/>
        <v>20820.650000000001</v>
      </c>
      <c r="Y59" s="58">
        <f t="shared" si="45"/>
        <v>-7120.5</v>
      </c>
      <c r="Z59" s="58">
        <f t="shared" si="46"/>
        <v>-1119.4599999999998</v>
      </c>
      <c r="AA59" s="58">
        <f t="shared" si="57"/>
        <v>-4339.0600000000004</v>
      </c>
      <c r="AB59" s="58">
        <f t="shared" si="57"/>
        <v>6842.99</v>
      </c>
      <c r="AC59" s="58">
        <f t="shared" si="53"/>
        <v>291.93</v>
      </c>
      <c r="AD59" s="58">
        <f t="shared" si="56"/>
        <v>-10249.26</v>
      </c>
      <c r="AE59" s="59">
        <v>-4605.2</v>
      </c>
      <c r="AF59" s="59">
        <v>-177.46</v>
      </c>
      <c r="AG59" s="59">
        <v>-167.47</v>
      </c>
      <c r="AH59" s="59">
        <v>-6701.19</v>
      </c>
      <c r="AI59" s="59">
        <v>-1101.8699999999999</v>
      </c>
      <c r="AJ59" s="59">
        <v>-4339.0600000000004</v>
      </c>
      <c r="AK59" s="59">
        <v>6842.99</v>
      </c>
      <c r="AL59" s="58">
        <f t="shared" si="14"/>
        <v>-255.15000000000003</v>
      </c>
      <c r="AM59" s="59">
        <v>-78.55</v>
      </c>
      <c r="AN59" s="59">
        <v>-12.85</v>
      </c>
      <c r="AO59" s="59">
        <v>-18.78</v>
      </c>
      <c r="AP59" s="59">
        <v>-419.31</v>
      </c>
      <c r="AQ59" s="59">
        <v>-17.59</v>
      </c>
      <c r="AR59" s="59">
        <v>291.93</v>
      </c>
      <c r="AS59" s="58">
        <f t="shared" si="22"/>
        <v>-48.799999999999272</v>
      </c>
      <c r="AT59" s="59">
        <v>-21075.48</v>
      </c>
      <c r="AU59" s="59">
        <v>21026.68</v>
      </c>
      <c r="AV59" s="58">
        <f t="shared" si="23"/>
        <v>-64.099999999999909</v>
      </c>
      <c r="AW59" s="59">
        <v>-1002.92</v>
      </c>
      <c r="AX59" s="59">
        <v>938.82</v>
      </c>
      <c r="AY59" s="59">
        <v>0</v>
      </c>
      <c r="AZ59" s="58">
        <f t="shared" si="24"/>
        <v>-460.92</v>
      </c>
      <c r="BA59" s="59">
        <v>-187.68</v>
      </c>
      <c r="BB59" s="59">
        <v>-273.24</v>
      </c>
      <c r="BC59" s="59">
        <v>0</v>
      </c>
      <c r="BD59" s="58">
        <f t="shared" si="25"/>
        <v>-9.61</v>
      </c>
      <c r="BE59" s="59">
        <v>-44.01</v>
      </c>
      <c r="BF59" s="59">
        <v>54.18</v>
      </c>
      <c r="BG59" s="59">
        <v>-19.78</v>
      </c>
      <c r="BH59" s="58">
        <f t="shared" si="15"/>
        <v>0</v>
      </c>
      <c r="BI59" s="59">
        <v>0</v>
      </c>
      <c r="BJ59" s="59">
        <v>0</v>
      </c>
      <c r="BK59" s="58">
        <f t="shared" si="26"/>
        <v>3550.9200000000005</v>
      </c>
      <c r="BL59" s="59">
        <v>0.74</v>
      </c>
      <c r="BM59" s="59">
        <v>165.73</v>
      </c>
      <c r="BN59" s="59">
        <v>0</v>
      </c>
      <c r="BO59" s="59">
        <v>1411.23</v>
      </c>
      <c r="BP59" s="59">
        <v>1404.81</v>
      </c>
      <c r="BQ59" s="59">
        <v>0</v>
      </c>
      <c r="BR59" s="59">
        <v>522.86</v>
      </c>
      <c r="BS59" s="59">
        <v>45.55</v>
      </c>
      <c r="BT59" s="58">
        <f t="shared" si="27"/>
        <v>805.66</v>
      </c>
      <c r="BU59" s="59">
        <v>0</v>
      </c>
      <c r="BV59" s="59">
        <v>41.01</v>
      </c>
      <c r="BW59" s="59">
        <v>0</v>
      </c>
      <c r="BX59" s="59">
        <v>0</v>
      </c>
      <c r="BY59" s="59">
        <v>209.35</v>
      </c>
      <c r="BZ59" s="59">
        <v>0</v>
      </c>
      <c r="CA59" s="59">
        <v>555.29999999999995</v>
      </c>
      <c r="CB59" s="58">
        <f>'Quarter final consumption'!B59</f>
        <v>32628.460000000003</v>
      </c>
      <c r="CC59" s="58">
        <f>'Quarter final consumption'!C59</f>
        <v>423.81</v>
      </c>
      <c r="CD59" s="58">
        <f>'Quarter final consumption'!D59</f>
        <v>193.06</v>
      </c>
      <c r="CE59" s="58">
        <f>'Quarter final consumption'!E59</f>
        <v>17629.100000000002</v>
      </c>
      <c r="CF59" s="58">
        <f>'Quarter final consumption'!F59</f>
        <v>7193.04</v>
      </c>
      <c r="CG59" s="58">
        <f>'Quarter final consumption'!G59</f>
        <v>611.41</v>
      </c>
      <c r="CH59" s="58">
        <f>'Quarter final consumption'!H59</f>
        <v>6325.25</v>
      </c>
      <c r="CI59" s="71">
        <f>'Quarter final consumption'!I59</f>
        <v>252.79</v>
      </c>
    </row>
    <row r="60" spans="1:87" ht="15.5" x14ac:dyDescent="0.35">
      <c r="A60" s="50" t="s">
        <v>225</v>
      </c>
      <c r="B60" s="58">
        <f t="shared" si="33"/>
        <v>45426.700000000004</v>
      </c>
      <c r="C60" s="58">
        <f t="shared" si="34"/>
        <v>6440.25</v>
      </c>
      <c r="D60" s="58">
        <f t="shared" si="35"/>
        <v>-240.24000000000018</v>
      </c>
      <c r="E60" s="58">
        <f t="shared" si="36"/>
        <v>21842.75</v>
      </c>
      <c r="F60" s="58">
        <f t="shared" si="37"/>
        <v>-2600.4599999999991</v>
      </c>
      <c r="G60" s="58">
        <f t="shared" si="38"/>
        <v>14043.61</v>
      </c>
      <c r="H60" s="58">
        <f t="shared" si="39"/>
        <v>1785.78</v>
      </c>
      <c r="I60" s="58">
        <f t="shared" si="40"/>
        <v>3943.68</v>
      </c>
      <c r="J60" s="58">
        <f t="shared" si="41"/>
        <v>211.33000000000084</v>
      </c>
      <c r="K60" s="58">
        <f t="shared" si="54"/>
        <v>-12.38999999999993</v>
      </c>
      <c r="L60" s="59">
        <v>0</v>
      </c>
      <c r="M60" s="59">
        <v>0.95</v>
      </c>
      <c r="N60" s="59">
        <v>-667.92</v>
      </c>
      <c r="O60" s="59">
        <v>655.53</v>
      </c>
      <c r="P60" s="59">
        <v>-0.95</v>
      </c>
      <c r="Q60" s="59">
        <v>0</v>
      </c>
      <c r="R60" s="59">
        <v>-374.02</v>
      </c>
      <c r="S60" s="59">
        <v>374.02</v>
      </c>
      <c r="T60" s="58">
        <f t="shared" si="55"/>
        <v>-10679.160000000003</v>
      </c>
      <c r="U60" s="58">
        <f t="shared" si="42"/>
        <v>-6016.47</v>
      </c>
      <c r="V60" s="58">
        <f t="shared" si="43"/>
        <v>643.22000000000014</v>
      </c>
      <c r="W60" s="58">
        <f t="shared" si="51"/>
        <v>-21174.83</v>
      </c>
      <c r="X60" s="58">
        <f t="shared" si="44"/>
        <v>20904.8</v>
      </c>
      <c r="Y60" s="58">
        <f t="shared" si="45"/>
        <v>-7305.52</v>
      </c>
      <c r="Z60" s="58">
        <f t="shared" si="46"/>
        <v>-1169.98</v>
      </c>
      <c r="AA60" s="58">
        <f t="shared" si="57"/>
        <v>-3569.66</v>
      </c>
      <c r="AB60" s="58">
        <f t="shared" si="57"/>
        <v>6738.44</v>
      </c>
      <c r="AC60" s="58">
        <f t="shared" si="53"/>
        <v>270.83999999999997</v>
      </c>
      <c r="AD60" s="58">
        <f t="shared" si="56"/>
        <v>-9907.1400000000031</v>
      </c>
      <c r="AE60" s="59">
        <v>-4648.79</v>
      </c>
      <c r="AF60" s="59">
        <v>-170.73</v>
      </c>
      <c r="AG60" s="59">
        <v>-179.5</v>
      </c>
      <c r="AH60" s="59">
        <v>-6921.34</v>
      </c>
      <c r="AI60" s="59">
        <v>-1155.56</v>
      </c>
      <c r="AJ60" s="59">
        <v>-3569.66</v>
      </c>
      <c r="AK60" s="59">
        <v>6738.44</v>
      </c>
      <c r="AL60" s="58">
        <f t="shared" si="14"/>
        <v>-234.14000000000004</v>
      </c>
      <c r="AM60" s="59">
        <v>-74.58</v>
      </c>
      <c r="AN60" s="59">
        <v>-12.85</v>
      </c>
      <c r="AO60" s="59">
        <v>-18.95</v>
      </c>
      <c r="AP60" s="59">
        <v>-384.18</v>
      </c>
      <c r="AQ60" s="59">
        <v>-14.42</v>
      </c>
      <c r="AR60" s="59">
        <v>270.83999999999997</v>
      </c>
      <c r="AS60" s="58">
        <f t="shared" si="22"/>
        <v>-53.730000000003201</v>
      </c>
      <c r="AT60" s="59">
        <v>-21174.83</v>
      </c>
      <c r="AU60" s="59">
        <v>21121.1</v>
      </c>
      <c r="AV60" s="58">
        <f t="shared" si="23"/>
        <v>-45.1099999999999</v>
      </c>
      <c r="AW60" s="59">
        <v>-1062.33</v>
      </c>
      <c r="AX60" s="59">
        <v>1017.22</v>
      </c>
      <c r="AY60" s="59">
        <v>0</v>
      </c>
      <c r="AZ60" s="58">
        <f t="shared" si="24"/>
        <v>-428.87</v>
      </c>
      <c r="BA60" s="59">
        <v>-186.75</v>
      </c>
      <c r="BB60" s="59">
        <v>-242.12</v>
      </c>
      <c r="BC60" s="59">
        <v>0</v>
      </c>
      <c r="BD60" s="58">
        <f t="shared" si="25"/>
        <v>-10.170000000000002</v>
      </c>
      <c r="BE60" s="59">
        <v>-44.02</v>
      </c>
      <c r="BF60" s="59">
        <v>51.7</v>
      </c>
      <c r="BG60" s="59">
        <v>-17.850000000000001</v>
      </c>
      <c r="BH60" s="58">
        <f t="shared" si="15"/>
        <v>0</v>
      </c>
      <c r="BI60" s="59">
        <v>0</v>
      </c>
      <c r="BJ60" s="59">
        <v>0</v>
      </c>
      <c r="BK60" s="58">
        <f t="shared" si="26"/>
        <v>3296.6400000000003</v>
      </c>
      <c r="BL60" s="59">
        <v>0.71</v>
      </c>
      <c r="BM60" s="59">
        <v>169.16</v>
      </c>
      <c r="BN60" s="59">
        <v>0</v>
      </c>
      <c r="BO60" s="59">
        <v>1382.69</v>
      </c>
      <c r="BP60" s="59">
        <v>1195.6099999999999</v>
      </c>
      <c r="BQ60" s="59">
        <v>0</v>
      </c>
      <c r="BR60" s="59">
        <v>502.92</v>
      </c>
      <c r="BS60" s="59">
        <v>45.55</v>
      </c>
      <c r="BT60" s="58">
        <f t="shared" si="27"/>
        <v>765.43</v>
      </c>
      <c r="BU60" s="59">
        <v>0</v>
      </c>
      <c r="BV60" s="59">
        <v>38.1</v>
      </c>
      <c r="BW60" s="59">
        <v>0</v>
      </c>
      <c r="BX60" s="59">
        <v>0</v>
      </c>
      <c r="BY60" s="59">
        <v>165.04</v>
      </c>
      <c r="BZ60" s="59">
        <v>0</v>
      </c>
      <c r="CA60" s="59">
        <v>562.29</v>
      </c>
      <c r="CB60" s="58">
        <f>'Quarter final consumption'!B60</f>
        <v>30682.3</v>
      </c>
      <c r="CC60" s="58">
        <f>'Quarter final consumption'!C60</f>
        <v>423.07</v>
      </c>
      <c r="CD60" s="58">
        <f>'Quarter final consumption'!D60</f>
        <v>196.67000000000002</v>
      </c>
      <c r="CE60" s="58">
        <f>'Quarter final consumption'!E60</f>
        <v>17577.18</v>
      </c>
      <c r="CF60" s="58">
        <f>'Quarter final consumption'!F60</f>
        <v>5376.4900000000007</v>
      </c>
      <c r="CG60" s="58">
        <f>'Quarter final consumption'!G60</f>
        <v>615.79999999999995</v>
      </c>
      <c r="CH60" s="58">
        <f>'Quarter final consumption'!H60</f>
        <v>6258.58</v>
      </c>
      <c r="CI60" s="71">
        <f>'Quarter final consumption'!I60</f>
        <v>234.51</v>
      </c>
    </row>
    <row r="61" spans="1:87" ht="15.5" x14ac:dyDescent="0.35">
      <c r="A61" s="50" t="s">
        <v>226</v>
      </c>
      <c r="B61" s="58">
        <f t="shared" si="33"/>
        <v>56356.039999999994</v>
      </c>
      <c r="C61" s="58">
        <f t="shared" si="34"/>
        <v>10181.330000000002</v>
      </c>
      <c r="D61" s="58">
        <f t="shared" si="35"/>
        <v>-201.18000000000023</v>
      </c>
      <c r="E61" s="58">
        <f t="shared" si="36"/>
        <v>20413.03</v>
      </c>
      <c r="F61" s="58">
        <f t="shared" si="37"/>
        <v>-1474.5600000000013</v>
      </c>
      <c r="G61" s="58">
        <f t="shared" si="38"/>
        <v>21163.22</v>
      </c>
      <c r="H61" s="58">
        <f t="shared" si="39"/>
        <v>2155.42</v>
      </c>
      <c r="I61" s="58">
        <f t="shared" si="40"/>
        <v>3999.43</v>
      </c>
      <c r="J61" s="58">
        <f t="shared" si="41"/>
        <v>119.34999999999854</v>
      </c>
      <c r="K61" s="58">
        <f t="shared" si="54"/>
        <v>-12.360000000000014</v>
      </c>
      <c r="L61" s="59">
        <v>0</v>
      </c>
      <c r="M61" s="59">
        <v>0.62</v>
      </c>
      <c r="N61" s="59">
        <v>-575.52</v>
      </c>
      <c r="O61" s="59">
        <v>563.16</v>
      </c>
      <c r="P61" s="59">
        <v>-0.62</v>
      </c>
      <c r="Q61" s="59">
        <v>0</v>
      </c>
      <c r="R61" s="59">
        <v>-688.46</v>
      </c>
      <c r="S61" s="59">
        <v>688.46</v>
      </c>
      <c r="T61" s="58">
        <f t="shared" si="55"/>
        <v>-12495.9</v>
      </c>
      <c r="U61" s="58">
        <f t="shared" si="42"/>
        <v>-9736.7800000000007</v>
      </c>
      <c r="V61" s="58">
        <f t="shared" si="43"/>
        <v>594.6600000000002</v>
      </c>
      <c r="W61" s="58">
        <f t="shared" si="51"/>
        <v>-19837.509999999998</v>
      </c>
      <c r="X61" s="58">
        <f t="shared" si="44"/>
        <v>19606.14</v>
      </c>
      <c r="Y61" s="58">
        <f t="shared" si="45"/>
        <v>-6491.85</v>
      </c>
      <c r="Z61" s="58">
        <f t="shared" si="46"/>
        <v>-1213.6200000000001</v>
      </c>
      <c r="AA61" s="58">
        <f t="shared" si="57"/>
        <v>-3310.97</v>
      </c>
      <c r="AB61" s="58">
        <f t="shared" si="57"/>
        <v>7509.83</v>
      </c>
      <c r="AC61" s="58">
        <f t="shared" si="53"/>
        <v>384.2</v>
      </c>
      <c r="AD61" s="58">
        <f t="shared" si="56"/>
        <v>-11711.65</v>
      </c>
      <c r="AE61" s="59">
        <v>-8407.2999999999993</v>
      </c>
      <c r="AF61" s="59">
        <v>-160.47999999999999</v>
      </c>
      <c r="AG61" s="59">
        <v>-199.26</v>
      </c>
      <c r="AH61" s="59">
        <v>-5957.79</v>
      </c>
      <c r="AI61" s="59">
        <v>-1185.68</v>
      </c>
      <c r="AJ61" s="59">
        <v>-3310.97</v>
      </c>
      <c r="AK61" s="59">
        <v>7509.83</v>
      </c>
      <c r="AL61" s="58">
        <f t="shared" si="14"/>
        <v>-301.13000000000005</v>
      </c>
      <c r="AM61" s="59">
        <v>-91.53</v>
      </c>
      <c r="AN61" s="59">
        <v>-12.85</v>
      </c>
      <c r="AO61" s="59">
        <v>-18.95</v>
      </c>
      <c r="AP61" s="59">
        <v>-534.05999999999995</v>
      </c>
      <c r="AQ61" s="59">
        <v>-27.94</v>
      </c>
      <c r="AR61" s="59">
        <v>384.2</v>
      </c>
      <c r="AS61" s="58">
        <f t="shared" si="22"/>
        <v>2.7400000000016007</v>
      </c>
      <c r="AT61" s="59">
        <v>-19837.509999999998</v>
      </c>
      <c r="AU61" s="59">
        <v>19840.25</v>
      </c>
      <c r="AV61" s="58">
        <f t="shared" si="23"/>
        <v>-64.100000000000023</v>
      </c>
      <c r="AW61" s="59">
        <v>-1003.07</v>
      </c>
      <c r="AX61" s="59">
        <v>938.97</v>
      </c>
      <c r="AY61" s="59">
        <v>0</v>
      </c>
      <c r="AZ61" s="58">
        <f t="shared" si="24"/>
        <v>-404.23</v>
      </c>
      <c r="BA61" s="59">
        <v>-188.68</v>
      </c>
      <c r="BB61" s="59">
        <v>-215.55</v>
      </c>
      <c r="BC61" s="59">
        <v>0</v>
      </c>
      <c r="BD61" s="58">
        <f t="shared" si="25"/>
        <v>-17.53</v>
      </c>
      <c r="BE61" s="59">
        <v>-46.2</v>
      </c>
      <c r="BF61" s="59">
        <v>44.57</v>
      </c>
      <c r="BG61" s="59">
        <v>-15.9</v>
      </c>
      <c r="BH61" s="58">
        <f t="shared" si="15"/>
        <v>0</v>
      </c>
      <c r="BI61" s="59">
        <v>0</v>
      </c>
      <c r="BJ61" s="59">
        <v>0</v>
      </c>
      <c r="BK61" s="58">
        <f t="shared" si="26"/>
        <v>3426.15</v>
      </c>
      <c r="BL61" s="59">
        <v>0.78</v>
      </c>
      <c r="BM61" s="59">
        <v>161.19999999999999</v>
      </c>
      <c r="BN61" s="59">
        <v>0</v>
      </c>
      <c r="BO61" s="59">
        <v>1272.6199999999999</v>
      </c>
      <c r="BP61" s="59">
        <v>1388.93</v>
      </c>
      <c r="BQ61" s="59">
        <v>0</v>
      </c>
      <c r="BR61" s="59">
        <v>557.07000000000005</v>
      </c>
      <c r="BS61" s="59">
        <v>45.55</v>
      </c>
      <c r="BT61" s="58">
        <f t="shared" si="27"/>
        <v>838.37</v>
      </c>
      <c r="BU61" s="59">
        <v>0</v>
      </c>
      <c r="BV61" s="59">
        <v>35.630000000000003</v>
      </c>
      <c r="BW61" s="59">
        <v>0</v>
      </c>
      <c r="BX61" s="59">
        <v>0</v>
      </c>
      <c r="BY61" s="59">
        <v>205.42</v>
      </c>
      <c r="BZ61" s="59">
        <v>0</v>
      </c>
      <c r="CA61" s="59">
        <v>597.32000000000005</v>
      </c>
      <c r="CB61" s="58">
        <f>'Quarter final consumption'!B61</f>
        <v>39574.15</v>
      </c>
      <c r="CC61" s="58">
        <f>'Quarter final consumption'!C61</f>
        <v>443.77000000000004</v>
      </c>
      <c r="CD61" s="58">
        <f>'Quarter final consumption'!D61</f>
        <v>197.26999999999998</v>
      </c>
      <c r="CE61" s="58">
        <f>'Quarter final consumption'!E61</f>
        <v>17422.12</v>
      </c>
      <c r="CF61" s="58">
        <f>'Quarter final consumption'!F61</f>
        <v>13076.4</v>
      </c>
      <c r="CG61" s="58">
        <f>'Quarter final consumption'!G61</f>
        <v>941.8</v>
      </c>
      <c r="CH61" s="58">
        <f>'Quarter final consumption'!H61</f>
        <v>7163.25</v>
      </c>
      <c r="CI61" s="71">
        <f>'Quarter final consumption'!I61</f>
        <v>329.53999999999996</v>
      </c>
    </row>
    <row r="62" spans="1:87" ht="15.5" x14ac:dyDescent="0.35">
      <c r="A62" s="50" t="s">
        <v>227</v>
      </c>
      <c r="B62" s="58">
        <f t="shared" si="33"/>
        <v>60943.689999999988</v>
      </c>
      <c r="C62" s="58">
        <f t="shared" si="34"/>
        <v>11736.019999999999</v>
      </c>
      <c r="D62" s="58">
        <f t="shared" si="35"/>
        <v>-270.15999999999997</v>
      </c>
      <c r="E62" s="58">
        <f t="shared" si="36"/>
        <v>21990.959999999999</v>
      </c>
      <c r="F62" s="58">
        <f t="shared" si="37"/>
        <v>-3251.4500000000007</v>
      </c>
      <c r="G62" s="58">
        <f t="shared" si="38"/>
        <v>23935.199999999997</v>
      </c>
      <c r="H62" s="58">
        <f t="shared" si="39"/>
        <v>2286.92</v>
      </c>
      <c r="I62" s="58">
        <f t="shared" si="40"/>
        <v>4323.0600000000004</v>
      </c>
      <c r="J62" s="58">
        <f t="shared" si="41"/>
        <v>193.14000000000033</v>
      </c>
      <c r="K62" s="58">
        <f t="shared" si="54"/>
        <v>-7.3600000000000136</v>
      </c>
      <c r="L62" s="59">
        <v>0</v>
      </c>
      <c r="M62" s="59">
        <v>0.98</v>
      </c>
      <c r="N62" s="59">
        <v>-756.36</v>
      </c>
      <c r="O62" s="59">
        <v>749</v>
      </c>
      <c r="P62" s="59">
        <v>-0.98</v>
      </c>
      <c r="Q62" s="59">
        <v>0</v>
      </c>
      <c r="R62" s="59">
        <v>-608.47</v>
      </c>
      <c r="S62" s="59">
        <v>608.47</v>
      </c>
      <c r="T62" s="58">
        <f t="shared" si="55"/>
        <v>-13398.149999999994</v>
      </c>
      <c r="U62" s="58">
        <f t="shared" si="42"/>
        <v>-11284.039999999999</v>
      </c>
      <c r="V62" s="58">
        <f t="shared" si="43"/>
        <v>599.67999999999995</v>
      </c>
      <c r="W62" s="58">
        <f t="shared" si="51"/>
        <v>-21234.6</v>
      </c>
      <c r="X62" s="58">
        <f t="shared" si="44"/>
        <v>20952.79</v>
      </c>
      <c r="Y62" s="58">
        <f t="shared" si="45"/>
        <v>-5693.5599999999995</v>
      </c>
      <c r="Z62" s="58">
        <f t="shared" si="46"/>
        <v>-1338.32</v>
      </c>
      <c r="AA62" s="58">
        <f t="shared" si="57"/>
        <v>-3714.59</v>
      </c>
      <c r="AB62" s="58">
        <f t="shared" si="57"/>
        <v>7913.04</v>
      </c>
      <c r="AC62" s="58">
        <f t="shared" si="53"/>
        <v>401.45</v>
      </c>
      <c r="AD62" s="58">
        <f t="shared" si="56"/>
        <v>-12621.91</v>
      </c>
      <c r="AE62" s="59">
        <v>-10036.4</v>
      </c>
      <c r="AF62" s="59">
        <v>-162.4</v>
      </c>
      <c r="AG62" s="59">
        <v>-203.18</v>
      </c>
      <c r="AH62" s="59">
        <v>-5108.3999999999996</v>
      </c>
      <c r="AI62" s="59">
        <v>-1309.98</v>
      </c>
      <c r="AJ62" s="59">
        <v>-3714.59</v>
      </c>
      <c r="AK62" s="59">
        <v>7913.04</v>
      </c>
      <c r="AL62" s="58">
        <f t="shared" si="14"/>
        <v>-325.03000000000003</v>
      </c>
      <c r="AM62" s="59">
        <v>-82.14</v>
      </c>
      <c r="AN62" s="59">
        <v>-12.85</v>
      </c>
      <c r="AO62" s="59">
        <v>-17.989999999999998</v>
      </c>
      <c r="AP62" s="59">
        <v>-585.16</v>
      </c>
      <c r="AQ62" s="59">
        <v>-28.34</v>
      </c>
      <c r="AR62" s="59">
        <v>401.45</v>
      </c>
      <c r="AS62" s="58">
        <f t="shared" si="22"/>
        <v>-48.279999999998836</v>
      </c>
      <c r="AT62" s="59">
        <v>-21234.6</v>
      </c>
      <c r="AU62" s="59">
        <v>21186.32</v>
      </c>
      <c r="AV62" s="58">
        <f t="shared" si="23"/>
        <v>-55.779999999999973</v>
      </c>
      <c r="AW62" s="59">
        <v>-988.14</v>
      </c>
      <c r="AX62" s="59">
        <v>932.36</v>
      </c>
      <c r="AY62" s="59">
        <v>0</v>
      </c>
      <c r="AZ62" s="58">
        <f t="shared" si="24"/>
        <v>-337.23</v>
      </c>
      <c r="BA62" s="59">
        <v>-151.52000000000001</v>
      </c>
      <c r="BB62" s="59">
        <v>-185.71</v>
      </c>
      <c r="BC62" s="59">
        <v>0</v>
      </c>
      <c r="BD62" s="58">
        <f t="shared" si="25"/>
        <v>-9.9199999999999982</v>
      </c>
      <c r="BE62" s="59">
        <v>-25.84</v>
      </c>
      <c r="BF62" s="59">
        <v>28.28</v>
      </c>
      <c r="BG62" s="59">
        <v>-12.36</v>
      </c>
      <c r="BH62" s="58">
        <f t="shared" si="15"/>
        <v>0</v>
      </c>
      <c r="BI62" s="59">
        <v>0</v>
      </c>
      <c r="BJ62" s="59">
        <v>0</v>
      </c>
      <c r="BK62" s="58">
        <f t="shared" si="26"/>
        <v>3559.2400000000002</v>
      </c>
      <c r="BL62" s="59">
        <v>0.9</v>
      </c>
      <c r="BM62" s="59">
        <v>152.5</v>
      </c>
      <c r="BN62" s="59">
        <v>0</v>
      </c>
      <c r="BO62" s="59">
        <v>1474.74</v>
      </c>
      <c r="BP62" s="59">
        <v>1294.53</v>
      </c>
      <c r="BQ62" s="59">
        <v>0</v>
      </c>
      <c r="BR62" s="59">
        <v>593.84</v>
      </c>
      <c r="BS62" s="59">
        <v>42.73</v>
      </c>
      <c r="BT62" s="58">
        <f t="shared" si="27"/>
        <v>924.8</v>
      </c>
      <c r="BU62" s="59">
        <v>0</v>
      </c>
      <c r="BV62" s="59">
        <v>15.28</v>
      </c>
      <c r="BW62" s="59">
        <v>0</v>
      </c>
      <c r="BX62" s="59">
        <v>0</v>
      </c>
      <c r="BY62" s="59">
        <v>192.24</v>
      </c>
      <c r="BZ62" s="59">
        <v>0</v>
      </c>
      <c r="CA62" s="59">
        <v>717.28</v>
      </c>
      <c r="CB62" s="58">
        <f>'Quarter final consumption'!B62</f>
        <v>43055.139999999992</v>
      </c>
      <c r="CC62" s="58">
        <f>'Quarter final consumption'!C62</f>
        <v>451.0800000000001</v>
      </c>
      <c r="CD62" s="58">
        <f>'Quarter final consumption'!D62</f>
        <v>162.72</v>
      </c>
      <c r="CE62" s="58">
        <f>'Quarter final consumption'!E62</f>
        <v>16975.599999999999</v>
      </c>
      <c r="CF62" s="58">
        <f>'Quarter final consumption'!F62</f>
        <v>16753.89</v>
      </c>
      <c r="CG62" s="58">
        <f>'Quarter final consumption'!G62</f>
        <v>948.59999999999991</v>
      </c>
      <c r="CH62" s="58">
        <f>'Quarter final consumption'!H62</f>
        <v>7403.5300000000007</v>
      </c>
      <c r="CI62" s="71">
        <f>'Quarter final consumption'!I62</f>
        <v>359.72</v>
      </c>
    </row>
    <row r="63" spans="1:87" ht="15.5" x14ac:dyDescent="0.35">
      <c r="A63" s="50" t="s">
        <v>228</v>
      </c>
      <c r="B63" s="58">
        <f t="shared" si="33"/>
        <v>50296.719999999994</v>
      </c>
      <c r="C63" s="58">
        <f t="shared" si="34"/>
        <v>9171.7099999999973</v>
      </c>
      <c r="D63" s="58">
        <f t="shared" si="35"/>
        <v>18.370000000000061</v>
      </c>
      <c r="E63" s="58">
        <f t="shared" si="36"/>
        <v>21580.61</v>
      </c>
      <c r="F63" s="58">
        <f t="shared" si="37"/>
        <v>-3057.7200000000012</v>
      </c>
      <c r="G63" s="58">
        <f t="shared" si="38"/>
        <v>16096.819999999998</v>
      </c>
      <c r="H63" s="58">
        <f t="shared" si="39"/>
        <v>1751.09</v>
      </c>
      <c r="I63" s="58">
        <f t="shared" si="40"/>
        <v>4441.91</v>
      </c>
      <c r="J63" s="58">
        <f t="shared" si="41"/>
        <v>293.92999999999938</v>
      </c>
      <c r="K63" s="58">
        <f t="shared" si="54"/>
        <v>-10.75</v>
      </c>
      <c r="L63" s="59">
        <v>0</v>
      </c>
      <c r="M63" s="59">
        <v>0.35</v>
      </c>
      <c r="N63" s="59">
        <v>-686.9</v>
      </c>
      <c r="O63" s="59">
        <v>676.15</v>
      </c>
      <c r="P63" s="59">
        <v>-0.35</v>
      </c>
      <c r="Q63" s="59">
        <v>0</v>
      </c>
      <c r="R63" s="59">
        <v>-440.77</v>
      </c>
      <c r="S63" s="59">
        <v>440.77</v>
      </c>
      <c r="T63" s="58">
        <f t="shared" si="55"/>
        <v>-11531.269999999995</v>
      </c>
      <c r="U63" s="58">
        <f t="shared" si="42"/>
        <v>-8724.0799999999981</v>
      </c>
      <c r="V63" s="58">
        <f t="shared" si="43"/>
        <v>412.69999999999993</v>
      </c>
      <c r="W63" s="58">
        <f t="shared" si="51"/>
        <v>-20893.71</v>
      </c>
      <c r="X63" s="58">
        <f t="shared" si="44"/>
        <v>20673.36</v>
      </c>
      <c r="Y63" s="58">
        <f t="shared" si="45"/>
        <v>-5088.6399999999994</v>
      </c>
      <c r="Z63" s="58">
        <f t="shared" si="46"/>
        <v>-1063.07</v>
      </c>
      <c r="AA63" s="58">
        <f t="shared" si="57"/>
        <v>-4001.14</v>
      </c>
      <c r="AB63" s="58">
        <f t="shared" si="57"/>
        <v>6838.1</v>
      </c>
      <c r="AC63" s="58">
        <f t="shared" si="53"/>
        <v>315.20999999999998</v>
      </c>
      <c r="AD63" s="58">
        <f t="shared" si="56"/>
        <v>-10673.67</v>
      </c>
      <c r="AE63" s="59">
        <v>-7446.67</v>
      </c>
      <c r="AF63" s="59">
        <v>-215.11</v>
      </c>
      <c r="AG63" s="59">
        <v>-169.96</v>
      </c>
      <c r="AH63" s="59">
        <v>-4638.3599999999997</v>
      </c>
      <c r="AI63" s="59">
        <v>-1040.53</v>
      </c>
      <c r="AJ63" s="59">
        <v>-4001.14</v>
      </c>
      <c r="AK63" s="59">
        <v>6838.1</v>
      </c>
      <c r="AL63" s="58">
        <f t="shared" si="14"/>
        <v>-254.61999999999995</v>
      </c>
      <c r="AM63" s="59">
        <v>-66.28</v>
      </c>
      <c r="AN63" s="59">
        <v>-12.85</v>
      </c>
      <c r="AO63" s="59">
        <v>-17.88</v>
      </c>
      <c r="AP63" s="59">
        <v>-450.28</v>
      </c>
      <c r="AQ63" s="59">
        <v>-22.54</v>
      </c>
      <c r="AR63" s="59">
        <v>315.20999999999998</v>
      </c>
      <c r="AS63" s="58">
        <f t="shared" si="22"/>
        <v>-14.219999999997526</v>
      </c>
      <c r="AT63" s="59">
        <v>-20893.71</v>
      </c>
      <c r="AU63" s="59">
        <v>20879.490000000002</v>
      </c>
      <c r="AV63" s="58">
        <f t="shared" si="23"/>
        <v>-68.980000000000018</v>
      </c>
      <c r="AW63" s="59">
        <v>-989.35</v>
      </c>
      <c r="AX63" s="59">
        <v>920.37</v>
      </c>
      <c r="AY63" s="59">
        <v>0</v>
      </c>
      <c r="AZ63" s="58">
        <f t="shared" si="24"/>
        <v>-518.64</v>
      </c>
      <c r="BA63" s="59">
        <v>-192.22</v>
      </c>
      <c r="BB63" s="59">
        <v>-326.42</v>
      </c>
      <c r="BC63" s="59">
        <v>0</v>
      </c>
      <c r="BD63" s="58">
        <f t="shared" si="25"/>
        <v>-1.139999999999997</v>
      </c>
      <c r="BE63" s="59">
        <v>-29.56</v>
      </c>
      <c r="BF63" s="59">
        <v>46.71</v>
      </c>
      <c r="BG63" s="59">
        <v>-18.29</v>
      </c>
      <c r="BH63" s="58">
        <f t="shared" si="15"/>
        <v>0</v>
      </c>
      <c r="BI63" s="59">
        <v>0</v>
      </c>
      <c r="BJ63" s="59">
        <v>0</v>
      </c>
      <c r="BK63" s="58">
        <f t="shared" si="26"/>
        <v>3416.35</v>
      </c>
      <c r="BL63" s="59">
        <v>0.65</v>
      </c>
      <c r="BM63" s="59">
        <v>182.82</v>
      </c>
      <c r="BN63" s="59">
        <v>0</v>
      </c>
      <c r="BO63" s="59">
        <v>1388.05</v>
      </c>
      <c r="BP63" s="59">
        <v>1260.5999999999999</v>
      </c>
      <c r="BQ63" s="59">
        <v>0</v>
      </c>
      <c r="BR63" s="59">
        <v>541.5</v>
      </c>
      <c r="BS63" s="59">
        <v>42.73</v>
      </c>
      <c r="BT63" s="58">
        <f t="shared" si="27"/>
        <v>811.88</v>
      </c>
      <c r="BU63" s="59">
        <v>0</v>
      </c>
      <c r="BV63" s="59">
        <v>27.42</v>
      </c>
      <c r="BW63" s="59">
        <v>0</v>
      </c>
      <c r="BX63" s="59">
        <v>0</v>
      </c>
      <c r="BY63" s="59">
        <v>158.57</v>
      </c>
      <c r="BZ63" s="59">
        <v>0</v>
      </c>
      <c r="CA63" s="59">
        <v>625.89</v>
      </c>
      <c r="CB63" s="58">
        <f>'Quarter final consumption'!B63</f>
        <v>34529.17</v>
      </c>
      <c r="CC63" s="58">
        <f>'Quarter final consumption'!C63</f>
        <v>446.9799999999999</v>
      </c>
      <c r="CD63" s="58">
        <f>'Quarter final consumption'!D63</f>
        <v>221.18</v>
      </c>
      <c r="CE63" s="58">
        <f>'Quarter final consumption'!E63</f>
        <v>16903.740000000002</v>
      </c>
      <c r="CF63" s="58">
        <f>'Quarter final consumption'!F63</f>
        <v>9588.659999999998</v>
      </c>
      <c r="CG63" s="58">
        <f>'Quarter final consumption'!G63</f>
        <v>688.02</v>
      </c>
      <c r="CH63" s="58">
        <f>'Quarter final consumption'!H63</f>
        <v>6405.41</v>
      </c>
      <c r="CI63" s="71">
        <f>'Quarter final consumption'!I63</f>
        <v>275.18</v>
      </c>
    </row>
    <row r="64" spans="1:87" ht="15.5" x14ac:dyDescent="0.35">
      <c r="A64" s="50" t="s">
        <v>229</v>
      </c>
      <c r="B64" s="58">
        <f t="shared" si="33"/>
        <v>45334.94000000001</v>
      </c>
      <c r="C64" s="58">
        <f t="shared" si="34"/>
        <v>8640.5500000000011</v>
      </c>
      <c r="D64" s="58">
        <f t="shared" si="35"/>
        <v>24.989999999999895</v>
      </c>
      <c r="E64" s="58">
        <f t="shared" si="36"/>
        <v>20184.370000000003</v>
      </c>
      <c r="F64" s="58">
        <f t="shared" si="37"/>
        <v>-1449.0999999999949</v>
      </c>
      <c r="G64" s="58">
        <f t="shared" si="38"/>
        <v>11493.84</v>
      </c>
      <c r="H64" s="58">
        <f t="shared" si="39"/>
        <v>1706.42</v>
      </c>
      <c r="I64" s="58">
        <f t="shared" si="40"/>
        <v>4407.08</v>
      </c>
      <c r="J64" s="58">
        <f t="shared" si="41"/>
        <v>326.78999999999996</v>
      </c>
      <c r="K64" s="58">
        <f t="shared" si="54"/>
        <v>-5.1100000000000136</v>
      </c>
      <c r="L64" s="59">
        <v>0</v>
      </c>
      <c r="M64" s="59">
        <v>1.06</v>
      </c>
      <c r="N64" s="59">
        <v>-332.29</v>
      </c>
      <c r="O64" s="59">
        <v>327.32</v>
      </c>
      <c r="P64" s="59">
        <v>-1.2</v>
      </c>
      <c r="Q64" s="59">
        <v>0</v>
      </c>
      <c r="R64" s="59">
        <v>-512.79</v>
      </c>
      <c r="S64" s="59">
        <v>512.79</v>
      </c>
      <c r="T64" s="58">
        <f t="shared" si="55"/>
        <v>-11031.210000000001</v>
      </c>
      <c r="U64" s="58">
        <f t="shared" si="42"/>
        <v>-8227.27</v>
      </c>
      <c r="V64" s="58">
        <f t="shared" si="43"/>
        <v>367.72000000000008</v>
      </c>
      <c r="W64" s="58">
        <f>AT64</f>
        <v>-19852.080000000002</v>
      </c>
      <c r="X64" s="58">
        <f t="shared" si="44"/>
        <v>19712.109999999997</v>
      </c>
      <c r="Y64" s="58">
        <f t="shared" si="45"/>
        <v>-4617.8999999999996</v>
      </c>
      <c r="Z64" s="58">
        <f t="shared" si="46"/>
        <v>-1218.3900000000001</v>
      </c>
      <c r="AA64" s="58">
        <f t="shared" si="57"/>
        <v>-3894.29</v>
      </c>
      <c r="AB64" s="58">
        <f t="shared" si="57"/>
        <v>6429.13</v>
      </c>
      <c r="AC64" s="58">
        <f t="shared" si="53"/>
        <v>269.76</v>
      </c>
      <c r="AD64" s="58">
        <f t="shared" si="56"/>
        <v>-10268.329999999998</v>
      </c>
      <c r="AE64" s="59">
        <v>-7011.14</v>
      </c>
      <c r="AF64" s="59">
        <v>-208.79</v>
      </c>
      <c r="AG64" s="59">
        <v>-145.63</v>
      </c>
      <c r="AH64" s="59">
        <v>-4238.7</v>
      </c>
      <c r="AI64" s="59">
        <v>-1198.9100000000001</v>
      </c>
      <c r="AJ64" s="59">
        <v>-3894.29</v>
      </c>
      <c r="AK64" s="59">
        <v>6429.13</v>
      </c>
      <c r="AL64" s="58">
        <f t="shared" si="14"/>
        <v>-218.01999999999998</v>
      </c>
      <c r="AM64" s="59">
        <v>-58.43</v>
      </c>
      <c r="AN64" s="59">
        <v>-12.85</v>
      </c>
      <c r="AO64" s="59">
        <v>-17.82</v>
      </c>
      <c r="AP64" s="59">
        <v>-379.2</v>
      </c>
      <c r="AQ64" s="59">
        <v>-19.48</v>
      </c>
      <c r="AR64" s="59">
        <v>269.76</v>
      </c>
      <c r="AS64" s="58">
        <f t="shared" si="22"/>
        <v>39.469999999997526</v>
      </c>
      <c r="AT64" s="59">
        <v>-19852.080000000002</v>
      </c>
      <c r="AU64" s="59">
        <v>19891.55</v>
      </c>
      <c r="AV64" s="58">
        <f t="shared" si="23"/>
        <v>-86.269999999999982</v>
      </c>
      <c r="AW64" s="59">
        <v>-923.97</v>
      </c>
      <c r="AX64" s="59">
        <v>837.7</v>
      </c>
      <c r="AY64" s="59">
        <v>0</v>
      </c>
      <c r="AZ64" s="58">
        <f t="shared" si="24"/>
        <v>-488.84999999999997</v>
      </c>
      <c r="BA64" s="59">
        <v>-194.14</v>
      </c>
      <c r="BB64" s="59">
        <v>-294.70999999999998</v>
      </c>
      <c r="BC64" s="59">
        <v>0</v>
      </c>
      <c r="BD64" s="58">
        <f t="shared" si="25"/>
        <v>-9.2100000000000062</v>
      </c>
      <c r="BE64" s="59">
        <v>-39.590000000000003</v>
      </c>
      <c r="BF64" s="59">
        <v>46.37</v>
      </c>
      <c r="BG64" s="59">
        <v>-15.99</v>
      </c>
      <c r="BH64" s="58">
        <f t="shared" si="15"/>
        <v>0</v>
      </c>
      <c r="BI64" s="59">
        <v>0</v>
      </c>
      <c r="BJ64" s="59">
        <v>0</v>
      </c>
      <c r="BK64" s="58">
        <f t="shared" si="26"/>
        <v>3132.27</v>
      </c>
      <c r="BL64" s="59">
        <v>0.7</v>
      </c>
      <c r="BM64" s="59">
        <v>179.91</v>
      </c>
      <c r="BN64" s="59">
        <v>0</v>
      </c>
      <c r="BO64" s="59">
        <v>1284.67</v>
      </c>
      <c r="BP64" s="59">
        <v>1092.48</v>
      </c>
      <c r="BQ64" s="59">
        <v>0</v>
      </c>
      <c r="BR64" s="59">
        <v>531.78</v>
      </c>
      <c r="BS64" s="59">
        <v>42.73</v>
      </c>
      <c r="BT64" s="58">
        <f t="shared" si="27"/>
        <v>698.27</v>
      </c>
      <c r="BU64" s="59">
        <v>0</v>
      </c>
      <c r="BV64" s="59">
        <v>18.309999999999999</v>
      </c>
      <c r="BW64" s="59">
        <v>0</v>
      </c>
      <c r="BX64" s="59">
        <v>0</v>
      </c>
      <c r="BY64" s="59">
        <v>164.81</v>
      </c>
      <c r="BZ64" s="59">
        <v>0</v>
      </c>
      <c r="CA64" s="59">
        <v>515.15</v>
      </c>
      <c r="CB64" s="58">
        <f>'Quarter final consumption'!B64</f>
        <v>30473.390000000003</v>
      </c>
      <c r="CC64" s="58">
        <f>'Quarter final consumption'!C64</f>
        <v>412.58</v>
      </c>
      <c r="CD64" s="58">
        <f>'Quarter final consumption'!D64</f>
        <v>195.54999999999998</v>
      </c>
      <c r="CE64" s="58">
        <f>'Quarter final consumption'!E64</f>
        <v>17305.66</v>
      </c>
      <c r="CF64" s="58">
        <f>'Quarter final consumption'!F64</f>
        <v>5617.4500000000007</v>
      </c>
      <c r="CG64" s="58">
        <f>'Quarter final consumption'!G64</f>
        <v>488.03</v>
      </c>
      <c r="CH64" s="58">
        <f>'Quarter final consumption'!H64</f>
        <v>6221.7800000000007</v>
      </c>
      <c r="CI64" s="71">
        <f>'Quarter final consumption'!I64</f>
        <v>232.33999999999997</v>
      </c>
    </row>
    <row r="65" spans="1:87" ht="15.5" x14ac:dyDescent="0.35">
      <c r="A65" s="50" t="s">
        <v>230</v>
      </c>
      <c r="B65" s="58">
        <f t="shared" si="33"/>
        <v>58963.499999999985</v>
      </c>
      <c r="C65" s="58">
        <f t="shared" si="34"/>
        <v>11460.249999999998</v>
      </c>
      <c r="D65" s="58">
        <f t="shared" si="35"/>
        <v>55.169999999999987</v>
      </c>
      <c r="E65" s="58">
        <f t="shared" si="36"/>
        <v>16872.62</v>
      </c>
      <c r="F65" s="58">
        <f t="shared" si="37"/>
        <v>1698.9399999999951</v>
      </c>
      <c r="G65" s="58">
        <f t="shared" si="38"/>
        <v>21946.74</v>
      </c>
      <c r="H65" s="58">
        <f t="shared" si="39"/>
        <v>2356.27</v>
      </c>
      <c r="I65" s="58">
        <f t="shared" si="40"/>
        <v>4313.74</v>
      </c>
      <c r="J65" s="58">
        <f t="shared" si="41"/>
        <v>259.77000000000044</v>
      </c>
      <c r="K65" s="58">
        <f t="shared" si="54"/>
        <v>-4.3899999999999864</v>
      </c>
      <c r="L65" s="59">
        <v>0</v>
      </c>
      <c r="M65" s="59">
        <v>2.2599999999999998</v>
      </c>
      <c r="N65" s="59">
        <v>-439.46</v>
      </c>
      <c r="O65" s="59">
        <v>435.07</v>
      </c>
      <c r="P65" s="59">
        <v>-2.2599999999999998</v>
      </c>
      <c r="Q65" s="59">
        <v>0</v>
      </c>
      <c r="R65" s="59">
        <v>-717.78</v>
      </c>
      <c r="S65" s="59">
        <v>717.78</v>
      </c>
      <c r="T65" s="58">
        <f t="shared" si="55"/>
        <v>-13213.949999999995</v>
      </c>
      <c r="U65" s="58">
        <f t="shared" si="42"/>
        <v>-11023.179999999998</v>
      </c>
      <c r="V65" s="58">
        <f t="shared" si="43"/>
        <v>351.96000000000004</v>
      </c>
      <c r="W65" s="58">
        <f>AT65</f>
        <v>-16433.16</v>
      </c>
      <c r="X65" s="58">
        <f t="shared" si="44"/>
        <v>16164.160000000002</v>
      </c>
      <c r="Y65" s="58">
        <f t="shared" si="45"/>
        <v>-5204.49</v>
      </c>
      <c r="Z65" s="58">
        <f t="shared" si="46"/>
        <v>-1437.72</v>
      </c>
      <c r="AA65" s="58">
        <f t="shared" si="57"/>
        <v>-3595.96</v>
      </c>
      <c r="AB65" s="58">
        <f t="shared" si="57"/>
        <v>7572.29</v>
      </c>
      <c r="AC65" s="58">
        <f t="shared" si="53"/>
        <v>392.15</v>
      </c>
      <c r="AD65" s="58">
        <f t="shared" si="56"/>
        <v>-12301.799999999996</v>
      </c>
      <c r="AE65" s="59">
        <v>-9822.23</v>
      </c>
      <c r="AF65" s="59">
        <v>-214.48</v>
      </c>
      <c r="AG65" s="59">
        <v>-197.55</v>
      </c>
      <c r="AH65" s="59">
        <v>-4633.87</v>
      </c>
      <c r="AI65" s="59">
        <v>-1410</v>
      </c>
      <c r="AJ65" s="59">
        <v>-3595.96</v>
      </c>
      <c r="AK65" s="59">
        <v>7572.29</v>
      </c>
      <c r="AL65" s="58">
        <f t="shared" si="14"/>
        <v>-316.31000000000006</v>
      </c>
      <c r="AM65" s="59">
        <v>-79.3</v>
      </c>
      <c r="AN65" s="59">
        <v>-12.85</v>
      </c>
      <c r="AO65" s="59">
        <v>-17.97</v>
      </c>
      <c r="AP65" s="59">
        <v>-570.62</v>
      </c>
      <c r="AQ65" s="59">
        <v>-27.72</v>
      </c>
      <c r="AR65" s="59">
        <v>392.15</v>
      </c>
      <c r="AS65" s="58">
        <f t="shared" si="22"/>
        <v>-28.849999999998545</v>
      </c>
      <c r="AT65" s="59">
        <v>-16433.16</v>
      </c>
      <c r="AU65" s="59">
        <v>16404.310000000001</v>
      </c>
      <c r="AV65" s="58">
        <f t="shared" si="23"/>
        <v>-56.819999999999936</v>
      </c>
      <c r="AW65" s="59">
        <v>-873.15</v>
      </c>
      <c r="AX65" s="59">
        <v>816.33</v>
      </c>
      <c r="AY65" s="59">
        <v>0</v>
      </c>
      <c r="AZ65" s="58">
        <f t="shared" si="24"/>
        <v>-511.27</v>
      </c>
      <c r="BA65" s="59">
        <v>-212.25</v>
      </c>
      <c r="BB65" s="59">
        <v>-299.02</v>
      </c>
      <c r="BC65" s="59">
        <v>0</v>
      </c>
      <c r="BD65" s="58">
        <f t="shared" si="25"/>
        <v>1.0999999999999979</v>
      </c>
      <c r="BE65" s="59">
        <v>-36.25</v>
      </c>
      <c r="BF65" s="59">
        <v>61.98</v>
      </c>
      <c r="BG65" s="59">
        <v>-24.63</v>
      </c>
      <c r="BH65" s="58">
        <f t="shared" si="15"/>
        <v>0</v>
      </c>
      <c r="BI65" s="59">
        <v>0</v>
      </c>
      <c r="BJ65" s="59">
        <v>0</v>
      </c>
      <c r="BK65" s="58">
        <f t="shared" si="26"/>
        <v>3019.6800000000003</v>
      </c>
      <c r="BL65" s="59">
        <v>0.4</v>
      </c>
      <c r="BM65" s="59">
        <v>184.37</v>
      </c>
      <c r="BN65" s="59">
        <v>0</v>
      </c>
      <c r="BO65" s="59">
        <v>1018.32</v>
      </c>
      <c r="BP65" s="59">
        <v>1187.8</v>
      </c>
      <c r="BQ65" s="59">
        <v>0</v>
      </c>
      <c r="BR65" s="59">
        <v>586.05999999999995</v>
      </c>
      <c r="BS65" s="59">
        <v>42.73</v>
      </c>
      <c r="BT65" s="58">
        <f t="shared" si="27"/>
        <v>816.67000000000007</v>
      </c>
      <c r="BU65" s="59">
        <v>0</v>
      </c>
      <c r="BV65" s="59">
        <v>25.7</v>
      </c>
      <c r="BW65" s="59">
        <v>0</v>
      </c>
      <c r="BX65" s="59">
        <v>0</v>
      </c>
      <c r="BY65" s="59">
        <v>162.88</v>
      </c>
      <c r="BZ65" s="59">
        <v>0</v>
      </c>
      <c r="CA65" s="59">
        <v>628.09</v>
      </c>
      <c r="CB65" s="58">
        <f>'Quarter final consumption'!B65</f>
        <v>41899.80000000001</v>
      </c>
      <c r="CC65" s="58">
        <f>'Quarter final consumption'!C65</f>
        <v>436.67</v>
      </c>
      <c r="CD65" s="58">
        <f>'Quarter final consumption'!D65</f>
        <v>199.32000000000002</v>
      </c>
      <c r="CE65" s="58">
        <f>'Quarter final consumption'!E65</f>
        <v>17279.849999999999</v>
      </c>
      <c r="CF65" s="58">
        <f>'Quarter final consumption'!F65</f>
        <v>15389.310000000001</v>
      </c>
      <c r="CG65" s="58">
        <f>'Quarter final consumption'!G65</f>
        <v>918.55</v>
      </c>
      <c r="CH65" s="58">
        <f>'Quarter final consumption'!H65</f>
        <v>7335.6900000000005</v>
      </c>
      <c r="CI65" s="71">
        <f>'Quarter final consumption'!I65</f>
        <v>340.40999999999997</v>
      </c>
    </row>
    <row r="66" spans="1:87" ht="15.5" x14ac:dyDescent="0.35">
      <c r="A66" s="50" t="s">
        <v>231</v>
      </c>
      <c r="B66" s="58">
        <f t="shared" si="33"/>
        <v>63410.06</v>
      </c>
      <c r="C66" s="58">
        <f t="shared" si="34"/>
        <v>11692.41</v>
      </c>
      <c r="D66" s="58">
        <f t="shared" si="35"/>
        <v>112.44000000000001</v>
      </c>
      <c r="E66" s="58">
        <f t="shared" si="36"/>
        <v>18689.059999999998</v>
      </c>
      <c r="F66" s="58">
        <f t="shared" si="37"/>
        <v>-1341.869999999999</v>
      </c>
      <c r="G66" s="58">
        <f t="shared" si="38"/>
        <v>26896.31</v>
      </c>
      <c r="H66" s="58">
        <f t="shared" si="39"/>
        <v>2407.1000000000004</v>
      </c>
      <c r="I66" s="58">
        <f t="shared" si="40"/>
        <v>4701.93</v>
      </c>
      <c r="J66" s="58">
        <f t="shared" si="41"/>
        <v>252.68000000000029</v>
      </c>
      <c r="K66" s="58">
        <f t="shared" si="54"/>
        <v>-2.4800000000000182</v>
      </c>
      <c r="L66" s="59">
        <v>0</v>
      </c>
      <c r="M66" s="59">
        <v>2.52</v>
      </c>
      <c r="N66" s="59">
        <v>-617.36</v>
      </c>
      <c r="O66" s="59">
        <v>614.88</v>
      </c>
      <c r="P66" s="59">
        <v>-2.52</v>
      </c>
      <c r="Q66" s="59">
        <v>0</v>
      </c>
      <c r="R66" s="59">
        <v>-702.74</v>
      </c>
      <c r="S66" s="59">
        <v>702.74</v>
      </c>
      <c r="T66" s="58">
        <f t="shared" si="55"/>
        <v>-13659.369999999994</v>
      </c>
      <c r="U66" s="58">
        <f t="shared" si="42"/>
        <v>-11172.16</v>
      </c>
      <c r="V66" s="58">
        <f t="shared" si="43"/>
        <v>326.45</v>
      </c>
      <c r="W66" s="58">
        <f t="shared" ref="W66:W101" si="58">AT66+BI66</f>
        <v>-18071.699999999997</v>
      </c>
      <c r="X66" s="58">
        <f t="shared" ref="X66:X101" si="59">AG66+AO66+AU66+AY66+BC66+BG66+BJ66</f>
        <v>17925.02</v>
      </c>
      <c r="Y66" s="58">
        <f t="shared" si="45"/>
        <v>-5750.55</v>
      </c>
      <c r="Z66" s="58">
        <f t="shared" si="46"/>
        <v>-1299.71</v>
      </c>
      <c r="AA66" s="58">
        <f t="shared" si="57"/>
        <v>-3999.19</v>
      </c>
      <c r="AB66" s="58">
        <f t="shared" si="57"/>
        <v>7949.67</v>
      </c>
      <c r="AC66" s="58">
        <f t="shared" si="53"/>
        <v>432.8</v>
      </c>
      <c r="AD66" s="58">
        <f t="shared" si="56"/>
        <v>-12694.47</v>
      </c>
      <c r="AE66" s="59">
        <v>-9887.64</v>
      </c>
      <c r="AF66" s="59">
        <v>-229.25</v>
      </c>
      <c r="AG66" s="59">
        <v>-163.15</v>
      </c>
      <c r="AH66" s="59">
        <v>-5076.84</v>
      </c>
      <c r="AI66" s="59">
        <v>-1288.07</v>
      </c>
      <c r="AJ66" s="59">
        <v>-3999.19</v>
      </c>
      <c r="AK66" s="59">
        <v>7949.67</v>
      </c>
      <c r="AL66" s="58">
        <f t="shared" si="14"/>
        <v>-353.75000000000006</v>
      </c>
      <c r="AM66" s="59">
        <v>-73.290000000000006</v>
      </c>
      <c r="AN66" s="59">
        <v>-12.85</v>
      </c>
      <c r="AO66" s="59">
        <v>-15.06</v>
      </c>
      <c r="AP66" s="59">
        <v>-673.71</v>
      </c>
      <c r="AQ66" s="59">
        <v>-11.64</v>
      </c>
      <c r="AR66" s="59">
        <v>432.8</v>
      </c>
      <c r="AS66" s="58">
        <f t="shared" si="22"/>
        <v>69.25</v>
      </c>
      <c r="AT66" s="59">
        <v>-18200.78</v>
      </c>
      <c r="AU66" s="59">
        <v>18270.03</v>
      </c>
      <c r="AV66" s="58">
        <f t="shared" si="23"/>
        <v>-96.690000000000055</v>
      </c>
      <c r="AW66" s="59">
        <v>-944.57</v>
      </c>
      <c r="AX66" s="59">
        <v>847.88</v>
      </c>
      <c r="AY66" s="59">
        <v>0</v>
      </c>
      <c r="AZ66" s="58">
        <f t="shared" si="24"/>
        <v>-561.63</v>
      </c>
      <c r="BA66" s="59">
        <v>-223.55</v>
      </c>
      <c r="BB66" s="59">
        <v>-338.08</v>
      </c>
      <c r="BC66" s="59">
        <v>0</v>
      </c>
      <c r="BD66" s="58">
        <f t="shared" si="25"/>
        <v>-9.4499999999999993</v>
      </c>
      <c r="BE66" s="59">
        <v>-43.11</v>
      </c>
      <c r="BF66" s="59">
        <v>58.75</v>
      </c>
      <c r="BG66" s="59">
        <v>-25.09</v>
      </c>
      <c r="BH66" s="58">
        <f>SUM(BI66:BJ66)</f>
        <v>-12.629999999999995</v>
      </c>
      <c r="BI66" s="59">
        <v>129.08000000000001</v>
      </c>
      <c r="BJ66" s="59">
        <v>-141.71</v>
      </c>
      <c r="BK66" s="58">
        <f t="shared" si="26"/>
        <v>3264.94</v>
      </c>
      <c r="BL66" s="59">
        <v>0.94</v>
      </c>
      <c r="BM66" s="59">
        <v>178.01</v>
      </c>
      <c r="BN66" s="59">
        <v>0</v>
      </c>
      <c r="BO66" s="59">
        <v>1146.53</v>
      </c>
      <c r="BP66" s="59">
        <v>1267.1600000000001</v>
      </c>
      <c r="BQ66" s="59">
        <v>0</v>
      </c>
      <c r="BR66" s="59">
        <v>632.41</v>
      </c>
      <c r="BS66" s="59">
        <v>39.89</v>
      </c>
      <c r="BT66" s="58">
        <f t="shared" si="27"/>
        <v>940.92000000000007</v>
      </c>
      <c r="BU66" s="59">
        <v>0</v>
      </c>
      <c r="BV66" s="59">
        <v>38.299999999999997</v>
      </c>
      <c r="BW66" s="59">
        <v>0</v>
      </c>
      <c r="BX66" s="59">
        <v>0</v>
      </c>
      <c r="BY66" s="59">
        <v>168.74</v>
      </c>
      <c r="BZ66" s="59">
        <v>0</v>
      </c>
      <c r="CA66" s="59">
        <v>733.88</v>
      </c>
      <c r="CB66" s="58">
        <f>'Quarter final consumption'!B66</f>
        <v>45537.279999999999</v>
      </c>
      <c r="CC66" s="58">
        <f>'Quarter final consumption'!C66</f>
        <v>519.30999999999995</v>
      </c>
      <c r="CD66" s="58">
        <f>'Quarter final consumption'!D66</f>
        <v>225.1</v>
      </c>
      <c r="CE66" s="58">
        <f>'Quarter final consumption'!E66</f>
        <v>16051.500000000004</v>
      </c>
      <c r="CF66" s="58">
        <f>'Quarter final consumption'!F66</f>
        <v>19707.34</v>
      </c>
      <c r="CG66" s="58">
        <f>'Quarter final consumption'!G66</f>
        <v>1107.3900000000001</v>
      </c>
      <c r="CH66" s="58">
        <f>'Quarter final consumption'!H66</f>
        <v>7538.8</v>
      </c>
      <c r="CI66" s="71">
        <f>'Quarter final consumption'!I66</f>
        <v>387.84000000000003</v>
      </c>
    </row>
    <row r="67" spans="1:87" ht="15.5" x14ac:dyDescent="0.35">
      <c r="A67" s="50" t="s">
        <v>232</v>
      </c>
      <c r="B67" s="58">
        <f t="shared" si="33"/>
        <v>50288.240000000005</v>
      </c>
      <c r="C67" s="58">
        <f t="shared" si="34"/>
        <v>8715.23</v>
      </c>
      <c r="D67" s="58">
        <f t="shared" si="35"/>
        <v>138.57999999999993</v>
      </c>
      <c r="E67" s="58">
        <f t="shared" si="36"/>
        <v>19595.13</v>
      </c>
      <c r="F67" s="58">
        <f t="shared" si="37"/>
        <v>-475.90999999999985</v>
      </c>
      <c r="G67" s="58">
        <f t="shared" si="38"/>
        <v>15615.599999999999</v>
      </c>
      <c r="H67" s="58">
        <f t="shared" si="39"/>
        <v>2282.12</v>
      </c>
      <c r="I67" s="58">
        <f t="shared" si="40"/>
        <v>4085.24</v>
      </c>
      <c r="J67" s="58">
        <f t="shared" si="41"/>
        <v>332.24999999999909</v>
      </c>
      <c r="K67" s="58">
        <f t="shared" si="54"/>
        <v>-5.2800000000000864</v>
      </c>
      <c r="L67" s="59">
        <v>0</v>
      </c>
      <c r="M67" s="59">
        <v>1.05</v>
      </c>
      <c r="N67" s="59">
        <v>-712.32</v>
      </c>
      <c r="O67" s="59">
        <v>707.04</v>
      </c>
      <c r="P67" s="59">
        <v>-1.05</v>
      </c>
      <c r="Q67" s="59">
        <v>0</v>
      </c>
      <c r="R67" s="59">
        <v>-701.64</v>
      </c>
      <c r="S67" s="59">
        <v>701.64</v>
      </c>
      <c r="T67" s="58">
        <f t="shared" si="55"/>
        <v>-11128.919999999998</v>
      </c>
      <c r="U67" s="58">
        <f t="shared" si="42"/>
        <v>-8209.57</v>
      </c>
      <c r="V67" s="58">
        <f t="shared" si="43"/>
        <v>349.13000000000005</v>
      </c>
      <c r="W67" s="58">
        <f t="shared" si="58"/>
        <v>-18882.810000000001</v>
      </c>
      <c r="X67" s="58">
        <f t="shared" si="59"/>
        <v>18626.400000000001</v>
      </c>
      <c r="Y67" s="58">
        <f t="shared" si="45"/>
        <v>-4844.1799999999994</v>
      </c>
      <c r="Z67" s="58">
        <f t="shared" si="46"/>
        <v>-1529.03</v>
      </c>
      <c r="AA67" s="58">
        <f t="shared" si="57"/>
        <v>-3383.6</v>
      </c>
      <c r="AB67" s="58">
        <f t="shared" si="57"/>
        <v>6438.63</v>
      </c>
      <c r="AC67" s="58">
        <f t="shared" si="53"/>
        <v>306.11</v>
      </c>
      <c r="AD67" s="58">
        <f t="shared" si="56"/>
        <v>-10077.239999999998</v>
      </c>
      <c r="AE67" s="59">
        <v>-6867.2</v>
      </c>
      <c r="AF67" s="59">
        <v>-244.8</v>
      </c>
      <c r="AG67" s="59">
        <v>-124.66</v>
      </c>
      <c r="AH67" s="59">
        <v>-4372.57</v>
      </c>
      <c r="AI67" s="59">
        <v>-1523.04</v>
      </c>
      <c r="AJ67" s="59">
        <v>-3383.6</v>
      </c>
      <c r="AK67" s="59">
        <v>6438.63</v>
      </c>
      <c r="AL67" s="58">
        <f t="shared" si="14"/>
        <v>-249.53999999999996</v>
      </c>
      <c r="AM67" s="59">
        <v>-50.22</v>
      </c>
      <c r="AN67" s="59">
        <v>-12.85</v>
      </c>
      <c r="AO67" s="59">
        <v>-14.98</v>
      </c>
      <c r="AP67" s="59">
        <v>-471.61</v>
      </c>
      <c r="AQ67" s="59">
        <v>-5.99</v>
      </c>
      <c r="AR67" s="59">
        <v>306.11</v>
      </c>
      <c r="AS67" s="58">
        <f t="shared" si="22"/>
        <v>-83.159999999999854</v>
      </c>
      <c r="AT67" s="59">
        <v>-18991.7</v>
      </c>
      <c r="AU67" s="59">
        <v>18908.54</v>
      </c>
      <c r="AV67" s="58">
        <f t="shared" si="23"/>
        <v>-90.269999999999982</v>
      </c>
      <c r="AW67" s="59">
        <v>-996.09</v>
      </c>
      <c r="AX67" s="59">
        <v>905.82</v>
      </c>
      <c r="AY67" s="59">
        <v>0</v>
      </c>
      <c r="AZ67" s="58">
        <f t="shared" si="24"/>
        <v>-607.65</v>
      </c>
      <c r="BA67" s="59">
        <v>-246.91</v>
      </c>
      <c r="BB67" s="59">
        <v>-360.74</v>
      </c>
      <c r="BC67" s="59">
        <v>0</v>
      </c>
      <c r="BD67" s="58">
        <f t="shared" si="25"/>
        <v>-9.8499999999999943</v>
      </c>
      <c r="BE67" s="59">
        <v>-49.15</v>
      </c>
      <c r="BF67" s="59">
        <v>61.7</v>
      </c>
      <c r="BG67" s="59">
        <v>-22.4</v>
      </c>
      <c r="BH67" s="58">
        <f t="shared" ref="BH67:BH103" si="60">SUM(BI67:BJ67)</f>
        <v>-11.209999999999994</v>
      </c>
      <c r="BI67" s="59">
        <v>108.89</v>
      </c>
      <c r="BJ67" s="59">
        <v>-120.1</v>
      </c>
      <c r="BK67" s="58">
        <f t="shared" si="26"/>
        <v>3234.39</v>
      </c>
      <c r="BL67" s="59">
        <v>0.31</v>
      </c>
      <c r="BM67" s="59">
        <v>196.84</v>
      </c>
      <c r="BN67" s="59">
        <v>0</v>
      </c>
      <c r="BO67" s="59">
        <v>1221.81</v>
      </c>
      <c r="BP67" s="59">
        <v>1224.06</v>
      </c>
      <c r="BQ67" s="59">
        <v>0</v>
      </c>
      <c r="BR67" s="59">
        <v>551.48</v>
      </c>
      <c r="BS67" s="59">
        <v>39.89</v>
      </c>
      <c r="BT67" s="58">
        <f t="shared" si="27"/>
        <v>799.16000000000008</v>
      </c>
      <c r="BU67" s="59">
        <v>0</v>
      </c>
      <c r="BV67" s="59">
        <v>51.9</v>
      </c>
      <c r="BW67" s="59">
        <v>0</v>
      </c>
      <c r="BX67" s="59">
        <v>0</v>
      </c>
      <c r="BY67" s="59">
        <v>177.9</v>
      </c>
      <c r="BZ67" s="59">
        <v>0</v>
      </c>
      <c r="CA67" s="59">
        <v>569.36</v>
      </c>
      <c r="CB67" s="58">
        <f>'Quarter final consumption'!B67</f>
        <v>35122.400000000001</v>
      </c>
      <c r="CC67" s="58">
        <f>'Quarter final consumption'!C67</f>
        <v>505.34999999999997</v>
      </c>
      <c r="CD67" s="58">
        <f>'Quarter final consumption'!D67</f>
        <v>240.01999999999998</v>
      </c>
      <c r="CE67" s="58">
        <f>'Quarter final consumption'!E67</f>
        <v>17635.72</v>
      </c>
      <c r="CF67" s="58">
        <f>'Quarter final consumption'!F67</f>
        <v>9368.41</v>
      </c>
      <c r="CG67" s="58">
        <f>'Quarter final consumption'!G67</f>
        <v>753.09</v>
      </c>
      <c r="CH67" s="58">
        <f>'Quarter final consumption'!H67</f>
        <v>6351.68</v>
      </c>
      <c r="CI67" s="71">
        <f>'Quarter final consumption'!I67</f>
        <v>268.13</v>
      </c>
    </row>
    <row r="68" spans="1:87" ht="15.5" x14ac:dyDescent="0.35">
      <c r="A68" s="50" t="s">
        <v>233</v>
      </c>
      <c r="B68" s="58">
        <f t="shared" si="33"/>
        <v>44664.55</v>
      </c>
      <c r="C68" s="58">
        <f t="shared" si="34"/>
        <v>8409.01</v>
      </c>
      <c r="D68" s="58">
        <f t="shared" si="35"/>
        <v>74.170000000000016</v>
      </c>
      <c r="E68" s="58">
        <f t="shared" si="36"/>
        <v>19011.699999999997</v>
      </c>
      <c r="F68" s="58">
        <f t="shared" si="37"/>
        <v>-418.13000000000102</v>
      </c>
      <c r="G68" s="58">
        <f t="shared" si="38"/>
        <v>10535.710000000001</v>
      </c>
      <c r="H68" s="58">
        <f t="shared" si="39"/>
        <v>1983.7</v>
      </c>
      <c r="I68" s="58">
        <f t="shared" si="40"/>
        <v>4632.2300000000005</v>
      </c>
      <c r="J68" s="58">
        <f t="shared" si="41"/>
        <v>436.16000000000076</v>
      </c>
      <c r="K68" s="58">
        <f t="shared" si="54"/>
        <v>-6.8100000000000591</v>
      </c>
      <c r="L68" s="59">
        <v>0</v>
      </c>
      <c r="M68" s="59">
        <v>1.22</v>
      </c>
      <c r="N68" s="59">
        <v>-605.32000000000005</v>
      </c>
      <c r="O68" s="59">
        <v>598.5</v>
      </c>
      <c r="P68" s="59">
        <v>-1.21</v>
      </c>
      <c r="Q68" s="59">
        <v>0</v>
      </c>
      <c r="R68" s="59">
        <v>-544.95000000000005</v>
      </c>
      <c r="S68" s="59">
        <v>544.95000000000005</v>
      </c>
      <c r="T68" s="58">
        <f t="shared" si="55"/>
        <v>-10791.07</v>
      </c>
      <c r="U68" s="58">
        <f t="shared" si="42"/>
        <v>-7923.07</v>
      </c>
      <c r="V68" s="58">
        <f t="shared" si="43"/>
        <v>426.40999999999997</v>
      </c>
      <c r="W68" s="58">
        <f t="shared" si="58"/>
        <v>-18406.379999999997</v>
      </c>
      <c r="X68" s="58">
        <f t="shared" si="59"/>
        <v>18367.57</v>
      </c>
      <c r="Y68" s="58">
        <f t="shared" si="45"/>
        <v>-4281.22</v>
      </c>
      <c r="Z68" s="58">
        <f t="shared" si="46"/>
        <v>-1372.4</v>
      </c>
      <c r="AA68" s="58">
        <f t="shared" si="57"/>
        <v>-4087.28</v>
      </c>
      <c r="AB68" s="58">
        <f t="shared" si="57"/>
        <v>6230.07</v>
      </c>
      <c r="AC68" s="58">
        <f t="shared" si="53"/>
        <v>255.23</v>
      </c>
      <c r="AD68" s="58">
        <f t="shared" si="56"/>
        <v>-9975.1400000000012</v>
      </c>
      <c r="AE68" s="59">
        <v>-6472.46</v>
      </c>
      <c r="AF68" s="59">
        <v>-234.28</v>
      </c>
      <c r="AG68" s="59">
        <v>-151.72</v>
      </c>
      <c r="AH68" s="59">
        <v>-3890.79</v>
      </c>
      <c r="AI68" s="59">
        <v>-1368.68</v>
      </c>
      <c r="AJ68" s="59">
        <v>-4087.28</v>
      </c>
      <c r="AK68" s="59">
        <v>6230.07</v>
      </c>
      <c r="AL68" s="58">
        <f t="shared" si="14"/>
        <v>-208.15000000000006</v>
      </c>
      <c r="AM68" s="59">
        <v>-41.42</v>
      </c>
      <c r="AN68" s="59">
        <v>-12.85</v>
      </c>
      <c r="AO68" s="59">
        <v>-14.96</v>
      </c>
      <c r="AP68" s="59">
        <v>-390.43</v>
      </c>
      <c r="AQ68" s="59">
        <v>-3.72</v>
      </c>
      <c r="AR68" s="59">
        <v>255.23</v>
      </c>
      <c r="AS68" s="58">
        <f t="shared" si="22"/>
        <v>160.10000000000218</v>
      </c>
      <c r="AT68" s="59">
        <v>-18527.71</v>
      </c>
      <c r="AU68" s="59">
        <v>18687.810000000001</v>
      </c>
      <c r="AV68" s="58">
        <f t="shared" si="23"/>
        <v>-146.18000000000006</v>
      </c>
      <c r="AW68" s="59">
        <v>-1067.69</v>
      </c>
      <c r="AX68" s="59">
        <v>921.51</v>
      </c>
      <c r="AY68" s="59">
        <v>0</v>
      </c>
      <c r="AZ68" s="58">
        <f t="shared" si="24"/>
        <v>-600.87</v>
      </c>
      <c r="BA68" s="59">
        <v>-298.64999999999998</v>
      </c>
      <c r="BB68" s="59">
        <v>-302.22000000000003</v>
      </c>
      <c r="BC68" s="59">
        <v>0</v>
      </c>
      <c r="BD68" s="58">
        <f t="shared" si="25"/>
        <v>-8.91</v>
      </c>
      <c r="BE68" s="59">
        <v>-42.85</v>
      </c>
      <c r="BF68" s="59">
        <v>54.25</v>
      </c>
      <c r="BG68" s="59">
        <v>-20.309999999999999</v>
      </c>
      <c r="BH68" s="58">
        <f t="shared" si="60"/>
        <v>-11.920000000000002</v>
      </c>
      <c r="BI68" s="59">
        <v>121.33</v>
      </c>
      <c r="BJ68" s="59">
        <v>-133.25</v>
      </c>
      <c r="BK68" s="58">
        <f t="shared" si="26"/>
        <v>2997.4</v>
      </c>
      <c r="BL68" s="59">
        <v>0.28000000000000003</v>
      </c>
      <c r="BM68" s="59">
        <v>202.74</v>
      </c>
      <c r="BN68" s="59">
        <v>0</v>
      </c>
      <c r="BO68" s="59">
        <v>1227.05</v>
      </c>
      <c r="BP68" s="59">
        <v>972.18</v>
      </c>
      <c r="BQ68" s="59">
        <v>0</v>
      </c>
      <c r="BR68" s="59">
        <v>555.26</v>
      </c>
      <c r="BS68" s="59">
        <v>39.89</v>
      </c>
      <c r="BT68" s="58">
        <f t="shared" si="27"/>
        <v>672.1</v>
      </c>
      <c r="BU68" s="59">
        <v>0</v>
      </c>
      <c r="BV68" s="59">
        <v>64.89</v>
      </c>
      <c r="BW68" s="59">
        <v>0</v>
      </c>
      <c r="BX68" s="59">
        <v>0</v>
      </c>
      <c r="BY68" s="59">
        <v>138.79</v>
      </c>
      <c r="BZ68" s="59">
        <v>0</v>
      </c>
      <c r="CA68" s="59">
        <v>468.42</v>
      </c>
      <c r="CB68" s="58">
        <f>'Quarter final consumption'!B68</f>
        <v>30201.670000000002</v>
      </c>
      <c r="CC68" s="58">
        <f>'Quarter final consumption'!C68</f>
        <v>485.65999999999997</v>
      </c>
      <c r="CD68" s="58">
        <f>'Quarter final consumption'!D68</f>
        <v>234.17000000000002</v>
      </c>
      <c r="CE68" s="58">
        <f>'Quarter final consumption'!E68</f>
        <v>17320.89</v>
      </c>
      <c r="CF68" s="58">
        <f>'Quarter final consumption'!F68</f>
        <v>5142.3100000000004</v>
      </c>
      <c r="CG68" s="58">
        <f>'Quarter final consumption'!G68</f>
        <v>611.29999999999995</v>
      </c>
      <c r="CH68" s="58">
        <f>'Quarter final consumption'!H68</f>
        <v>6187.5</v>
      </c>
      <c r="CI68" s="71">
        <f>'Quarter final consumption'!I68</f>
        <v>219.84</v>
      </c>
    </row>
    <row r="69" spans="1:87" ht="15.5" x14ac:dyDescent="0.35">
      <c r="A69" s="50" t="s">
        <v>234</v>
      </c>
      <c r="B69" s="58">
        <f t="shared" si="33"/>
        <v>56291.969999999994</v>
      </c>
      <c r="C69" s="58">
        <f t="shared" si="34"/>
        <v>10090.279999999999</v>
      </c>
      <c r="D69" s="58">
        <f t="shared" si="35"/>
        <v>97.379999999999967</v>
      </c>
      <c r="E69" s="58">
        <f t="shared" si="36"/>
        <v>16364.49</v>
      </c>
      <c r="F69" s="58">
        <f t="shared" si="37"/>
        <v>2071.619999999999</v>
      </c>
      <c r="G69" s="58">
        <f t="shared" si="38"/>
        <v>19877.98</v>
      </c>
      <c r="H69" s="58">
        <f t="shared" si="39"/>
        <v>2431.89</v>
      </c>
      <c r="I69" s="58">
        <f t="shared" si="40"/>
        <v>5042.7</v>
      </c>
      <c r="J69" s="58">
        <f t="shared" si="41"/>
        <v>315.6299999999992</v>
      </c>
      <c r="K69" s="58">
        <f t="shared" si="54"/>
        <v>6.8399999999999181</v>
      </c>
      <c r="L69" s="59">
        <v>0</v>
      </c>
      <c r="M69" s="59">
        <v>0.42</v>
      </c>
      <c r="N69" s="59">
        <v>-187.41</v>
      </c>
      <c r="O69" s="59">
        <v>194.25</v>
      </c>
      <c r="P69" s="59">
        <v>-0.42</v>
      </c>
      <c r="Q69" s="59">
        <v>0</v>
      </c>
      <c r="R69" s="59">
        <v>-1069.9100000000001</v>
      </c>
      <c r="S69" s="59">
        <v>1069.9100000000001</v>
      </c>
      <c r="T69" s="58">
        <f t="shared" si="55"/>
        <v>-12332.269999999995</v>
      </c>
      <c r="U69" s="58">
        <f t="shared" si="42"/>
        <v>-9524.2199999999993</v>
      </c>
      <c r="V69" s="58">
        <f t="shared" si="43"/>
        <v>416.88</v>
      </c>
      <c r="W69" s="58">
        <f t="shared" si="58"/>
        <v>-16177.08</v>
      </c>
      <c r="X69" s="58">
        <f t="shared" si="59"/>
        <v>15939.740000000002</v>
      </c>
      <c r="Y69" s="58">
        <f t="shared" si="45"/>
        <v>-4915.1400000000003</v>
      </c>
      <c r="Z69" s="58">
        <f t="shared" si="46"/>
        <v>-1376.85</v>
      </c>
      <c r="AA69" s="58">
        <f t="shared" si="57"/>
        <v>-3972.79</v>
      </c>
      <c r="AB69" s="58">
        <f t="shared" si="57"/>
        <v>6919.56</v>
      </c>
      <c r="AC69" s="58">
        <f t="shared" si="53"/>
        <v>357.63</v>
      </c>
      <c r="AD69" s="58">
        <f t="shared" si="56"/>
        <v>-11255.14</v>
      </c>
      <c r="AE69" s="59">
        <v>-8100.58</v>
      </c>
      <c r="AF69" s="59">
        <v>-231.04</v>
      </c>
      <c r="AG69" s="59">
        <v>-140.38999999999999</v>
      </c>
      <c r="AH69" s="59">
        <v>-4361.34</v>
      </c>
      <c r="AI69" s="59">
        <v>-1368.56</v>
      </c>
      <c r="AJ69" s="59">
        <v>-3972.79</v>
      </c>
      <c r="AK69" s="59">
        <v>6919.56</v>
      </c>
      <c r="AL69" s="58">
        <f t="shared" si="14"/>
        <v>-292.03999999999996</v>
      </c>
      <c r="AM69" s="59">
        <v>-59.72</v>
      </c>
      <c r="AN69" s="59">
        <v>-12.85</v>
      </c>
      <c r="AO69" s="59">
        <v>-15.01</v>
      </c>
      <c r="AP69" s="59">
        <v>-553.79999999999995</v>
      </c>
      <c r="AQ69" s="59">
        <v>-8.2899999999999991</v>
      </c>
      <c r="AR69" s="59">
        <v>357.63</v>
      </c>
      <c r="AS69" s="58">
        <f t="shared" si="22"/>
        <v>-41.459999999999127</v>
      </c>
      <c r="AT69" s="59">
        <v>-16316.32</v>
      </c>
      <c r="AU69" s="59">
        <v>16274.86</v>
      </c>
      <c r="AV69" s="58">
        <f t="shared" si="23"/>
        <v>-112.72000000000003</v>
      </c>
      <c r="AW69" s="59">
        <v>-1011.69</v>
      </c>
      <c r="AX69" s="59">
        <v>898.97</v>
      </c>
      <c r="AY69" s="59">
        <v>0</v>
      </c>
      <c r="AZ69" s="58">
        <f t="shared" si="24"/>
        <v>-605.95000000000005</v>
      </c>
      <c r="BA69" s="59">
        <v>-303.47000000000003</v>
      </c>
      <c r="BB69" s="59">
        <v>-302.48</v>
      </c>
      <c r="BC69" s="59">
        <v>0</v>
      </c>
      <c r="BD69" s="58">
        <f t="shared" si="25"/>
        <v>-11.439999999999998</v>
      </c>
      <c r="BE69" s="59">
        <v>-48.76</v>
      </c>
      <c r="BF69" s="59">
        <v>64.28</v>
      </c>
      <c r="BG69" s="59">
        <v>-26.96</v>
      </c>
      <c r="BH69" s="58">
        <f t="shared" si="60"/>
        <v>-13.519999999999982</v>
      </c>
      <c r="BI69" s="59">
        <v>139.24</v>
      </c>
      <c r="BJ69" s="59">
        <v>-152.76</v>
      </c>
      <c r="BK69" s="58">
        <f t="shared" si="26"/>
        <v>2982.91</v>
      </c>
      <c r="BL69" s="59">
        <v>0.26</v>
      </c>
      <c r="BM69" s="59">
        <v>199.78</v>
      </c>
      <c r="BN69" s="59">
        <v>0</v>
      </c>
      <c r="BO69" s="59">
        <v>1048.9100000000001</v>
      </c>
      <c r="BP69" s="59">
        <v>1112.6099999999999</v>
      </c>
      <c r="BQ69" s="59">
        <v>0</v>
      </c>
      <c r="BR69" s="59">
        <v>581.46</v>
      </c>
      <c r="BS69" s="59">
        <v>39.89</v>
      </c>
      <c r="BT69" s="58">
        <f t="shared" si="27"/>
        <v>824.31</v>
      </c>
      <c r="BU69" s="59">
        <v>0</v>
      </c>
      <c r="BV69" s="59">
        <v>59.91</v>
      </c>
      <c r="BW69" s="59">
        <v>0</v>
      </c>
      <c r="BX69" s="59">
        <v>0</v>
      </c>
      <c r="BY69" s="59">
        <v>157.16</v>
      </c>
      <c r="BZ69" s="59">
        <v>0</v>
      </c>
      <c r="CA69" s="59">
        <v>607.24</v>
      </c>
      <c r="CB69" s="58">
        <f>'Quarter final consumption'!B69</f>
        <v>40157.97</v>
      </c>
      <c r="CC69" s="58">
        <f>'Quarter final consumption'!C69</f>
        <v>565.80000000000007</v>
      </c>
      <c r="CD69" s="58">
        <f>'Quarter final consumption'!D69</f>
        <v>254.98999999999998</v>
      </c>
      <c r="CE69" s="58">
        <f>'Quarter final consumption'!E69</f>
        <v>17156.7</v>
      </c>
      <c r="CF69" s="58">
        <f>'Quarter final consumption'!F69</f>
        <v>13692.65</v>
      </c>
      <c r="CG69" s="58">
        <f>'Quarter final consumption'!G69</f>
        <v>1055.04</v>
      </c>
      <c r="CH69" s="58">
        <f>'Quarter final consumption'!H69</f>
        <v>7116.4</v>
      </c>
      <c r="CI69" s="71">
        <f>'Quarter final consumption'!I69</f>
        <v>316.39</v>
      </c>
    </row>
    <row r="70" spans="1:87" ht="15.5" x14ac:dyDescent="0.35">
      <c r="A70" s="50" t="s">
        <v>235</v>
      </c>
      <c r="B70" s="58">
        <f t="shared" ref="B70:B101" si="61">SUM(C70:J70)</f>
        <v>57582.27</v>
      </c>
      <c r="C70" s="58">
        <f t="shared" ref="C70:C101" si="62">-L70-U70+BL70+BU70+CC70</f>
        <v>10175.92</v>
      </c>
      <c r="D70" s="58">
        <f t="shared" ref="D70:D101" si="63">-M70-V70+BM70+BV70+CD70</f>
        <v>148.19000000000014</v>
      </c>
      <c r="E70" s="58">
        <f t="shared" ref="E70:E101" si="64">-N70-W70+BN70+BW70</f>
        <v>17268.8</v>
      </c>
      <c r="F70" s="58">
        <f t="shared" ref="F70:F101" si="65">-O70-X70+BO70+BX70+CE70</f>
        <v>278.54999999999927</v>
      </c>
      <c r="G70" s="58">
        <f t="shared" ref="G70:G101" si="66">-P70-Y70+BP70+BY70+CF70</f>
        <v>21876.53</v>
      </c>
      <c r="H70" s="58">
        <f t="shared" ref="H70:H101" si="67">-Q70-Z70+BQ70+BZ70+CG70</f>
        <v>2622.6</v>
      </c>
      <c r="I70" s="58">
        <f t="shared" ref="I70:I101" si="68">-R70-AA70</f>
        <v>4774.1000000000004</v>
      </c>
      <c r="J70" s="58">
        <f t="shared" ref="J70:J101" si="69">-S70-AB70+BR70+CA70+CH70</f>
        <v>437.57999999999902</v>
      </c>
      <c r="K70" s="58">
        <f t="shared" si="54"/>
        <v>7.999999999992724E-2</v>
      </c>
      <c r="L70" s="59">
        <v>0</v>
      </c>
      <c r="M70" s="59">
        <v>0.27</v>
      </c>
      <c r="N70" s="59">
        <v>-441.15</v>
      </c>
      <c r="O70" s="59">
        <v>441.78</v>
      </c>
      <c r="P70" s="59">
        <v>0.72</v>
      </c>
      <c r="Q70" s="59">
        <v>-1.54</v>
      </c>
      <c r="R70" s="59">
        <v>-1183.52</v>
      </c>
      <c r="S70" s="59">
        <v>1183.52</v>
      </c>
      <c r="T70" s="58">
        <f t="shared" si="55"/>
        <v>-12127.229999999994</v>
      </c>
      <c r="U70" s="58">
        <f t="shared" ref="U70:U101" si="70">AE70+AM70+AW70+BA70+BE70</f>
        <v>-9630.06</v>
      </c>
      <c r="V70" s="58">
        <f t="shared" ref="V70:V101" si="71">AF70+AN70+AX70+BB70+BF70</f>
        <v>344.9899999999999</v>
      </c>
      <c r="W70" s="58">
        <f t="shared" si="58"/>
        <v>-16827.649999999998</v>
      </c>
      <c r="X70" s="58">
        <f t="shared" si="59"/>
        <v>16578.230000000003</v>
      </c>
      <c r="Y70" s="58">
        <f t="shared" ref="Y70:Y101" si="72">AH70+AP70</f>
        <v>-4791.09</v>
      </c>
      <c r="Z70" s="58">
        <f t="shared" ref="Z70:Z101" si="73">AI70+AQ70</f>
        <v>-1443.24</v>
      </c>
      <c r="AA70" s="58">
        <f t="shared" si="57"/>
        <v>-3590.58</v>
      </c>
      <c r="AB70" s="58">
        <f t="shared" si="57"/>
        <v>6786.1</v>
      </c>
      <c r="AC70" s="58">
        <f t="shared" si="53"/>
        <v>446.07</v>
      </c>
      <c r="AD70" s="58">
        <f t="shared" si="56"/>
        <v>-10976.03</v>
      </c>
      <c r="AE70" s="59">
        <v>-8255.07</v>
      </c>
      <c r="AF70" s="59">
        <v>-238.08</v>
      </c>
      <c r="AG70" s="59">
        <v>-148.12</v>
      </c>
      <c r="AH70" s="59">
        <v>-4111.38</v>
      </c>
      <c r="AI70" s="59">
        <v>-1418.9</v>
      </c>
      <c r="AJ70" s="59">
        <v>-3590.58</v>
      </c>
      <c r="AK70" s="59">
        <v>6786.1</v>
      </c>
      <c r="AL70" s="58">
        <f t="shared" si="14"/>
        <v>-343.64000000000004</v>
      </c>
      <c r="AM70" s="59">
        <v>-56.62</v>
      </c>
      <c r="AN70" s="59">
        <v>-12.85</v>
      </c>
      <c r="AO70" s="59">
        <v>-16.190000000000001</v>
      </c>
      <c r="AP70" s="59">
        <v>-679.71</v>
      </c>
      <c r="AQ70" s="59">
        <v>-24.34</v>
      </c>
      <c r="AR70" s="59">
        <v>446.07</v>
      </c>
      <c r="AS70" s="58">
        <f t="shared" si="22"/>
        <v>-47.879999999997381</v>
      </c>
      <c r="AT70" s="59">
        <v>-16950.21</v>
      </c>
      <c r="AU70" s="59">
        <v>16902.330000000002</v>
      </c>
      <c r="AV70" s="58">
        <f t="shared" si="23"/>
        <v>-85.680000000000064</v>
      </c>
      <c r="AW70" s="59">
        <v>-965.22</v>
      </c>
      <c r="AX70" s="59">
        <v>879.54</v>
      </c>
      <c r="AY70" s="59">
        <v>0</v>
      </c>
      <c r="AZ70" s="58">
        <f t="shared" si="24"/>
        <v>-643.61</v>
      </c>
      <c r="BA70" s="59">
        <v>-312.3</v>
      </c>
      <c r="BB70" s="59">
        <v>-331.31</v>
      </c>
      <c r="BC70" s="59">
        <v>0</v>
      </c>
      <c r="BD70" s="58">
        <f t="shared" si="25"/>
        <v>-16.510000000000005</v>
      </c>
      <c r="BE70" s="59">
        <v>-40.85</v>
      </c>
      <c r="BF70" s="59">
        <v>47.69</v>
      </c>
      <c r="BG70" s="59">
        <v>-23.35</v>
      </c>
      <c r="BH70" s="58">
        <f t="shared" si="60"/>
        <v>-13.879999999999995</v>
      </c>
      <c r="BI70" s="59">
        <v>122.56</v>
      </c>
      <c r="BJ70" s="59">
        <v>-136.44</v>
      </c>
      <c r="BK70" s="58">
        <f t="shared" si="26"/>
        <v>3106.6600000000003</v>
      </c>
      <c r="BL70" s="59">
        <v>0.17</v>
      </c>
      <c r="BM70" s="59">
        <v>211.78</v>
      </c>
      <c r="BN70" s="59">
        <v>0</v>
      </c>
      <c r="BO70" s="59">
        <v>1067.49</v>
      </c>
      <c r="BP70" s="59">
        <v>1167.56</v>
      </c>
      <c r="BQ70" s="59">
        <v>0</v>
      </c>
      <c r="BR70" s="59">
        <v>588.32000000000005</v>
      </c>
      <c r="BS70" s="59">
        <v>71.34</v>
      </c>
      <c r="BT70" s="58">
        <f t="shared" si="27"/>
        <v>931.83</v>
      </c>
      <c r="BU70" s="59">
        <v>0</v>
      </c>
      <c r="BV70" s="59">
        <v>49.76</v>
      </c>
      <c r="BW70" s="59">
        <v>0</v>
      </c>
      <c r="BX70" s="59">
        <v>0</v>
      </c>
      <c r="BY70" s="59">
        <v>168.49</v>
      </c>
      <c r="BZ70" s="59">
        <v>0</v>
      </c>
      <c r="CA70" s="59">
        <v>713.58</v>
      </c>
      <c r="CB70" s="58">
        <f>'Quarter final consumption'!B70</f>
        <v>41420.220000000008</v>
      </c>
      <c r="CC70" s="58">
        <f>'Quarter final consumption'!C70</f>
        <v>545.68999999999994</v>
      </c>
      <c r="CD70" s="58">
        <f>'Quarter final consumption'!D70</f>
        <v>231.91000000000003</v>
      </c>
      <c r="CE70" s="58">
        <f>'Quarter final consumption'!E70</f>
        <v>16231.070000000002</v>
      </c>
      <c r="CF70" s="58">
        <f>'Quarter final consumption'!F70</f>
        <v>15750.11</v>
      </c>
      <c r="CG70" s="58">
        <f>'Quarter final consumption'!G70</f>
        <v>1177.82</v>
      </c>
      <c r="CH70" s="58">
        <f>'Quarter final consumption'!H70</f>
        <v>7105.3</v>
      </c>
      <c r="CI70" s="71">
        <f>'Quarter final consumption'!I70</f>
        <v>378.32</v>
      </c>
    </row>
    <row r="71" spans="1:87" ht="15.5" x14ac:dyDescent="0.35">
      <c r="A71" s="50" t="s">
        <v>236</v>
      </c>
      <c r="B71" s="58">
        <f t="shared" si="61"/>
        <v>46449.600000000006</v>
      </c>
      <c r="C71" s="58">
        <f t="shared" si="62"/>
        <v>7098.9199999999992</v>
      </c>
      <c r="D71" s="58">
        <f t="shared" si="63"/>
        <v>57.150000000000034</v>
      </c>
      <c r="E71" s="58">
        <f t="shared" si="64"/>
        <v>16854</v>
      </c>
      <c r="F71" s="58">
        <f t="shared" si="65"/>
        <v>1657.3899999999994</v>
      </c>
      <c r="G71" s="58">
        <f t="shared" si="66"/>
        <v>13405.73</v>
      </c>
      <c r="H71" s="58">
        <f t="shared" si="67"/>
        <v>2439.63</v>
      </c>
      <c r="I71" s="58">
        <f t="shared" si="68"/>
        <v>4466.3</v>
      </c>
      <c r="J71" s="58">
        <f t="shared" si="69"/>
        <v>470.47999999999956</v>
      </c>
      <c r="K71" s="58">
        <f t="shared" si="54"/>
        <v>-6.1899999999999409</v>
      </c>
      <c r="L71" s="59">
        <v>0</v>
      </c>
      <c r="M71" s="59">
        <v>-6.76</v>
      </c>
      <c r="N71" s="59">
        <v>-407.81</v>
      </c>
      <c r="O71" s="59">
        <v>410.55</v>
      </c>
      <c r="P71" s="59">
        <v>-0.33</v>
      </c>
      <c r="Q71" s="59">
        <v>-1.84</v>
      </c>
      <c r="R71" s="59">
        <v>-663.43</v>
      </c>
      <c r="S71" s="59">
        <v>663.43</v>
      </c>
      <c r="T71" s="58">
        <f t="shared" si="55"/>
        <v>-10421.329999999998</v>
      </c>
      <c r="U71" s="58">
        <f t="shared" si="70"/>
        <v>-6616.4699999999993</v>
      </c>
      <c r="V71" s="58">
        <f t="shared" si="71"/>
        <v>431.08</v>
      </c>
      <c r="W71" s="58">
        <f t="shared" si="58"/>
        <v>-16446.189999999999</v>
      </c>
      <c r="X71" s="58">
        <f t="shared" si="59"/>
        <v>16154.080000000002</v>
      </c>
      <c r="Y71" s="58">
        <f t="shared" si="72"/>
        <v>-4842.45</v>
      </c>
      <c r="Z71" s="58">
        <f t="shared" si="73"/>
        <v>-1654.22</v>
      </c>
      <c r="AA71" s="58">
        <f t="shared" si="57"/>
        <v>-3802.87</v>
      </c>
      <c r="AB71" s="58">
        <f t="shared" si="57"/>
        <v>6042.74</v>
      </c>
      <c r="AC71" s="58">
        <f t="shared" si="53"/>
        <v>312.97000000000003</v>
      </c>
      <c r="AD71" s="58">
        <f t="shared" si="56"/>
        <v>-9389.6099999999988</v>
      </c>
      <c r="AE71" s="59">
        <v>-5266.2</v>
      </c>
      <c r="AF71" s="59">
        <v>-225.78</v>
      </c>
      <c r="AG71" s="59">
        <v>-131.32</v>
      </c>
      <c r="AH71" s="59">
        <v>-4361.92</v>
      </c>
      <c r="AI71" s="59">
        <v>-1644.26</v>
      </c>
      <c r="AJ71" s="59">
        <v>-3802.87</v>
      </c>
      <c r="AK71" s="59">
        <v>6042.74</v>
      </c>
      <c r="AL71" s="58">
        <f t="shared" si="14"/>
        <v>-240.77999999999997</v>
      </c>
      <c r="AM71" s="59">
        <v>-34.33</v>
      </c>
      <c r="AN71" s="59">
        <v>-12.85</v>
      </c>
      <c r="AO71" s="59">
        <v>-16.079999999999998</v>
      </c>
      <c r="AP71" s="59">
        <v>-480.53</v>
      </c>
      <c r="AQ71" s="59">
        <v>-9.9600000000000009</v>
      </c>
      <c r="AR71" s="59">
        <v>312.97000000000003</v>
      </c>
      <c r="AS71" s="58">
        <f t="shared" ref="AS71:AS103" si="74">SUM(AT71:AU71)</f>
        <v>-116.84999999999854</v>
      </c>
      <c r="AT71" s="59">
        <v>-16533.34</v>
      </c>
      <c r="AU71" s="59">
        <v>16416.490000000002</v>
      </c>
      <c r="AV71" s="58">
        <f t="shared" si="23"/>
        <v>-77.220000000000027</v>
      </c>
      <c r="AW71" s="59">
        <v>-978.26</v>
      </c>
      <c r="AX71" s="59">
        <v>901.04</v>
      </c>
      <c r="AY71" s="59">
        <v>0</v>
      </c>
      <c r="AZ71" s="58">
        <f t="shared" si="24"/>
        <v>-572.52</v>
      </c>
      <c r="BA71" s="59">
        <v>-286.49</v>
      </c>
      <c r="BB71" s="59">
        <v>-286.02999999999997</v>
      </c>
      <c r="BC71" s="59">
        <v>0</v>
      </c>
      <c r="BD71" s="58">
        <f t="shared" si="25"/>
        <v>-16.709999999999994</v>
      </c>
      <c r="BE71" s="59">
        <v>-51.19</v>
      </c>
      <c r="BF71" s="59">
        <v>54.7</v>
      </c>
      <c r="BG71" s="59">
        <v>-20.22</v>
      </c>
      <c r="BH71" s="58">
        <f t="shared" si="60"/>
        <v>-7.6400000000000006</v>
      </c>
      <c r="BI71" s="59">
        <v>87.15</v>
      </c>
      <c r="BJ71" s="59">
        <v>-94.79</v>
      </c>
      <c r="BK71" s="58">
        <f t="shared" si="26"/>
        <v>2990.89</v>
      </c>
      <c r="BL71" s="59">
        <v>0.25</v>
      </c>
      <c r="BM71" s="59">
        <v>200.61</v>
      </c>
      <c r="BN71" s="59">
        <v>0</v>
      </c>
      <c r="BO71" s="59">
        <v>1010.95</v>
      </c>
      <c r="BP71" s="59">
        <v>1166.0999999999999</v>
      </c>
      <c r="BQ71" s="59">
        <v>0</v>
      </c>
      <c r="BR71" s="59">
        <v>541.64</v>
      </c>
      <c r="BS71" s="59">
        <v>71.34</v>
      </c>
      <c r="BT71" s="58">
        <f t="shared" ref="BT71:BT103" si="75">SUM(BU71:CA71)</f>
        <v>711.46999999999991</v>
      </c>
      <c r="BU71" s="59">
        <v>0</v>
      </c>
      <c r="BV71" s="59">
        <v>48.26</v>
      </c>
      <c r="BW71" s="59">
        <v>0</v>
      </c>
      <c r="BX71" s="59">
        <v>0</v>
      </c>
      <c r="BY71" s="59">
        <v>135.29</v>
      </c>
      <c r="BZ71" s="59">
        <v>0</v>
      </c>
      <c r="CA71" s="59">
        <v>527.91999999999996</v>
      </c>
      <c r="CB71" s="58">
        <f>'Quarter final consumption'!B71</f>
        <v>32320.39</v>
      </c>
      <c r="CC71" s="58">
        <f>'Quarter final consumption'!C71</f>
        <v>482.2</v>
      </c>
      <c r="CD71" s="58">
        <f>'Quarter final consumption'!D71</f>
        <v>232.60000000000002</v>
      </c>
      <c r="CE71" s="58">
        <f>'Quarter final consumption'!E71</f>
        <v>17211.07</v>
      </c>
      <c r="CF71" s="58">
        <f>'Quarter final consumption'!F71</f>
        <v>7261.56</v>
      </c>
      <c r="CG71" s="58">
        <f>'Quarter final consumption'!G71</f>
        <v>783.56999999999994</v>
      </c>
      <c r="CH71" s="58">
        <f>'Quarter final consumption'!H71</f>
        <v>6107.0899999999992</v>
      </c>
      <c r="CI71" s="71">
        <f>'Quarter final consumption'!I71</f>
        <v>242.29999999999998</v>
      </c>
    </row>
    <row r="72" spans="1:87" ht="15.5" x14ac:dyDescent="0.35">
      <c r="A72" s="50" t="s">
        <v>237</v>
      </c>
      <c r="B72" s="58">
        <f t="shared" si="61"/>
        <v>43136.759999999995</v>
      </c>
      <c r="C72" s="58">
        <f t="shared" si="62"/>
        <v>5725.87</v>
      </c>
      <c r="D72" s="58">
        <f t="shared" si="63"/>
        <v>129.85999999999996</v>
      </c>
      <c r="E72" s="58">
        <f t="shared" si="64"/>
        <v>16937.439999999999</v>
      </c>
      <c r="F72" s="58">
        <f t="shared" si="65"/>
        <v>1599.9899999999998</v>
      </c>
      <c r="G72" s="58">
        <f t="shared" si="66"/>
        <v>11767.990000000002</v>
      </c>
      <c r="H72" s="58">
        <f t="shared" si="67"/>
        <v>2435.9700000000003</v>
      </c>
      <c r="I72" s="58">
        <f t="shared" si="68"/>
        <v>4044.39</v>
      </c>
      <c r="J72" s="58">
        <f t="shared" si="69"/>
        <v>495.25</v>
      </c>
      <c r="K72" s="58">
        <f t="shared" si="54"/>
        <v>7.7000000000000455</v>
      </c>
      <c r="L72" s="59">
        <v>0</v>
      </c>
      <c r="M72" s="59">
        <v>9.66</v>
      </c>
      <c r="N72" s="59">
        <v>-378.21</v>
      </c>
      <c r="O72" s="59">
        <v>379.66</v>
      </c>
      <c r="P72" s="59">
        <v>-1.1200000000000001</v>
      </c>
      <c r="Q72" s="59">
        <v>-2.29</v>
      </c>
      <c r="R72" s="59">
        <v>-642.04</v>
      </c>
      <c r="S72" s="59">
        <v>642.04</v>
      </c>
      <c r="T72" s="58">
        <f t="shared" si="55"/>
        <v>-9922.0099999999984</v>
      </c>
      <c r="U72" s="58">
        <f t="shared" si="70"/>
        <v>-5232.87</v>
      </c>
      <c r="V72" s="58">
        <f t="shared" si="71"/>
        <v>370.91</v>
      </c>
      <c r="W72" s="58">
        <f t="shared" si="58"/>
        <v>-16559.23</v>
      </c>
      <c r="X72" s="58">
        <f t="shared" si="59"/>
        <v>16318.45</v>
      </c>
      <c r="Y72" s="58">
        <f t="shared" si="72"/>
        <v>-5774.42</v>
      </c>
      <c r="Z72" s="58">
        <f t="shared" si="73"/>
        <v>-1767.3500000000001</v>
      </c>
      <c r="AA72" s="58">
        <f t="shared" si="57"/>
        <v>-3402.35</v>
      </c>
      <c r="AB72" s="58">
        <f t="shared" si="57"/>
        <v>5849.27</v>
      </c>
      <c r="AC72" s="58">
        <f t="shared" si="53"/>
        <v>275.58</v>
      </c>
      <c r="AD72" s="58">
        <f t="shared" si="56"/>
        <v>-8902.08</v>
      </c>
      <c r="AE72" s="59">
        <v>-3875.99</v>
      </c>
      <c r="AF72" s="59">
        <v>-233.24</v>
      </c>
      <c r="AG72" s="59">
        <v>-128.49</v>
      </c>
      <c r="AH72" s="59">
        <v>-5349.85</v>
      </c>
      <c r="AI72" s="59">
        <v>-1761.43</v>
      </c>
      <c r="AJ72" s="59">
        <v>-3402.35</v>
      </c>
      <c r="AK72" s="59">
        <v>5849.27</v>
      </c>
      <c r="AL72" s="58">
        <f t="shared" ref="AL72:AL103" si="76">SUM(AM72:AR72)</f>
        <v>-211.82000000000005</v>
      </c>
      <c r="AM72" s="59">
        <v>-28.01</v>
      </c>
      <c r="AN72" s="59">
        <v>-12.85</v>
      </c>
      <c r="AO72" s="59">
        <v>-16.05</v>
      </c>
      <c r="AP72" s="59">
        <v>-424.57</v>
      </c>
      <c r="AQ72" s="59">
        <v>-5.92</v>
      </c>
      <c r="AR72" s="59">
        <v>275.58</v>
      </c>
      <c r="AS72" s="58">
        <f t="shared" si="74"/>
        <v>-68.359999999996944</v>
      </c>
      <c r="AT72" s="59">
        <v>-16670.189999999999</v>
      </c>
      <c r="AU72" s="59">
        <v>16601.830000000002</v>
      </c>
      <c r="AV72" s="58">
        <f t="shared" ref="AV72:AV103" si="77">SUM(AW72:AY72)</f>
        <v>-85.099999999999909</v>
      </c>
      <c r="AW72" s="59">
        <v>-961.29</v>
      </c>
      <c r="AX72" s="59">
        <v>876.19</v>
      </c>
      <c r="AY72" s="59">
        <v>0</v>
      </c>
      <c r="AZ72" s="58">
        <f t="shared" ref="AZ72:AZ103" si="78">SUM(BA72:BC72)</f>
        <v>-625.73</v>
      </c>
      <c r="BA72" s="59">
        <v>-316.58</v>
      </c>
      <c r="BB72" s="59">
        <v>-309.14999999999998</v>
      </c>
      <c r="BC72" s="59">
        <v>0</v>
      </c>
      <c r="BD72" s="58">
        <f t="shared" ref="BD72:BD103" si="79">SUM(BE72:BG72)</f>
        <v>-18.11</v>
      </c>
      <c r="BE72" s="59">
        <v>-51</v>
      </c>
      <c r="BF72" s="59">
        <v>49.96</v>
      </c>
      <c r="BG72" s="59">
        <v>-17.07</v>
      </c>
      <c r="BH72" s="58">
        <f t="shared" si="60"/>
        <v>-10.810000000000002</v>
      </c>
      <c r="BI72" s="59">
        <v>110.96</v>
      </c>
      <c r="BJ72" s="59">
        <v>-121.77</v>
      </c>
      <c r="BK72" s="58">
        <f t="shared" ref="BK72:BK103" si="80">SUM(BL72:BS72)</f>
        <v>2812.0200000000004</v>
      </c>
      <c r="BL72" s="59">
        <v>0</v>
      </c>
      <c r="BM72" s="59">
        <v>204.72</v>
      </c>
      <c r="BN72" s="59">
        <v>0</v>
      </c>
      <c r="BO72" s="59">
        <v>1019.24</v>
      </c>
      <c r="BP72" s="59">
        <v>1011.8</v>
      </c>
      <c r="BQ72" s="59">
        <v>0</v>
      </c>
      <c r="BR72" s="59">
        <v>504.92</v>
      </c>
      <c r="BS72" s="59">
        <v>71.34</v>
      </c>
      <c r="BT72" s="58">
        <f t="shared" si="75"/>
        <v>703.12</v>
      </c>
      <c r="BU72" s="59">
        <v>0</v>
      </c>
      <c r="BV72" s="59">
        <v>79.59</v>
      </c>
      <c r="BW72" s="59">
        <v>0</v>
      </c>
      <c r="BX72" s="59">
        <v>0</v>
      </c>
      <c r="BY72" s="59">
        <v>142.4</v>
      </c>
      <c r="BZ72" s="59">
        <v>0</v>
      </c>
      <c r="CA72" s="59">
        <v>481.13</v>
      </c>
      <c r="CB72" s="58">
        <f>'Quarter final consumption'!B72</f>
        <v>29705.35</v>
      </c>
      <c r="CC72" s="58">
        <f>'Quarter final consumption'!C72</f>
        <v>492.99999999999994</v>
      </c>
      <c r="CD72" s="58">
        <f>'Quarter final consumption'!D72</f>
        <v>226.12</v>
      </c>
      <c r="CE72" s="58">
        <f>'Quarter final consumption'!E72</f>
        <v>17278.86</v>
      </c>
      <c r="CF72" s="58">
        <f>'Quarter final consumption'!F72</f>
        <v>4838.2500000000009</v>
      </c>
      <c r="CG72" s="58">
        <f>'Quarter final consumption'!G72</f>
        <v>666.32999999999993</v>
      </c>
      <c r="CH72" s="58">
        <f>'Quarter final consumption'!H72</f>
        <v>6000.51</v>
      </c>
      <c r="CI72" s="71">
        <f>'Quarter final consumption'!I72</f>
        <v>202.27999999999997</v>
      </c>
    </row>
    <row r="73" spans="1:87" ht="15.5" x14ac:dyDescent="0.35">
      <c r="A73" s="50" t="s">
        <v>238</v>
      </c>
      <c r="B73" s="58">
        <f t="shared" si="61"/>
        <v>54788.479999999996</v>
      </c>
      <c r="C73" s="58">
        <f t="shared" si="62"/>
        <v>8310.69</v>
      </c>
      <c r="D73" s="58">
        <f t="shared" si="63"/>
        <v>107.00000000000006</v>
      </c>
      <c r="E73" s="58">
        <f t="shared" si="64"/>
        <v>16956.080000000002</v>
      </c>
      <c r="F73" s="58">
        <f t="shared" si="65"/>
        <v>1700.4500000000007</v>
      </c>
      <c r="G73" s="58">
        <f t="shared" si="66"/>
        <v>19879.940000000002</v>
      </c>
      <c r="H73" s="58">
        <f t="shared" si="67"/>
        <v>3212.96</v>
      </c>
      <c r="I73" s="58">
        <f t="shared" si="68"/>
        <v>4168.5200000000004</v>
      </c>
      <c r="J73" s="58">
        <f t="shared" si="69"/>
        <v>452.84000000000015</v>
      </c>
      <c r="K73" s="58">
        <f t="shared" si="54"/>
        <v>-2.1000000000001364</v>
      </c>
      <c r="L73" s="59">
        <v>0</v>
      </c>
      <c r="M73" s="59">
        <v>5.64</v>
      </c>
      <c r="N73" s="59">
        <v>-550.75</v>
      </c>
      <c r="O73" s="59">
        <v>548.64</v>
      </c>
      <c r="P73" s="59">
        <v>0.4</v>
      </c>
      <c r="Q73" s="59">
        <v>-6.03</v>
      </c>
      <c r="R73" s="59">
        <v>-1114.06</v>
      </c>
      <c r="S73" s="59">
        <v>1114.06</v>
      </c>
      <c r="T73" s="58">
        <f t="shared" si="55"/>
        <v>-11324.49</v>
      </c>
      <c r="U73" s="58">
        <f t="shared" si="70"/>
        <v>-7754.72</v>
      </c>
      <c r="V73" s="58">
        <f t="shared" si="71"/>
        <v>304.39999999999998</v>
      </c>
      <c r="W73" s="58">
        <f t="shared" si="58"/>
        <v>-16405.330000000002</v>
      </c>
      <c r="X73" s="58">
        <f t="shared" si="59"/>
        <v>16155.08</v>
      </c>
      <c r="Y73" s="58">
        <f t="shared" si="72"/>
        <v>-5526.4699999999993</v>
      </c>
      <c r="Z73" s="58">
        <f t="shared" si="73"/>
        <v>-1990.43</v>
      </c>
      <c r="AA73" s="58">
        <f t="shared" si="57"/>
        <v>-3054.46</v>
      </c>
      <c r="AB73" s="58">
        <f t="shared" si="57"/>
        <v>6541.92</v>
      </c>
      <c r="AC73" s="58">
        <f t="shared" si="53"/>
        <v>405.52</v>
      </c>
      <c r="AD73" s="58">
        <f t="shared" si="56"/>
        <v>-10296.42</v>
      </c>
      <c r="AE73" s="59">
        <v>-6550.77</v>
      </c>
      <c r="AF73" s="59">
        <v>-216.56</v>
      </c>
      <c r="AG73" s="59">
        <v>-138.63</v>
      </c>
      <c r="AH73" s="59">
        <v>-4907.45</v>
      </c>
      <c r="AI73" s="59">
        <v>-1970.47</v>
      </c>
      <c r="AJ73" s="59">
        <v>-3054.46</v>
      </c>
      <c r="AK73" s="59">
        <v>6541.92</v>
      </c>
      <c r="AL73" s="58">
        <f t="shared" si="76"/>
        <v>-312.25</v>
      </c>
      <c r="AM73" s="59">
        <v>-49.78</v>
      </c>
      <c r="AN73" s="59">
        <v>-12.85</v>
      </c>
      <c r="AO73" s="59">
        <v>-16.16</v>
      </c>
      <c r="AP73" s="59">
        <v>-619.02</v>
      </c>
      <c r="AQ73" s="59">
        <v>-19.96</v>
      </c>
      <c r="AR73" s="59">
        <v>405.52</v>
      </c>
      <c r="AS73" s="58">
        <f t="shared" si="74"/>
        <v>-66.680000000000291</v>
      </c>
      <c r="AT73" s="59">
        <v>-16523.310000000001</v>
      </c>
      <c r="AU73" s="59">
        <v>16456.63</v>
      </c>
      <c r="AV73" s="58">
        <f t="shared" si="77"/>
        <v>-85.850000000000023</v>
      </c>
      <c r="AW73" s="59">
        <v>-879.01</v>
      </c>
      <c r="AX73" s="59">
        <v>793.16</v>
      </c>
      <c r="AY73" s="59">
        <v>0</v>
      </c>
      <c r="AZ73" s="58">
        <f t="shared" si="78"/>
        <v>-537.18000000000006</v>
      </c>
      <c r="BA73" s="59">
        <v>-235.13</v>
      </c>
      <c r="BB73" s="59">
        <v>-302.05</v>
      </c>
      <c r="BC73" s="59">
        <v>0</v>
      </c>
      <c r="BD73" s="58">
        <f t="shared" si="79"/>
        <v>-14.619999999999997</v>
      </c>
      <c r="BE73" s="59">
        <v>-40.03</v>
      </c>
      <c r="BF73" s="59">
        <v>42.7</v>
      </c>
      <c r="BG73" s="59">
        <v>-17.29</v>
      </c>
      <c r="BH73" s="58">
        <f t="shared" si="60"/>
        <v>-11.489999999999995</v>
      </c>
      <c r="BI73" s="59">
        <v>117.98</v>
      </c>
      <c r="BJ73" s="59">
        <v>-129.47</v>
      </c>
      <c r="BK73" s="58">
        <f t="shared" si="80"/>
        <v>2979.8800000000006</v>
      </c>
      <c r="BL73" s="59">
        <v>0</v>
      </c>
      <c r="BM73" s="59">
        <v>185.21</v>
      </c>
      <c r="BN73" s="59">
        <v>0</v>
      </c>
      <c r="BO73" s="59">
        <v>999.54</v>
      </c>
      <c r="BP73" s="59">
        <v>1166.1400000000001</v>
      </c>
      <c r="BQ73" s="59">
        <v>0</v>
      </c>
      <c r="BR73" s="59">
        <v>557.65</v>
      </c>
      <c r="BS73" s="59">
        <v>71.34</v>
      </c>
      <c r="BT73" s="58">
        <f t="shared" si="75"/>
        <v>911.36</v>
      </c>
      <c r="BU73" s="59">
        <v>0</v>
      </c>
      <c r="BV73" s="59">
        <v>38.85</v>
      </c>
      <c r="BW73" s="59">
        <v>0</v>
      </c>
      <c r="BX73" s="59">
        <v>0</v>
      </c>
      <c r="BY73" s="59">
        <v>143.36000000000001</v>
      </c>
      <c r="BZ73" s="59">
        <v>0</v>
      </c>
      <c r="CA73" s="59">
        <v>729.15</v>
      </c>
      <c r="CB73" s="58">
        <f>'Quarter final consumption'!B73</f>
        <v>39568.35</v>
      </c>
      <c r="CC73" s="58">
        <f>'Quarter final consumption'!C73</f>
        <v>555.96999999999991</v>
      </c>
      <c r="CD73" s="58">
        <f>'Quarter final consumption'!D73</f>
        <v>192.98000000000002</v>
      </c>
      <c r="CE73" s="58">
        <f>'Quarter final consumption'!E73</f>
        <v>17404.63</v>
      </c>
      <c r="CF73" s="58">
        <f>'Quarter final consumption'!F73</f>
        <v>13044.37</v>
      </c>
      <c r="CG73" s="58">
        <f>'Quarter final consumption'!G73</f>
        <v>1216.5</v>
      </c>
      <c r="CH73" s="58">
        <f>'Quarter final consumption'!H73</f>
        <v>6822.02</v>
      </c>
      <c r="CI73" s="71">
        <f>'Quarter final consumption'!I73</f>
        <v>331.88</v>
      </c>
    </row>
    <row r="74" spans="1:87" ht="15.5" x14ac:dyDescent="0.35">
      <c r="A74" s="50" t="s">
        <v>239</v>
      </c>
      <c r="B74" s="58">
        <f t="shared" si="61"/>
        <v>60263.92</v>
      </c>
      <c r="C74" s="58">
        <f t="shared" si="62"/>
        <v>8763.0499999999993</v>
      </c>
      <c r="D74" s="58">
        <f t="shared" si="63"/>
        <v>249.00999999999996</v>
      </c>
      <c r="E74" s="58">
        <f t="shared" si="64"/>
        <v>16040.039999999999</v>
      </c>
      <c r="F74" s="58">
        <f t="shared" si="65"/>
        <v>2086.8500000000022</v>
      </c>
      <c r="G74" s="58">
        <f t="shared" si="66"/>
        <v>24071.510000000002</v>
      </c>
      <c r="H74" s="58">
        <f t="shared" si="67"/>
        <v>3388.59</v>
      </c>
      <c r="I74" s="58">
        <f t="shared" si="68"/>
        <v>5270.28</v>
      </c>
      <c r="J74" s="58">
        <f t="shared" si="69"/>
        <v>394.58999999999924</v>
      </c>
      <c r="K74" s="58">
        <f t="shared" si="54"/>
        <v>-0.42000000000007276</v>
      </c>
      <c r="L74" s="59">
        <v>0</v>
      </c>
      <c r="M74" s="59">
        <v>6.44</v>
      </c>
      <c r="N74" s="59">
        <v>-165.96</v>
      </c>
      <c r="O74" s="59">
        <v>167.11</v>
      </c>
      <c r="P74" s="59">
        <v>4.5</v>
      </c>
      <c r="Q74" s="59">
        <v>-12.51</v>
      </c>
      <c r="R74" s="59">
        <v>-1271.26</v>
      </c>
      <c r="S74" s="59">
        <v>1271.26</v>
      </c>
      <c r="T74" s="58">
        <f t="shared" si="55"/>
        <v>-12136.27</v>
      </c>
      <c r="U74" s="58">
        <f t="shared" si="70"/>
        <v>-8283.01</v>
      </c>
      <c r="V74" s="58">
        <f t="shared" si="71"/>
        <v>258.57000000000005</v>
      </c>
      <c r="W74" s="58">
        <f t="shared" si="58"/>
        <v>-15874.08</v>
      </c>
      <c r="X74" s="58">
        <f t="shared" si="59"/>
        <v>15622.57</v>
      </c>
      <c r="Y74" s="58">
        <f t="shared" si="72"/>
        <v>-5186.92</v>
      </c>
      <c r="Z74" s="58">
        <f t="shared" si="73"/>
        <v>-2042.99</v>
      </c>
      <c r="AA74" s="58">
        <f t="shared" ref="AA74:AB89" si="81">AJ74</f>
        <v>-3999.02</v>
      </c>
      <c r="AB74" s="58">
        <f t="shared" si="81"/>
        <v>6882.35</v>
      </c>
      <c r="AC74" s="58">
        <f t="shared" si="53"/>
        <v>486.26</v>
      </c>
      <c r="AD74" s="58">
        <f t="shared" si="56"/>
        <v>-10959.289999999999</v>
      </c>
      <c r="AE74" s="59">
        <v>-7051.89</v>
      </c>
      <c r="AF74" s="59">
        <v>-261.58999999999997</v>
      </c>
      <c r="AG74" s="59">
        <v>-144.05000000000001</v>
      </c>
      <c r="AH74" s="59">
        <v>-4398.42</v>
      </c>
      <c r="AI74" s="59">
        <v>-1986.67</v>
      </c>
      <c r="AJ74" s="59">
        <v>-3999.02</v>
      </c>
      <c r="AK74" s="59">
        <v>6882.35</v>
      </c>
      <c r="AL74" s="58">
        <f t="shared" si="76"/>
        <v>-371.66000000000008</v>
      </c>
      <c r="AM74" s="59">
        <v>-1.35</v>
      </c>
      <c r="AN74" s="59">
        <v>-0.28999999999999998</v>
      </c>
      <c r="AO74" s="59">
        <v>-11.46</v>
      </c>
      <c r="AP74" s="59">
        <v>-788.5</v>
      </c>
      <c r="AQ74" s="59">
        <v>-56.32</v>
      </c>
      <c r="AR74" s="59">
        <v>486.26</v>
      </c>
      <c r="AS74" s="58">
        <f t="shared" si="74"/>
        <v>-71.709999999999127</v>
      </c>
      <c r="AT74" s="59">
        <v>-15979.32</v>
      </c>
      <c r="AU74" s="59">
        <v>15907.61</v>
      </c>
      <c r="AV74" s="58">
        <f t="shared" si="77"/>
        <v>-47.649999999999977</v>
      </c>
      <c r="AW74" s="59">
        <v>-885.47</v>
      </c>
      <c r="AX74" s="59">
        <v>837.82</v>
      </c>
      <c r="AY74" s="59">
        <v>0</v>
      </c>
      <c r="AZ74" s="58">
        <f t="shared" si="78"/>
        <v>-664.64</v>
      </c>
      <c r="BA74" s="59">
        <v>-321.45999999999998</v>
      </c>
      <c r="BB74" s="59">
        <v>-343.18</v>
      </c>
      <c r="BC74" s="59">
        <v>0</v>
      </c>
      <c r="BD74" s="58">
        <f t="shared" si="79"/>
        <v>-11.110000000000001</v>
      </c>
      <c r="BE74" s="59">
        <v>-22.84</v>
      </c>
      <c r="BF74" s="59">
        <v>25.81</v>
      </c>
      <c r="BG74" s="59">
        <v>-14.08</v>
      </c>
      <c r="BH74" s="58">
        <f t="shared" si="60"/>
        <v>-10.210000000000008</v>
      </c>
      <c r="BI74" s="59">
        <v>105.24</v>
      </c>
      <c r="BJ74" s="59">
        <v>-115.45</v>
      </c>
      <c r="BK74" s="58">
        <f t="shared" si="80"/>
        <v>3177.79</v>
      </c>
      <c r="BL74" s="59">
        <v>0</v>
      </c>
      <c r="BM74" s="59">
        <v>221.92</v>
      </c>
      <c r="BN74" s="59">
        <v>0</v>
      </c>
      <c r="BO74" s="59">
        <v>1043.3800000000001</v>
      </c>
      <c r="BP74" s="59">
        <v>1259.23</v>
      </c>
      <c r="BQ74" s="59">
        <v>0</v>
      </c>
      <c r="BR74" s="59">
        <v>585.72</v>
      </c>
      <c r="BS74" s="59">
        <v>67.540000000000006</v>
      </c>
      <c r="BT74" s="58">
        <f t="shared" si="75"/>
        <v>1033.8200000000002</v>
      </c>
      <c r="BU74" s="59">
        <v>0</v>
      </c>
      <c r="BV74" s="59">
        <v>57.94</v>
      </c>
      <c r="BW74" s="59">
        <v>0</v>
      </c>
      <c r="BX74" s="59">
        <v>0</v>
      </c>
      <c r="BY74" s="59">
        <v>180.68</v>
      </c>
      <c r="BZ74" s="59">
        <v>0</v>
      </c>
      <c r="CA74" s="59">
        <v>795.2</v>
      </c>
      <c r="CB74" s="58">
        <f>'Quarter final consumption'!B74</f>
        <v>43919.17</v>
      </c>
      <c r="CC74" s="58">
        <f>'Quarter final consumption'!C74</f>
        <v>480.03999999999996</v>
      </c>
      <c r="CD74" s="58">
        <f>'Quarter final consumption'!D74</f>
        <v>234.16000000000003</v>
      </c>
      <c r="CE74" s="58">
        <f>'Quarter final consumption'!E74</f>
        <v>16833.150000000001</v>
      </c>
      <c r="CF74" s="58">
        <f>'Quarter final consumption'!F74</f>
        <v>17449.180000000004</v>
      </c>
      <c r="CG74" s="58">
        <f>'Quarter final consumption'!G74</f>
        <v>1333.09</v>
      </c>
      <c r="CH74" s="58">
        <f>'Quarter final consumption'!H74</f>
        <v>7167.28</v>
      </c>
      <c r="CI74" s="71">
        <f>'Quarter final consumption'!I74</f>
        <v>422.27</v>
      </c>
    </row>
    <row r="75" spans="1:87" ht="15.5" x14ac:dyDescent="0.35">
      <c r="A75" s="50" t="s">
        <v>240</v>
      </c>
      <c r="B75" s="58">
        <f t="shared" si="61"/>
        <v>46775</v>
      </c>
      <c r="C75" s="58">
        <f t="shared" si="62"/>
        <v>5510.49</v>
      </c>
      <c r="D75" s="58">
        <f t="shared" si="63"/>
        <v>182.32000000000005</v>
      </c>
      <c r="E75" s="58">
        <f t="shared" si="64"/>
        <v>15777.710000000001</v>
      </c>
      <c r="F75" s="58">
        <f t="shared" si="65"/>
        <v>3156.1200000000026</v>
      </c>
      <c r="G75" s="58">
        <f t="shared" si="66"/>
        <v>14068.96</v>
      </c>
      <c r="H75" s="58">
        <f t="shared" si="67"/>
        <v>2797.5599999999995</v>
      </c>
      <c r="I75" s="58">
        <f t="shared" si="68"/>
        <v>4829.25</v>
      </c>
      <c r="J75" s="58">
        <f t="shared" si="69"/>
        <v>452.59000000000015</v>
      </c>
      <c r="K75" s="58">
        <f t="shared" si="54"/>
        <v>22.960000000000036</v>
      </c>
      <c r="L75" s="59">
        <v>0</v>
      </c>
      <c r="M75" s="59">
        <v>7.68</v>
      </c>
      <c r="N75" s="59">
        <v>-476.04</v>
      </c>
      <c r="O75" s="59">
        <v>499.71</v>
      </c>
      <c r="P75" s="59">
        <v>11.57</v>
      </c>
      <c r="Q75" s="59">
        <v>-19.96</v>
      </c>
      <c r="R75" s="59">
        <v>-1106.2</v>
      </c>
      <c r="S75" s="59">
        <v>1106.2</v>
      </c>
      <c r="T75" s="58">
        <f t="shared" si="55"/>
        <v>-9712.85</v>
      </c>
      <c r="U75" s="58">
        <f t="shared" si="70"/>
        <v>-5054</v>
      </c>
      <c r="V75" s="58">
        <f t="shared" si="71"/>
        <v>305.36999999999995</v>
      </c>
      <c r="W75" s="58">
        <f t="shared" si="58"/>
        <v>-15301.67</v>
      </c>
      <c r="X75" s="58">
        <f t="shared" si="59"/>
        <v>14997.24</v>
      </c>
      <c r="Y75" s="58">
        <f t="shared" si="72"/>
        <v>-4824.63</v>
      </c>
      <c r="Z75" s="58">
        <f t="shared" si="73"/>
        <v>-2036.78</v>
      </c>
      <c r="AA75" s="58">
        <f t="shared" si="81"/>
        <v>-3723.05</v>
      </c>
      <c r="AB75" s="58">
        <f t="shared" si="81"/>
        <v>5589.92</v>
      </c>
      <c r="AC75" s="58">
        <f t="shared" si="53"/>
        <v>334.75</v>
      </c>
      <c r="AD75" s="58">
        <f t="shared" si="56"/>
        <v>-8606.5199999999986</v>
      </c>
      <c r="AE75" s="59">
        <v>-3844.79</v>
      </c>
      <c r="AF75" s="59">
        <v>-208.95</v>
      </c>
      <c r="AG75" s="59">
        <v>-136.46</v>
      </c>
      <c r="AH75" s="59">
        <v>-4276.95</v>
      </c>
      <c r="AI75" s="59">
        <v>-2006.24</v>
      </c>
      <c r="AJ75" s="59">
        <v>-3723.05</v>
      </c>
      <c r="AK75" s="59">
        <v>5589.92</v>
      </c>
      <c r="AL75" s="58">
        <f t="shared" si="76"/>
        <v>-255.8599999999999</v>
      </c>
      <c r="AM75" s="59">
        <v>-0.73</v>
      </c>
      <c r="AN75" s="59">
        <v>-0.28999999999999998</v>
      </c>
      <c r="AO75" s="59">
        <v>-11.37</v>
      </c>
      <c r="AP75" s="59">
        <v>-547.67999999999995</v>
      </c>
      <c r="AQ75" s="59">
        <v>-30.54</v>
      </c>
      <c r="AR75" s="59">
        <v>334.75</v>
      </c>
      <c r="AS75" s="58">
        <f t="shared" si="74"/>
        <v>-128.38000000000102</v>
      </c>
      <c r="AT75" s="59">
        <v>-15398.6</v>
      </c>
      <c r="AU75" s="59">
        <v>15270.22</v>
      </c>
      <c r="AV75" s="58">
        <f t="shared" si="77"/>
        <v>-46.490000000000009</v>
      </c>
      <c r="AW75" s="59">
        <v>-823.14</v>
      </c>
      <c r="AX75" s="59">
        <v>776.65</v>
      </c>
      <c r="AY75" s="59">
        <v>0</v>
      </c>
      <c r="AZ75" s="58">
        <f t="shared" si="78"/>
        <v>-647.42000000000007</v>
      </c>
      <c r="BA75" s="59">
        <v>-339.88</v>
      </c>
      <c r="BB75" s="59">
        <v>-307.54000000000002</v>
      </c>
      <c r="BC75" s="59">
        <v>0</v>
      </c>
      <c r="BD75" s="58">
        <f t="shared" si="79"/>
        <v>-18.68</v>
      </c>
      <c r="BE75" s="59">
        <v>-45.46</v>
      </c>
      <c r="BF75" s="59">
        <v>45.5</v>
      </c>
      <c r="BG75" s="59">
        <v>-18.72</v>
      </c>
      <c r="BH75" s="58">
        <f t="shared" si="60"/>
        <v>-9.5</v>
      </c>
      <c r="BI75" s="59">
        <v>96.93</v>
      </c>
      <c r="BJ75" s="59">
        <v>-106.43</v>
      </c>
      <c r="BK75" s="58">
        <f t="shared" si="80"/>
        <v>3093.84</v>
      </c>
      <c r="BL75" s="59">
        <v>0</v>
      </c>
      <c r="BM75" s="59">
        <v>202.75</v>
      </c>
      <c r="BN75" s="59">
        <v>0</v>
      </c>
      <c r="BO75" s="59">
        <v>980.97</v>
      </c>
      <c r="BP75" s="59">
        <v>1329.72</v>
      </c>
      <c r="BQ75" s="59">
        <v>0</v>
      </c>
      <c r="BR75" s="59">
        <v>512.86</v>
      </c>
      <c r="BS75" s="59">
        <v>67.540000000000006</v>
      </c>
      <c r="BT75" s="58">
        <f t="shared" si="75"/>
        <v>678.88</v>
      </c>
      <c r="BU75" s="59">
        <v>0</v>
      </c>
      <c r="BV75" s="59">
        <v>78.44</v>
      </c>
      <c r="BW75" s="59">
        <v>0</v>
      </c>
      <c r="BX75" s="59">
        <v>0</v>
      </c>
      <c r="BY75" s="59">
        <v>127.9</v>
      </c>
      <c r="BZ75" s="59">
        <v>0</v>
      </c>
      <c r="CA75" s="59">
        <v>472.54</v>
      </c>
      <c r="CB75" s="58">
        <f>'Quarter final consumption'!B75</f>
        <v>33310.99</v>
      </c>
      <c r="CC75" s="58">
        <f>'Quarter final consumption'!C75</f>
        <v>456.49</v>
      </c>
      <c r="CD75" s="58">
        <f>'Quarter final consumption'!D75</f>
        <v>214.18</v>
      </c>
      <c r="CE75" s="58">
        <f>'Quarter final consumption'!E75</f>
        <v>17672.100000000002</v>
      </c>
      <c r="CF75" s="58">
        <f>'Quarter final consumption'!F75</f>
        <v>7798.28</v>
      </c>
      <c r="CG75" s="58">
        <f>'Quarter final consumption'!G75</f>
        <v>740.81999999999994</v>
      </c>
      <c r="CH75" s="58">
        <f>'Quarter final consumption'!H75</f>
        <v>6163.31</v>
      </c>
      <c r="CI75" s="71">
        <f>'Quarter final consumption'!I75</f>
        <v>265.81</v>
      </c>
    </row>
    <row r="76" spans="1:87" ht="15.5" x14ac:dyDescent="0.35">
      <c r="A76" s="50" t="s">
        <v>241</v>
      </c>
      <c r="B76" s="58">
        <f t="shared" si="61"/>
        <v>42972.05999999999</v>
      </c>
      <c r="C76" s="58">
        <f t="shared" si="62"/>
        <v>4543.04</v>
      </c>
      <c r="D76" s="58">
        <f t="shared" si="63"/>
        <v>112.14000000000004</v>
      </c>
      <c r="E76" s="58">
        <f t="shared" si="64"/>
        <v>18013.21</v>
      </c>
      <c r="F76" s="58">
        <f t="shared" si="65"/>
        <v>833.52999999999156</v>
      </c>
      <c r="G76" s="58">
        <f t="shared" si="66"/>
        <v>11733.43</v>
      </c>
      <c r="H76" s="58">
        <f t="shared" si="67"/>
        <v>2668.21</v>
      </c>
      <c r="I76" s="58">
        <f t="shared" si="68"/>
        <v>4585.58</v>
      </c>
      <c r="J76" s="58">
        <f t="shared" si="69"/>
        <v>482.91999999999916</v>
      </c>
      <c r="K76" s="58">
        <f t="shared" si="54"/>
        <v>33.970000000000027</v>
      </c>
      <c r="L76" s="59">
        <v>0</v>
      </c>
      <c r="M76" s="59">
        <v>8.5299999999999994</v>
      </c>
      <c r="N76" s="59">
        <v>-290.11</v>
      </c>
      <c r="O76" s="59">
        <v>324.22000000000003</v>
      </c>
      <c r="P76" s="59">
        <v>15.69</v>
      </c>
      <c r="Q76" s="59">
        <v>-24.36</v>
      </c>
      <c r="R76" s="59">
        <v>-941.14</v>
      </c>
      <c r="S76" s="59">
        <v>941.14</v>
      </c>
      <c r="T76" s="58">
        <f t="shared" si="55"/>
        <v>-9089.4299999999967</v>
      </c>
      <c r="U76" s="58">
        <f t="shared" si="70"/>
        <v>-4112.4399999999996</v>
      </c>
      <c r="V76" s="58">
        <f t="shared" si="71"/>
        <v>279.34999999999997</v>
      </c>
      <c r="W76" s="58">
        <f t="shared" si="58"/>
        <v>-17723.099999999999</v>
      </c>
      <c r="X76" s="58">
        <f t="shared" si="59"/>
        <v>17538.480000000003</v>
      </c>
      <c r="Y76" s="58">
        <f t="shared" si="72"/>
        <v>-5237.95</v>
      </c>
      <c r="Z76" s="58">
        <f t="shared" si="73"/>
        <v>-2045.3799999999999</v>
      </c>
      <c r="AA76" s="58">
        <f t="shared" si="81"/>
        <v>-3644.44</v>
      </c>
      <c r="AB76" s="58">
        <f t="shared" si="81"/>
        <v>5565.4</v>
      </c>
      <c r="AC76" s="58">
        <f t="shared" si="53"/>
        <v>290.64999999999998</v>
      </c>
      <c r="AD76" s="58">
        <f t="shared" si="56"/>
        <v>-8323.0400000000009</v>
      </c>
      <c r="AE76" s="59">
        <v>-3149.89</v>
      </c>
      <c r="AF76" s="59">
        <v>-163.68</v>
      </c>
      <c r="AG76" s="59">
        <v>-147.71</v>
      </c>
      <c r="AH76" s="59">
        <v>-4760.38</v>
      </c>
      <c r="AI76" s="59">
        <v>-2022.34</v>
      </c>
      <c r="AJ76" s="59">
        <v>-3644.44</v>
      </c>
      <c r="AK76" s="59">
        <v>5565.4</v>
      </c>
      <c r="AL76" s="58">
        <f t="shared" si="76"/>
        <v>-222.14999999999998</v>
      </c>
      <c r="AM76" s="59">
        <v>-0.56000000000000005</v>
      </c>
      <c r="AN76" s="59">
        <v>-0.28999999999999998</v>
      </c>
      <c r="AO76" s="59">
        <v>-11.34</v>
      </c>
      <c r="AP76" s="59">
        <v>-477.57</v>
      </c>
      <c r="AQ76" s="59">
        <v>-23.04</v>
      </c>
      <c r="AR76" s="59">
        <v>290.64999999999998</v>
      </c>
      <c r="AS76" s="58">
        <f t="shared" si="74"/>
        <v>4.2900000000008731</v>
      </c>
      <c r="AT76" s="59">
        <v>-17846.14</v>
      </c>
      <c r="AU76" s="59">
        <v>17850.43</v>
      </c>
      <c r="AV76" s="58">
        <f t="shared" si="77"/>
        <v>-33.659999999999968</v>
      </c>
      <c r="AW76" s="59">
        <v>-664.56</v>
      </c>
      <c r="AX76" s="59">
        <v>630.9</v>
      </c>
      <c r="AY76" s="59">
        <v>0</v>
      </c>
      <c r="AZ76" s="58">
        <f t="shared" si="78"/>
        <v>-485.03999999999996</v>
      </c>
      <c r="BA76" s="59">
        <v>-251.2</v>
      </c>
      <c r="BB76" s="59">
        <v>-233.84</v>
      </c>
      <c r="BC76" s="59">
        <v>0</v>
      </c>
      <c r="BD76" s="58">
        <f t="shared" si="79"/>
        <v>-17.77</v>
      </c>
      <c r="BE76" s="59">
        <v>-46.23</v>
      </c>
      <c r="BF76" s="59">
        <v>46.26</v>
      </c>
      <c r="BG76" s="59">
        <v>-17.8</v>
      </c>
      <c r="BH76" s="58">
        <f t="shared" si="60"/>
        <v>-12.059999999999988</v>
      </c>
      <c r="BI76" s="59">
        <v>123.04</v>
      </c>
      <c r="BJ76" s="59">
        <v>-135.1</v>
      </c>
      <c r="BK76" s="58">
        <f t="shared" si="80"/>
        <v>3028.66</v>
      </c>
      <c r="BL76" s="59">
        <v>0</v>
      </c>
      <c r="BM76" s="59">
        <v>162.85</v>
      </c>
      <c r="BN76" s="59">
        <v>0</v>
      </c>
      <c r="BO76" s="59">
        <v>1164.01</v>
      </c>
      <c r="BP76" s="59">
        <v>1123.67</v>
      </c>
      <c r="BQ76" s="59">
        <v>0</v>
      </c>
      <c r="BR76" s="59">
        <v>510.59</v>
      </c>
      <c r="BS76" s="59">
        <v>67.540000000000006</v>
      </c>
      <c r="BT76" s="58">
        <f t="shared" si="75"/>
        <v>682.68</v>
      </c>
      <c r="BU76" s="59">
        <v>0</v>
      </c>
      <c r="BV76" s="59">
        <v>63.34</v>
      </c>
      <c r="BW76" s="59">
        <v>0</v>
      </c>
      <c r="BX76" s="59">
        <v>0</v>
      </c>
      <c r="BY76" s="59">
        <v>184.19</v>
      </c>
      <c r="BZ76" s="59">
        <v>0</v>
      </c>
      <c r="CA76" s="59">
        <v>435.15</v>
      </c>
      <c r="CB76" s="58">
        <f>'Quarter final consumption'!B76</f>
        <v>30202.68</v>
      </c>
      <c r="CC76" s="58">
        <f>'Quarter final consumption'!C76</f>
        <v>430.6</v>
      </c>
      <c r="CD76" s="58">
        <f>'Quarter final consumption'!D76</f>
        <v>173.82999999999998</v>
      </c>
      <c r="CE76" s="58">
        <f>'Quarter final consumption'!E76</f>
        <v>17532.219999999998</v>
      </c>
      <c r="CF76" s="58">
        <f>'Quarter final consumption'!F76</f>
        <v>5203.3100000000004</v>
      </c>
      <c r="CG76" s="58">
        <f>'Quarter final consumption'!G76</f>
        <v>598.47</v>
      </c>
      <c r="CH76" s="58">
        <f>'Quarter final consumption'!H76</f>
        <v>6043.7199999999993</v>
      </c>
      <c r="CI76" s="71">
        <f>'Quarter final consumption'!I76</f>
        <v>220.53</v>
      </c>
    </row>
    <row r="77" spans="1:87" ht="15.5" x14ac:dyDescent="0.35">
      <c r="A77" s="50" t="s">
        <v>242</v>
      </c>
      <c r="B77" s="58">
        <f t="shared" si="61"/>
        <v>52974.58</v>
      </c>
      <c r="C77" s="58">
        <f t="shared" si="62"/>
        <v>5471.8599999999988</v>
      </c>
      <c r="D77" s="58">
        <f t="shared" si="63"/>
        <v>227.88</v>
      </c>
      <c r="E77" s="58">
        <f t="shared" si="64"/>
        <v>18227.789999999997</v>
      </c>
      <c r="F77" s="58">
        <f t="shared" si="65"/>
        <v>735.90000000000146</v>
      </c>
      <c r="G77" s="58">
        <f t="shared" si="66"/>
        <v>18909.099999999999</v>
      </c>
      <c r="H77" s="58">
        <f t="shared" si="67"/>
        <v>3583.54</v>
      </c>
      <c r="I77" s="58">
        <f t="shared" si="68"/>
        <v>5446.49</v>
      </c>
      <c r="J77" s="58">
        <f t="shared" si="69"/>
        <v>372.02000000000044</v>
      </c>
      <c r="K77" s="58">
        <f t="shared" si="54"/>
        <v>183.55999999999995</v>
      </c>
      <c r="L77" s="59">
        <v>0</v>
      </c>
      <c r="M77" s="59">
        <v>11.39</v>
      </c>
      <c r="N77" s="59">
        <v>-544.73</v>
      </c>
      <c r="O77" s="59">
        <v>728.45</v>
      </c>
      <c r="P77" s="59">
        <v>16.34</v>
      </c>
      <c r="Q77" s="59">
        <v>-27.89</v>
      </c>
      <c r="R77" s="59">
        <v>-1333.75</v>
      </c>
      <c r="S77" s="59">
        <v>1333.75</v>
      </c>
      <c r="T77" s="58">
        <f t="shared" si="55"/>
        <v>-10490.439999999999</v>
      </c>
      <c r="U77" s="58">
        <f t="shared" si="70"/>
        <v>-5005.1299999999992</v>
      </c>
      <c r="V77" s="58">
        <f t="shared" si="71"/>
        <v>69.91</v>
      </c>
      <c r="W77" s="58">
        <f t="shared" si="58"/>
        <v>-17683.059999999998</v>
      </c>
      <c r="X77" s="58">
        <f t="shared" si="59"/>
        <v>17467.55</v>
      </c>
      <c r="Y77" s="58">
        <f t="shared" si="72"/>
        <v>-5490.69</v>
      </c>
      <c r="Z77" s="58">
        <f t="shared" si="73"/>
        <v>-2343.69</v>
      </c>
      <c r="AA77" s="58">
        <f t="shared" si="81"/>
        <v>-4112.74</v>
      </c>
      <c r="AB77" s="58">
        <f t="shared" si="81"/>
        <v>6212.46</v>
      </c>
      <c r="AC77" s="58">
        <f t="shared" si="53"/>
        <v>394.95</v>
      </c>
      <c r="AD77" s="58">
        <f t="shared" si="56"/>
        <v>-9645.9199999999983</v>
      </c>
      <c r="AE77" s="59">
        <v>-4281.43</v>
      </c>
      <c r="AF77" s="59">
        <v>-148.80000000000001</v>
      </c>
      <c r="AG77" s="59">
        <v>-165.19</v>
      </c>
      <c r="AH77" s="59">
        <v>-4847.32</v>
      </c>
      <c r="AI77" s="59">
        <v>-2302.9</v>
      </c>
      <c r="AJ77" s="59">
        <v>-4112.74</v>
      </c>
      <c r="AK77" s="59">
        <v>6212.46</v>
      </c>
      <c r="AL77" s="58">
        <f t="shared" si="76"/>
        <v>-301.87999999999994</v>
      </c>
      <c r="AM77" s="59">
        <v>-0.98</v>
      </c>
      <c r="AN77" s="59">
        <v>-0.28999999999999998</v>
      </c>
      <c r="AO77" s="59">
        <v>-11.4</v>
      </c>
      <c r="AP77" s="59">
        <v>-643.37</v>
      </c>
      <c r="AQ77" s="59">
        <v>-40.79</v>
      </c>
      <c r="AR77" s="59">
        <v>394.95</v>
      </c>
      <c r="AS77" s="58">
        <f t="shared" si="74"/>
        <v>-5.7999999999992724</v>
      </c>
      <c r="AT77" s="59">
        <v>-17808.099999999999</v>
      </c>
      <c r="AU77" s="59">
        <v>17802.3</v>
      </c>
      <c r="AV77" s="58">
        <f t="shared" si="77"/>
        <v>-23.75</v>
      </c>
      <c r="AW77" s="59">
        <v>-414.54</v>
      </c>
      <c r="AX77" s="59">
        <v>390.79</v>
      </c>
      <c r="AY77" s="59">
        <v>0</v>
      </c>
      <c r="AZ77" s="58">
        <f t="shared" si="78"/>
        <v>-479.97</v>
      </c>
      <c r="BA77" s="59">
        <v>-261.45</v>
      </c>
      <c r="BB77" s="59">
        <v>-218.52</v>
      </c>
      <c r="BC77" s="59">
        <v>0</v>
      </c>
      <c r="BD77" s="58">
        <f t="shared" si="79"/>
        <v>-20.77</v>
      </c>
      <c r="BE77" s="59">
        <v>-46.73</v>
      </c>
      <c r="BF77" s="59">
        <v>46.73</v>
      </c>
      <c r="BG77" s="59">
        <v>-20.77</v>
      </c>
      <c r="BH77" s="58">
        <f t="shared" si="60"/>
        <v>-12.34999999999998</v>
      </c>
      <c r="BI77" s="59">
        <v>125.04</v>
      </c>
      <c r="BJ77" s="59">
        <v>-137.38999999999999</v>
      </c>
      <c r="BK77" s="58">
        <f t="shared" si="80"/>
        <v>3177.12</v>
      </c>
      <c r="BL77" s="59">
        <v>0</v>
      </c>
      <c r="BM77" s="59">
        <v>128.76</v>
      </c>
      <c r="BN77" s="59">
        <v>0</v>
      </c>
      <c r="BO77" s="59">
        <v>1113.3900000000001</v>
      </c>
      <c r="BP77" s="59">
        <v>1313.71</v>
      </c>
      <c r="BQ77" s="59">
        <v>0</v>
      </c>
      <c r="BR77" s="59">
        <v>553.72</v>
      </c>
      <c r="BS77" s="59">
        <v>67.540000000000006</v>
      </c>
      <c r="BT77" s="58">
        <f t="shared" si="75"/>
        <v>895.24</v>
      </c>
      <c r="BU77" s="59">
        <v>0</v>
      </c>
      <c r="BV77" s="59">
        <v>27.78</v>
      </c>
      <c r="BW77" s="59">
        <v>0</v>
      </c>
      <c r="BX77" s="59">
        <v>0</v>
      </c>
      <c r="BY77" s="59">
        <v>223.2</v>
      </c>
      <c r="BZ77" s="59">
        <v>0</v>
      </c>
      <c r="CA77" s="59">
        <v>644.26</v>
      </c>
      <c r="CB77" s="58">
        <f>'Quarter final consumption'!B77</f>
        <v>38595.769999999997</v>
      </c>
      <c r="CC77" s="58">
        <f>'Quarter final consumption'!C77</f>
        <v>466.72999999999996</v>
      </c>
      <c r="CD77" s="58">
        <f>'Quarter final consumption'!D77</f>
        <v>152.64000000000001</v>
      </c>
      <c r="CE77" s="58">
        <f>'Quarter final consumption'!E77</f>
        <v>17818.510000000002</v>
      </c>
      <c r="CF77" s="58">
        <f>'Quarter final consumption'!F77</f>
        <v>11897.84</v>
      </c>
      <c r="CG77" s="58">
        <f>'Quarter final consumption'!G77</f>
        <v>1211.96</v>
      </c>
      <c r="CH77" s="58">
        <f>'Quarter final consumption'!H77</f>
        <v>6720.25</v>
      </c>
      <c r="CI77" s="71">
        <f>'Quarter final consumption'!I77</f>
        <v>327.84</v>
      </c>
    </row>
    <row r="78" spans="1:87" ht="15.5" x14ac:dyDescent="0.35">
      <c r="A78" s="50" t="s">
        <v>243</v>
      </c>
      <c r="B78" s="58">
        <f t="shared" si="61"/>
        <v>57318.06</v>
      </c>
      <c r="C78" s="58">
        <f t="shared" si="62"/>
        <v>4703.9500000000007</v>
      </c>
      <c r="D78" s="58">
        <f t="shared" si="63"/>
        <v>199.24999999999994</v>
      </c>
      <c r="E78" s="58">
        <f t="shared" si="64"/>
        <v>15729.06</v>
      </c>
      <c r="F78" s="58">
        <f t="shared" si="65"/>
        <v>2572.0500000000011</v>
      </c>
      <c r="G78" s="58">
        <f t="shared" si="66"/>
        <v>24673.629999999997</v>
      </c>
      <c r="H78" s="58">
        <f t="shared" si="67"/>
        <v>3911.1399999999994</v>
      </c>
      <c r="I78" s="58">
        <f t="shared" si="68"/>
        <v>5016.67</v>
      </c>
      <c r="J78" s="58">
        <f t="shared" si="69"/>
        <v>512.3100000000004</v>
      </c>
      <c r="K78" s="58">
        <f t="shared" si="54"/>
        <v>9.0299999999999727</v>
      </c>
      <c r="L78" s="59">
        <v>0</v>
      </c>
      <c r="M78" s="59">
        <v>10.3</v>
      </c>
      <c r="N78" s="59">
        <v>-320.37</v>
      </c>
      <c r="O78" s="59">
        <v>318.60000000000002</v>
      </c>
      <c r="P78" s="59">
        <v>70.66</v>
      </c>
      <c r="Q78" s="59">
        <v>-70.16</v>
      </c>
      <c r="R78" s="59">
        <v>-1290.74</v>
      </c>
      <c r="S78" s="59">
        <v>1290.74</v>
      </c>
      <c r="T78" s="58">
        <f t="shared" si="55"/>
        <v>-10605.460000000003</v>
      </c>
      <c r="U78" s="58">
        <f t="shared" si="70"/>
        <v>-4236.1200000000008</v>
      </c>
      <c r="V78" s="58">
        <f t="shared" si="71"/>
        <v>55.950000000000053</v>
      </c>
      <c r="W78" s="58">
        <f t="shared" si="58"/>
        <v>-15408.689999999999</v>
      </c>
      <c r="X78" s="58">
        <f t="shared" si="59"/>
        <v>15177.89</v>
      </c>
      <c r="Y78" s="58">
        <f t="shared" si="72"/>
        <v>-6973.1500000000005</v>
      </c>
      <c r="Z78" s="58">
        <f t="shared" si="73"/>
        <v>-2544.64</v>
      </c>
      <c r="AA78" s="58">
        <f t="shared" si="81"/>
        <v>-3725.93</v>
      </c>
      <c r="AB78" s="58">
        <f t="shared" si="81"/>
        <v>6568.5</v>
      </c>
      <c r="AC78" s="58">
        <f t="shared" si="53"/>
        <v>480.73</v>
      </c>
      <c r="AD78" s="58">
        <f t="shared" si="56"/>
        <v>-9743.6900000000023</v>
      </c>
      <c r="AE78" s="59">
        <v>-3618.86</v>
      </c>
      <c r="AF78" s="59">
        <v>-130.66999999999999</v>
      </c>
      <c r="AG78" s="59">
        <v>-161.13999999999999</v>
      </c>
      <c r="AH78" s="59">
        <v>-6197.14</v>
      </c>
      <c r="AI78" s="59">
        <v>-2478.4499999999998</v>
      </c>
      <c r="AJ78" s="59">
        <v>-3725.93</v>
      </c>
      <c r="AK78" s="59">
        <v>6568.5</v>
      </c>
      <c r="AL78" s="58">
        <f t="shared" si="76"/>
        <v>-374.41000000000008</v>
      </c>
      <c r="AM78" s="59">
        <v>-1.28</v>
      </c>
      <c r="AN78" s="59">
        <v>-0.28999999999999998</v>
      </c>
      <c r="AO78" s="59">
        <v>-11.37</v>
      </c>
      <c r="AP78" s="59">
        <v>-776.01</v>
      </c>
      <c r="AQ78" s="59">
        <v>-66.19</v>
      </c>
      <c r="AR78" s="59">
        <v>480.73</v>
      </c>
      <c r="AS78" s="58">
        <f t="shared" si="74"/>
        <v>-27.019999999998618</v>
      </c>
      <c r="AT78" s="59">
        <v>-15536.14</v>
      </c>
      <c r="AU78" s="59">
        <v>15509.12</v>
      </c>
      <c r="AV78" s="58">
        <f t="shared" si="77"/>
        <v>-19.95999999999998</v>
      </c>
      <c r="AW78" s="59">
        <v>-337.12</v>
      </c>
      <c r="AX78" s="59">
        <v>317.16000000000003</v>
      </c>
      <c r="AY78" s="59">
        <v>0</v>
      </c>
      <c r="AZ78" s="58">
        <f t="shared" si="78"/>
        <v>-406.62</v>
      </c>
      <c r="BA78" s="59">
        <v>-239.89</v>
      </c>
      <c r="BB78" s="59">
        <v>-166.73</v>
      </c>
      <c r="BC78" s="59">
        <v>0</v>
      </c>
      <c r="BD78" s="58">
        <f t="shared" si="79"/>
        <v>-21.270000000000003</v>
      </c>
      <c r="BE78" s="59">
        <v>-38.97</v>
      </c>
      <c r="BF78" s="59">
        <v>36.479999999999997</v>
      </c>
      <c r="BG78" s="59">
        <v>-18.78</v>
      </c>
      <c r="BH78" s="58">
        <f t="shared" si="60"/>
        <v>-12.489999999999995</v>
      </c>
      <c r="BI78" s="59">
        <v>127.45</v>
      </c>
      <c r="BJ78" s="59">
        <v>-139.94</v>
      </c>
      <c r="BK78" s="58">
        <f t="shared" si="80"/>
        <v>3134.6699999999996</v>
      </c>
      <c r="BL78" s="59">
        <v>0</v>
      </c>
      <c r="BM78" s="59">
        <v>118.28</v>
      </c>
      <c r="BN78" s="59">
        <v>0</v>
      </c>
      <c r="BO78" s="59">
        <v>1045.1099999999999</v>
      </c>
      <c r="BP78" s="59">
        <v>1360.17</v>
      </c>
      <c r="BQ78" s="59">
        <v>0</v>
      </c>
      <c r="BR78" s="59">
        <v>532.04999999999995</v>
      </c>
      <c r="BS78" s="59">
        <v>79.06</v>
      </c>
      <c r="BT78" s="58">
        <f t="shared" si="75"/>
        <v>864.25</v>
      </c>
      <c r="BU78" s="59">
        <v>0</v>
      </c>
      <c r="BV78" s="59">
        <v>21.33</v>
      </c>
      <c r="BW78" s="59">
        <v>0</v>
      </c>
      <c r="BX78" s="59">
        <v>0</v>
      </c>
      <c r="BY78" s="59">
        <v>102.5</v>
      </c>
      <c r="BZ78" s="59">
        <v>0</v>
      </c>
      <c r="CA78" s="59">
        <v>740.42</v>
      </c>
      <c r="CB78" s="58">
        <f>'Quarter final consumption'!B78</f>
        <v>42724.099999999991</v>
      </c>
      <c r="CC78" s="58">
        <f>'Quarter final consumption'!C78</f>
        <v>467.83</v>
      </c>
      <c r="CD78" s="58">
        <f>'Quarter final consumption'!D78</f>
        <v>125.89</v>
      </c>
      <c r="CE78" s="58">
        <f>'Quarter final consumption'!E78</f>
        <v>17023.43</v>
      </c>
      <c r="CF78" s="58">
        <f>'Quarter final consumption'!F78</f>
        <v>16308.469999999998</v>
      </c>
      <c r="CG78" s="58">
        <f>'Quarter final consumption'!G78</f>
        <v>1296.3399999999999</v>
      </c>
      <c r="CH78" s="58">
        <f>'Quarter final consumption'!H78</f>
        <v>7099.08</v>
      </c>
      <c r="CI78" s="71">
        <f>'Quarter final consumption'!I78</f>
        <v>403.06</v>
      </c>
    </row>
    <row r="79" spans="1:87" ht="15.5" x14ac:dyDescent="0.35">
      <c r="A79" s="50" t="s">
        <v>244</v>
      </c>
      <c r="B79" s="58">
        <f t="shared" si="61"/>
        <v>46170.200000000004</v>
      </c>
      <c r="C79" s="58">
        <f t="shared" si="62"/>
        <v>2199.06</v>
      </c>
      <c r="D79" s="58">
        <f t="shared" si="63"/>
        <v>213.14</v>
      </c>
      <c r="E79" s="58">
        <f t="shared" si="64"/>
        <v>16934.690000000002</v>
      </c>
      <c r="F79" s="58">
        <f t="shared" si="65"/>
        <v>2418.2799999999988</v>
      </c>
      <c r="G79" s="58">
        <f t="shared" si="66"/>
        <v>16052.68</v>
      </c>
      <c r="H79" s="58">
        <f t="shared" si="67"/>
        <v>3276.89</v>
      </c>
      <c r="I79" s="58">
        <f t="shared" si="68"/>
        <v>4612.38</v>
      </c>
      <c r="J79" s="58">
        <f t="shared" si="69"/>
        <v>463.08000000000084</v>
      </c>
      <c r="K79" s="58">
        <f t="shared" si="54"/>
        <v>4.6200000000001182</v>
      </c>
      <c r="L79" s="59">
        <v>0</v>
      </c>
      <c r="M79" s="59">
        <v>8.4700000000000006</v>
      </c>
      <c r="N79" s="59">
        <v>-405.2</v>
      </c>
      <c r="O79" s="59">
        <v>400.92</v>
      </c>
      <c r="P79" s="59">
        <v>70.739999999999995</v>
      </c>
      <c r="Q79" s="59">
        <v>-70.31</v>
      </c>
      <c r="R79" s="59">
        <v>-1032.68</v>
      </c>
      <c r="S79" s="59">
        <v>1032.68</v>
      </c>
      <c r="T79" s="58">
        <f t="shared" si="55"/>
        <v>-8540.2899999999991</v>
      </c>
      <c r="U79" s="58">
        <f t="shared" si="70"/>
        <v>-1775.19</v>
      </c>
      <c r="V79" s="58">
        <f t="shared" si="71"/>
        <v>61.73</v>
      </c>
      <c r="W79" s="58">
        <f t="shared" si="58"/>
        <v>-16529.490000000002</v>
      </c>
      <c r="X79" s="58">
        <f t="shared" si="59"/>
        <v>16325.910000000002</v>
      </c>
      <c r="Y79" s="58">
        <f t="shared" si="72"/>
        <v>-6708.33</v>
      </c>
      <c r="Z79" s="58">
        <f t="shared" si="73"/>
        <v>-2298.29</v>
      </c>
      <c r="AA79" s="58">
        <f t="shared" si="81"/>
        <v>-3579.7</v>
      </c>
      <c r="AB79" s="58">
        <f t="shared" si="81"/>
        <v>5614.22</v>
      </c>
      <c r="AC79" s="58">
        <f t="shared" si="53"/>
        <v>348.85</v>
      </c>
      <c r="AD79" s="58">
        <f t="shared" si="56"/>
        <v>-7762.87</v>
      </c>
      <c r="AE79" s="59">
        <v>-1143.32</v>
      </c>
      <c r="AF79" s="59">
        <v>-131.82</v>
      </c>
      <c r="AG79" s="59">
        <v>-123.87</v>
      </c>
      <c r="AH79" s="59">
        <v>-6139.02</v>
      </c>
      <c r="AI79" s="59">
        <v>-2259.36</v>
      </c>
      <c r="AJ79" s="59">
        <v>-3579.7</v>
      </c>
      <c r="AK79" s="59">
        <v>5614.22</v>
      </c>
      <c r="AL79" s="58">
        <f t="shared" si="76"/>
        <v>-271.68999999999983</v>
      </c>
      <c r="AM79" s="59">
        <v>-0.74</v>
      </c>
      <c r="AN79" s="59">
        <v>-0.28999999999999998</v>
      </c>
      <c r="AO79" s="59">
        <v>-11.27</v>
      </c>
      <c r="AP79" s="59">
        <v>-569.30999999999995</v>
      </c>
      <c r="AQ79" s="59">
        <v>-38.93</v>
      </c>
      <c r="AR79" s="59">
        <v>348.85</v>
      </c>
      <c r="AS79" s="58">
        <f t="shared" si="74"/>
        <v>-38.740000000001601</v>
      </c>
      <c r="AT79" s="59">
        <v>-16644.77</v>
      </c>
      <c r="AU79" s="59">
        <v>16606.03</v>
      </c>
      <c r="AV79" s="58">
        <f t="shared" si="77"/>
        <v>-20.04000000000002</v>
      </c>
      <c r="AW79" s="59">
        <v>-332.63</v>
      </c>
      <c r="AX79" s="59">
        <v>312.58999999999997</v>
      </c>
      <c r="AY79" s="59">
        <v>0</v>
      </c>
      <c r="AZ79" s="58">
        <f t="shared" si="78"/>
        <v>-425.04</v>
      </c>
      <c r="BA79" s="59">
        <v>-262.66000000000003</v>
      </c>
      <c r="BB79" s="59">
        <v>-162.38</v>
      </c>
      <c r="BC79" s="59">
        <v>0</v>
      </c>
      <c r="BD79" s="58">
        <f t="shared" si="79"/>
        <v>-10.630000000000003</v>
      </c>
      <c r="BE79" s="59">
        <v>-35.840000000000003</v>
      </c>
      <c r="BF79" s="59">
        <v>43.63</v>
      </c>
      <c r="BG79" s="59">
        <v>-18.420000000000002</v>
      </c>
      <c r="BH79" s="58">
        <f t="shared" si="60"/>
        <v>-11.280000000000001</v>
      </c>
      <c r="BI79" s="59">
        <v>115.28</v>
      </c>
      <c r="BJ79" s="59">
        <v>-126.56</v>
      </c>
      <c r="BK79" s="58">
        <f t="shared" si="80"/>
        <v>2980.67</v>
      </c>
      <c r="BL79" s="59">
        <v>0</v>
      </c>
      <c r="BM79" s="59">
        <v>121.65</v>
      </c>
      <c r="BN79" s="59">
        <v>0</v>
      </c>
      <c r="BO79" s="59">
        <v>1077.95</v>
      </c>
      <c r="BP79" s="59">
        <v>1221.6600000000001</v>
      </c>
      <c r="BQ79" s="59">
        <v>0</v>
      </c>
      <c r="BR79" s="59">
        <v>480.35</v>
      </c>
      <c r="BS79" s="59">
        <v>79.06</v>
      </c>
      <c r="BT79" s="58">
        <f t="shared" si="75"/>
        <v>647.76</v>
      </c>
      <c r="BU79" s="59">
        <v>0</v>
      </c>
      <c r="BV79" s="59">
        <v>28.97</v>
      </c>
      <c r="BW79" s="59">
        <v>0</v>
      </c>
      <c r="BX79" s="59">
        <v>0</v>
      </c>
      <c r="BY79" s="59">
        <v>103.7</v>
      </c>
      <c r="BZ79" s="59">
        <v>0</v>
      </c>
      <c r="CA79" s="59">
        <v>515.09</v>
      </c>
      <c r="CB79" s="58">
        <f>'Quarter final consumption'!B79</f>
        <v>34004.86</v>
      </c>
      <c r="CC79" s="58">
        <f>'Quarter final consumption'!C79</f>
        <v>423.87</v>
      </c>
      <c r="CD79" s="58">
        <f>'Quarter final consumption'!D79</f>
        <v>132.72</v>
      </c>
      <c r="CE79" s="58">
        <f>'Quarter final consumption'!E79</f>
        <v>18067.16</v>
      </c>
      <c r="CF79" s="58">
        <f>'Quarter final consumption'!F79</f>
        <v>8089.73</v>
      </c>
      <c r="CG79" s="58">
        <f>'Quarter final consumption'!G79</f>
        <v>908.29</v>
      </c>
      <c r="CH79" s="58">
        <f>'Quarter final consumption'!H79</f>
        <v>6114.5400000000009</v>
      </c>
      <c r="CI79" s="71">
        <f>'Quarter final consumption'!I79</f>
        <v>268.55</v>
      </c>
    </row>
    <row r="80" spans="1:87" ht="15.5" x14ac:dyDescent="0.35">
      <c r="A80" s="50" t="s">
        <v>245</v>
      </c>
      <c r="B80" s="58">
        <f t="shared" si="61"/>
        <v>41809.919999999998</v>
      </c>
      <c r="C80" s="58">
        <f t="shared" si="62"/>
        <v>1808.19</v>
      </c>
      <c r="D80" s="58">
        <f t="shared" si="63"/>
        <v>186.09</v>
      </c>
      <c r="E80" s="58">
        <f t="shared" si="64"/>
        <v>16952.95</v>
      </c>
      <c r="F80" s="58">
        <f t="shared" si="65"/>
        <v>2551.6399999999994</v>
      </c>
      <c r="G80" s="58">
        <f t="shared" si="66"/>
        <v>12009.119999999999</v>
      </c>
      <c r="H80" s="58">
        <f t="shared" si="67"/>
        <v>2727.1899999999996</v>
      </c>
      <c r="I80" s="58">
        <f t="shared" si="68"/>
        <v>5176.22</v>
      </c>
      <c r="J80" s="58">
        <f t="shared" si="69"/>
        <v>398.52000000000044</v>
      </c>
      <c r="K80" s="58">
        <f t="shared" si="54"/>
        <v>1.5999999999999091</v>
      </c>
      <c r="L80" s="59">
        <v>0</v>
      </c>
      <c r="M80" s="59">
        <v>5.15</v>
      </c>
      <c r="N80" s="59">
        <v>-275.58999999999997</v>
      </c>
      <c r="O80" s="59">
        <v>271.77999999999997</v>
      </c>
      <c r="P80" s="59">
        <v>94.43</v>
      </c>
      <c r="Q80" s="59">
        <v>-94.17</v>
      </c>
      <c r="R80" s="59">
        <v>-1123.68</v>
      </c>
      <c r="S80" s="59">
        <v>1123.68</v>
      </c>
      <c r="T80" s="58">
        <f t="shared" si="55"/>
        <v>-8208.6399999999976</v>
      </c>
      <c r="U80" s="58">
        <f t="shared" si="70"/>
        <v>-1405.41</v>
      </c>
      <c r="V80" s="58">
        <f t="shared" si="71"/>
        <v>76.75</v>
      </c>
      <c r="W80" s="58">
        <f t="shared" si="58"/>
        <v>-16677.36</v>
      </c>
      <c r="X80" s="58">
        <f t="shared" si="59"/>
        <v>16509.670000000002</v>
      </c>
      <c r="Y80" s="58">
        <f t="shared" si="72"/>
        <v>-6368.5999999999995</v>
      </c>
      <c r="Z80" s="58">
        <f t="shared" si="73"/>
        <v>-1934.9199999999998</v>
      </c>
      <c r="AA80" s="58">
        <f t="shared" si="81"/>
        <v>-4052.54</v>
      </c>
      <c r="AB80" s="58">
        <f t="shared" si="81"/>
        <v>5353.37</v>
      </c>
      <c r="AC80" s="58">
        <f t="shared" si="53"/>
        <v>290.39999999999998</v>
      </c>
      <c r="AD80" s="58">
        <f t="shared" si="56"/>
        <v>-7506.2800000000016</v>
      </c>
      <c r="AE80" s="59">
        <v>-750.32</v>
      </c>
      <c r="AF80" s="59">
        <v>-129.30000000000001</v>
      </c>
      <c r="AG80" s="59">
        <v>-128.51</v>
      </c>
      <c r="AH80" s="59">
        <v>-5890.91</v>
      </c>
      <c r="AI80" s="59">
        <v>-1908.07</v>
      </c>
      <c r="AJ80" s="59">
        <v>-4052.54</v>
      </c>
      <c r="AK80" s="59">
        <v>5353.37</v>
      </c>
      <c r="AL80" s="58">
        <f t="shared" si="76"/>
        <v>-226.15999999999997</v>
      </c>
      <c r="AM80" s="59">
        <v>-0.51</v>
      </c>
      <c r="AN80" s="59">
        <v>-0.28999999999999998</v>
      </c>
      <c r="AO80" s="59">
        <v>-11.22</v>
      </c>
      <c r="AP80" s="59">
        <v>-477.69</v>
      </c>
      <c r="AQ80" s="59">
        <v>-26.85</v>
      </c>
      <c r="AR80" s="59">
        <v>290.39999999999998</v>
      </c>
      <c r="AS80" s="58">
        <f t="shared" si="74"/>
        <v>-1.9500000000007276</v>
      </c>
      <c r="AT80" s="59">
        <v>-16787.060000000001</v>
      </c>
      <c r="AU80" s="59">
        <v>16785.11</v>
      </c>
      <c r="AV80" s="58">
        <f t="shared" si="77"/>
        <v>-21.050000000000011</v>
      </c>
      <c r="AW80" s="59">
        <v>-353.06</v>
      </c>
      <c r="AX80" s="59">
        <v>332.01</v>
      </c>
      <c r="AY80" s="59">
        <v>0</v>
      </c>
      <c r="AZ80" s="58">
        <f t="shared" si="78"/>
        <v>-432.36</v>
      </c>
      <c r="BA80" s="59">
        <v>-263.01</v>
      </c>
      <c r="BB80" s="59">
        <v>-169.35</v>
      </c>
      <c r="BC80" s="59">
        <v>0</v>
      </c>
      <c r="BD80" s="58">
        <f t="shared" si="79"/>
        <v>-10.149999999999999</v>
      </c>
      <c r="BE80" s="59">
        <v>-38.51</v>
      </c>
      <c r="BF80" s="59">
        <v>43.68</v>
      </c>
      <c r="BG80" s="59">
        <v>-15.32</v>
      </c>
      <c r="BH80" s="58">
        <f t="shared" si="60"/>
        <v>-10.689999999999998</v>
      </c>
      <c r="BI80" s="59">
        <v>109.7</v>
      </c>
      <c r="BJ80" s="59">
        <v>-120.39</v>
      </c>
      <c r="BK80" s="58">
        <f t="shared" si="80"/>
        <v>2964.6699999999996</v>
      </c>
      <c r="BL80" s="59">
        <v>0</v>
      </c>
      <c r="BM80" s="59">
        <v>109.19</v>
      </c>
      <c r="BN80" s="59">
        <v>0</v>
      </c>
      <c r="BO80" s="59">
        <v>1108.07</v>
      </c>
      <c r="BP80" s="59">
        <v>1190.44</v>
      </c>
      <c r="BQ80" s="59">
        <v>0</v>
      </c>
      <c r="BR80" s="59">
        <v>477.91</v>
      </c>
      <c r="BS80" s="59">
        <v>79.06</v>
      </c>
      <c r="BT80" s="58">
        <f t="shared" si="75"/>
        <v>573.61</v>
      </c>
      <c r="BU80" s="59">
        <v>0</v>
      </c>
      <c r="BV80" s="59">
        <v>27.37</v>
      </c>
      <c r="BW80" s="59">
        <v>0</v>
      </c>
      <c r="BX80" s="59">
        <v>0</v>
      </c>
      <c r="BY80" s="59">
        <v>122.86</v>
      </c>
      <c r="BZ80" s="59">
        <v>0</v>
      </c>
      <c r="CA80" s="59">
        <v>423.38</v>
      </c>
      <c r="CB80" s="58">
        <f>'Quarter final consumption'!B80</f>
        <v>30059.649999999994</v>
      </c>
      <c r="CC80" s="58">
        <f>'Quarter final consumption'!C80</f>
        <v>402.78</v>
      </c>
      <c r="CD80" s="58">
        <f>'Quarter final consumption'!D80</f>
        <v>131.43</v>
      </c>
      <c r="CE80" s="58">
        <f>'Quarter final consumption'!E80</f>
        <v>18225.02</v>
      </c>
      <c r="CF80" s="58">
        <f>'Quarter final consumption'!F80</f>
        <v>4421.6499999999996</v>
      </c>
      <c r="CG80" s="58">
        <f>'Quarter final consumption'!G80</f>
        <v>698.09999999999991</v>
      </c>
      <c r="CH80" s="58">
        <f>'Quarter final consumption'!H80</f>
        <v>5974.2800000000007</v>
      </c>
      <c r="CI80" s="71">
        <f>'Quarter final consumption'!I80</f>
        <v>206.39000000000001</v>
      </c>
    </row>
    <row r="81" spans="1:87" ht="15.5" x14ac:dyDescent="0.35">
      <c r="A81" s="50" t="s">
        <v>246</v>
      </c>
      <c r="B81" s="58">
        <f t="shared" si="61"/>
        <v>54812.82</v>
      </c>
      <c r="C81" s="58">
        <f t="shared" si="62"/>
        <v>3240.44</v>
      </c>
      <c r="D81" s="58">
        <f t="shared" si="63"/>
        <v>185.6</v>
      </c>
      <c r="E81" s="58">
        <f t="shared" si="64"/>
        <v>17472.240000000002</v>
      </c>
      <c r="F81" s="58">
        <f t="shared" si="65"/>
        <v>1770.0100000000002</v>
      </c>
      <c r="G81" s="58">
        <f t="shared" si="66"/>
        <v>23267.85</v>
      </c>
      <c r="H81" s="58">
        <f t="shared" si="67"/>
        <v>3586.58</v>
      </c>
      <c r="I81" s="58">
        <f t="shared" si="68"/>
        <v>5159.2</v>
      </c>
      <c r="J81" s="58">
        <f t="shared" si="69"/>
        <v>130.90000000000055</v>
      </c>
      <c r="K81" s="58">
        <f t="shared" si="54"/>
        <v>32.079999999999927</v>
      </c>
      <c r="L81" s="59">
        <v>0</v>
      </c>
      <c r="M81" s="59">
        <v>2.79</v>
      </c>
      <c r="N81" s="59">
        <v>-589.75</v>
      </c>
      <c r="O81" s="59">
        <v>618.84</v>
      </c>
      <c r="P81" s="59">
        <v>94.37</v>
      </c>
      <c r="Q81" s="59">
        <v>-94.17</v>
      </c>
      <c r="R81" s="59">
        <v>-1103.6199999999999</v>
      </c>
      <c r="S81" s="59">
        <v>1103.6199999999999</v>
      </c>
      <c r="T81" s="58">
        <f t="shared" si="55"/>
        <v>-10187.739999999998</v>
      </c>
      <c r="U81" s="58">
        <f t="shared" si="70"/>
        <v>-2790.69</v>
      </c>
      <c r="V81" s="58">
        <f t="shared" si="71"/>
        <v>86.67</v>
      </c>
      <c r="W81" s="58">
        <f t="shared" si="58"/>
        <v>-16882.490000000002</v>
      </c>
      <c r="X81" s="58">
        <f t="shared" si="59"/>
        <v>16666.620000000003</v>
      </c>
      <c r="Y81" s="58">
        <f t="shared" si="72"/>
        <v>-8145.53</v>
      </c>
      <c r="Z81" s="58">
        <f t="shared" si="73"/>
        <v>-2323.94</v>
      </c>
      <c r="AA81" s="58">
        <f t="shared" si="81"/>
        <v>-4055.58</v>
      </c>
      <c r="AB81" s="58">
        <f t="shared" si="81"/>
        <v>6821.61</v>
      </c>
      <c r="AC81" s="58">
        <f t="shared" si="53"/>
        <v>435.59</v>
      </c>
      <c r="AD81" s="58">
        <f t="shared" si="56"/>
        <v>-9347.77</v>
      </c>
      <c r="AE81" s="59">
        <v>-2113.1</v>
      </c>
      <c r="AF81" s="59">
        <v>-147.99</v>
      </c>
      <c r="AG81" s="59">
        <v>-145.35</v>
      </c>
      <c r="AH81" s="59">
        <v>-7440.28</v>
      </c>
      <c r="AI81" s="59">
        <v>-2267.08</v>
      </c>
      <c r="AJ81" s="59">
        <v>-4055.58</v>
      </c>
      <c r="AK81" s="59">
        <v>6821.61</v>
      </c>
      <c r="AL81" s="58">
        <f t="shared" si="76"/>
        <v>-339.24000000000007</v>
      </c>
      <c r="AM81" s="59">
        <v>-1.0900000000000001</v>
      </c>
      <c r="AN81" s="59">
        <v>-0.28999999999999998</v>
      </c>
      <c r="AO81" s="59">
        <v>-11.34</v>
      </c>
      <c r="AP81" s="59">
        <v>-705.25</v>
      </c>
      <c r="AQ81" s="59">
        <v>-56.86</v>
      </c>
      <c r="AR81" s="59">
        <v>435.59</v>
      </c>
      <c r="AS81" s="58">
        <f t="shared" si="74"/>
        <v>-19.610000000000582</v>
      </c>
      <c r="AT81" s="59">
        <v>-16999.060000000001</v>
      </c>
      <c r="AU81" s="59">
        <v>16979.45</v>
      </c>
      <c r="AV81" s="58">
        <f t="shared" si="77"/>
        <v>-20.110000000000014</v>
      </c>
      <c r="AW81" s="59">
        <v>-361.48</v>
      </c>
      <c r="AX81" s="59">
        <v>341.37</v>
      </c>
      <c r="AY81" s="59">
        <v>0</v>
      </c>
      <c r="AZ81" s="58">
        <f t="shared" si="78"/>
        <v>-428.24</v>
      </c>
      <c r="BA81" s="59">
        <v>-271.12</v>
      </c>
      <c r="BB81" s="59">
        <v>-157.12</v>
      </c>
      <c r="BC81" s="59">
        <v>0</v>
      </c>
      <c r="BD81" s="58">
        <f t="shared" si="79"/>
        <v>-21.559999999999995</v>
      </c>
      <c r="BE81" s="59">
        <v>-43.9</v>
      </c>
      <c r="BF81" s="59">
        <v>50.7</v>
      </c>
      <c r="BG81" s="59">
        <v>-28.36</v>
      </c>
      <c r="BH81" s="58">
        <f t="shared" si="60"/>
        <v>-11.210000000000008</v>
      </c>
      <c r="BI81" s="59">
        <v>116.57</v>
      </c>
      <c r="BJ81" s="59">
        <v>-127.78</v>
      </c>
      <c r="BK81" s="58">
        <f t="shared" si="80"/>
        <v>2972.0500000000006</v>
      </c>
      <c r="BL81" s="59">
        <v>0</v>
      </c>
      <c r="BM81" s="59">
        <v>119.17</v>
      </c>
      <c r="BN81" s="59">
        <v>0</v>
      </c>
      <c r="BO81" s="59">
        <v>1054.92</v>
      </c>
      <c r="BP81" s="59">
        <v>1181.1400000000001</v>
      </c>
      <c r="BQ81" s="59">
        <v>0</v>
      </c>
      <c r="BR81" s="59">
        <v>537.76</v>
      </c>
      <c r="BS81" s="59">
        <v>79.06</v>
      </c>
      <c r="BT81" s="58">
        <f t="shared" si="75"/>
        <v>715.27</v>
      </c>
      <c r="BU81" s="59">
        <v>0</v>
      </c>
      <c r="BV81" s="59">
        <v>18.27</v>
      </c>
      <c r="BW81" s="59">
        <v>0</v>
      </c>
      <c r="BX81" s="59">
        <v>0</v>
      </c>
      <c r="BY81" s="59">
        <v>132.87</v>
      </c>
      <c r="BZ81" s="59">
        <v>0</v>
      </c>
      <c r="CA81" s="59">
        <v>564.13</v>
      </c>
      <c r="CB81" s="58">
        <f>'Quarter final consumption'!B81</f>
        <v>40974.629999999997</v>
      </c>
      <c r="CC81" s="58">
        <f>'Quarter final consumption'!C81</f>
        <v>449.75</v>
      </c>
      <c r="CD81" s="58">
        <f>'Quarter final consumption'!D81</f>
        <v>137.62</v>
      </c>
      <c r="CE81" s="58">
        <f>'Quarter final consumption'!E81</f>
        <v>18000.550000000003</v>
      </c>
      <c r="CF81" s="58">
        <f>'Quarter final consumption'!F81</f>
        <v>13902.68</v>
      </c>
      <c r="CG81" s="58">
        <f>'Quarter final consumption'!G81</f>
        <v>1168.4699999999998</v>
      </c>
      <c r="CH81" s="58">
        <f>'Quarter final consumption'!H81</f>
        <v>6954.24</v>
      </c>
      <c r="CI81" s="71">
        <f>'Quarter final consumption'!I81</f>
        <v>361.32000000000005</v>
      </c>
    </row>
    <row r="82" spans="1:87" ht="15.5" x14ac:dyDescent="0.35">
      <c r="A82" s="50" t="s">
        <v>247</v>
      </c>
      <c r="B82" s="58">
        <f t="shared" si="61"/>
        <v>56374.259999999995</v>
      </c>
      <c r="C82" s="58">
        <f t="shared" si="62"/>
        <v>3542.4</v>
      </c>
      <c r="D82" s="58">
        <f t="shared" si="63"/>
        <v>174.15</v>
      </c>
      <c r="E82" s="58">
        <f t="shared" si="64"/>
        <v>16550.32</v>
      </c>
      <c r="F82" s="58">
        <f t="shared" si="65"/>
        <v>1890.4399999999969</v>
      </c>
      <c r="G82" s="58">
        <f t="shared" si="66"/>
        <v>24711.279999999999</v>
      </c>
      <c r="H82" s="58">
        <f t="shared" si="67"/>
        <v>4105.47</v>
      </c>
      <c r="I82" s="58">
        <f t="shared" si="68"/>
        <v>5196.42</v>
      </c>
      <c r="J82" s="58">
        <f t="shared" si="69"/>
        <v>203.78000000000065</v>
      </c>
      <c r="K82" s="58">
        <f t="shared" si="54"/>
        <v>-1.9500000000000455</v>
      </c>
      <c r="L82" s="59">
        <v>0</v>
      </c>
      <c r="M82" s="59">
        <v>4.22</v>
      </c>
      <c r="N82" s="59">
        <v>-738.01</v>
      </c>
      <c r="O82" s="59">
        <v>731.61</v>
      </c>
      <c r="P82" s="59">
        <v>82.98</v>
      </c>
      <c r="Q82" s="59">
        <v>-82.75</v>
      </c>
      <c r="R82" s="59">
        <v>-1402.58</v>
      </c>
      <c r="S82" s="59">
        <v>1402.58</v>
      </c>
      <c r="T82" s="58">
        <f t="shared" si="55"/>
        <v>-10172.329999999998</v>
      </c>
      <c r="U82" s="58">
        <f t="shared" si="70"/>
        <v>-3143.53</v>
      </c>
      <c r="V82" s="58">
        <f t="shared" si="71"/>
        <v>96.659999999999982</v>
      </c>
      <c r="W82" s="58">
        <f t="shared" si="58"/>
        <v>-15812.310000000001</v>
      </c>
      <c r="X82" s="58">
        <f t="shared" si="59"/>
        <v>15577.539999999999</v>
      </c>
      <c r="Y82" s="58">
        <f t="shared" si="72"/>
        <v>-7514.1399999999994</v>
      </c>
      <c r="Z82" s="58">
        <f t="shared" si="73"/>
        <v>-2654.6600000000003</v>
      </c>
      <c r="AA82" s="58">
        <f t="shared" si="81"/>
        <v>-3793.84</v>
      </c>
      <c r="AB82" s="58">
        <f t="shared" si="81"/>
        <v>6581.85</v>
      </c>
      <c r="AC82" s="58">
        <f t="shared" si="53"/>
        <v>490.1</v>
      </c>
      <c r="AD82" s="58">
        <f t="shared" si="56"/>
        <v>-9339.41</v>
      </c>
      <c r="AE82" s="59">
        <v>-2471.12</v>
      </c>
      <c r="AF82" s="59">
        <v>-136.06</v>
      </c>
      <c r="AG82" s="59">
        <v>-138.55000000000001</v>
      </c>
      <c r="AH82" s="59">
        <v>-6780.91</v>
      </c>
      <c r="AI82" s="59">
        <v>-2600.7800000000002</v>
      </c>
      <c r="AJ82" s="59">
        <v>-3793.84</v>
      </c>
      <c r="AK82" s="59">
        <v>6581.85</v>
      </c>
      <c r="AL82" s="58">
        <f t="shared" si="76"/>
        <v>-310.06999999999994</v>
      </c>
      <c r="AM82" s="59">
        <v>-1.26</v>
      </c>
      <c r="AN82" s="59">
        <v>-0.28999999999999998</v>
      </c>
      <c r="AO82" s="59">
        <v>-11.51</v>
      </c>
      <c r="AP82" s="59">
        <v>-733.23</v>
      </c>
      <c r="AQ82" s="59">
        <v>-53.88</v>
      </c>
      <c r="AR82" s="59">
        <v>490.1</v>
      </c>
      <c r="AS82" s="58">
        <f t="shared" si="74"/>
        <v>-63.1200000000008</v>
      </c>
      <c r="AT82" s="59">
        <v>-15939.27</v>
      </c>
      <c r="AU82" s="59">
        <v>15876.15</v>
      </c>
      <c r="AV82" s="58">
        <f t="shared" si="77"/>
        <v>-22.520000000000039</v>
      </c>
      <c r="AW82" s="59">
        <v>-366.61</v>
      </c>
      <c r="AX82" s="59">
        <v>344.09</v>
      </c>
      <c r="AY82" s="59">
        <v>0</v>
      </c>
      <c r="AZ82" s="58">
        <f t="shared" si="78"/>
        <v>-418.17999999999995</v>
      </c>
      <c r="BA82" s="59">
        <v>-266.45999999999998</v>
      </c>
      <c r="BB82" s="59">
        <v>-151.72</v>
      </c>
      <c r="BC82" s="59">
        <v>0</v>
      </c>
      <c r="BD82" s="58">
        <f t="shared" si="79"/>
        <v>-14.95</v>
      </c>
      <c r="BE82" s="59">
        <v>-38.08</v>
      </c>
      <c r="BF82" s="59">
        <v>40.64</v>
      </c>
      <c r="BG82" s="59">
        <v>-17.510000000000002</v>
      </c>
      <c r="BH82" s="58">
        <f t="shared" si="60"/>
        <v>-4.0799999999999983</v>
      </c>
      <c r="BI82" s="59">
        <v>126.96</v>
      </c>
      <c r="BJ82" s="59">
        <v>-131.04</v>
      </c>
      <c r="BK82" s="58">
        <f t="shared" si="80"/>
        <v>3089.45</v>
      </c>
      <c r="BL82" s="59">
        <v>0</v>
      </c>
      <c r="BM82" s="59">
        <v>116.08</v>
      </c>
      <c r="BN82" s="59">
        <v>0</v>
      </c>
      <c r="BO82" s="59">
        <v>1037.8900000000001</v>
      </c>
      <c r="BP82" s="59">
        <v>1313.69</v>
      </c>
      <c r="BQ82" s="59">
        <v>0</v>
      </c>
      <c r="BR82" s="59">
        <v>541.24</v>
      </c>
      <c r="BS82" s="59">
        <v>80.55</v>
      </c>
      <c r="BT82" s="58">
        <f t="shared" si="75"/>
        <v>890.9</v>
      </c>
      <c r="BU82" s="59">
        <v>0</v>
      </c>
      <c r="BV82" s="59">
        <v>23.38</v>
      </c>
      <c r="BW82" s="59">
        <v>0</v>
      </c>
      <c r="BX82" s="59">
        <v>0</v>
      </c>
      <c r="BY82" s="59">
        <v>111.63</v>
      </c>
      <c r="BZ82" s="59">
        <v>0</v>
      </c>
      <c r="CA82" s="59">
        <v>755.89</v>
      </c>
      <c r="CB82" s="58">
        <f>'Quarter final consumption'!B82</f>
        <v>42210.859999999993</v>
      </c>
      <c r="CC82" s="58">
        <f>'Quarter final consumption'!C82</f>
        <v>398.87</v>
      </c>
      <c r="CD82" s="58">
        <f>'Quarter final consumption'!D82</f>
        <v>135.57</v>
      </c>
      <c r="CE82" s="58">
        <f>'Quarter final consumption'!E82</f>
        <v>17161.699999999997</v>
      </c>
      <c r="CF82" s="58">
        <f>'Quarter final consumption'!F82</f>
        <v>15854.800000000001</v>
      </c>
      <c r="CG82" s="58">
        <f>'Quarter final consumption'!G82</f>
        <v>1368.06</v>
      </c>
      <c r="CH82" s="58">
        <f>'Quarter final consumption'!H82</f>
        <v>6891.0800000000008</v>
      </c>
      <c r="CI82" s="71">
        <f>'Quarter final consumption'!I82</f>
        <v>400.78</v>
      </c>
    </row>
    <row r="83" spans="1:87" ht="15.5" x14ac:dyDescent="0.35">
      <c r="A83" s="50" t="s">
        <v>248</v>
      </c>
      <c r="B83" s="58">
        <f t="shared" si="61"/>
        <v>45321.599999999999</v>
      </c>
      <c r="C83" s="58">
        <f t="shared" si="62"/>
        <v>1430.73</v>
      </c>
      <c r="D83" s="58">
        <f t="shared" si="63"/>
        <v>177.41</v>
      </c>
      <c r="E83" s="58">
        <f t="shared" si="64"/>
        <v>17275.739999999998</v>
      </c>
      <c r="F83" s="58">
        <f t="shared" si="65"/>
        <v>2537.1000000000058</v>
      </c>
      <c r="G83" s="58">
        <f t="shared" si="66"/>
        <v>14954.769999999999</v>
      </c>
      <c r="H83" s="58">
        <f t="shared" si="67"/>
        <v>3330.7200000000003</v>
      </c>
      <c r="I83" s="58">
        <f t="shared" si="68"/>
        <v>5177.42</v>
      </c>
      <c r="J83" s="58">
        <f t="shared" si="69"/>
        <v>437.70999999999913</v>
      </c>
      <c r="K83" s="58">
        <f t="shared" si="54"/>
        <v>6.9600000000000364</v>
      </c>
      <c r="L83" s="59">
        <v>0</v>
      </c>
      <c r="M83" s="59">
        <v>1.47</v>
      </c>
      <c r="N83" s="59">
        <v>-700.28</v>
      </c>
      <c r="O83" s="59">
        <v>705.67</v>
      </c>
      <c r="P83" s="59">
        <v>87.81</v>
      </c>
      <c r="Q83" s="59">
        <v>-87.71</v>
      </c>
      <c r="R83" s="59">
        <v>-1343.1</v>
      </c>
      <c r="S83" s="59">
        <v>1343.1</v>
      </c>
      <c r="T83" s="58">
        <f t="shared" si="55"/>
        <v>-8038.2000000000007</v>
      </c>
      <c r="U83" s="58">
        <f t="shared" si="70"/>
        <v>-1060.55</v>
      </c>
      <c r="V83" s="58">
        <f t="shared" si="71"/>
        <v>86.68</v>
      </c>
      <c r="W83" s="58">
        <f t="shared" si="58"/>
        <v>-16575.46</v>
      </c>
      <c r="X83" s="58">
        <f t="shared" si="59"/>
        <v>16400.609999999997</v>
      </c>
      <c r="Y83" s="58">
        <f t="shared" si="72"/>
        <v>-6268.76</v>
      </c>
      <c r="Z83" s="58">
        <f t="shared" si="73"/>
        <v>-2345.6600000000003</v>
      </c>
      <c r="AA83" s="58">
        <f t="shared" si="81"/>
        <v>-3834.32</v>
      </c>
      <c r="AB83" s="58">
        <f t="shared" si="81"/>
        <v>5213.66</v>
      </c>
      <c r="AC83" s="58">
        <f t="shared" si="53"/>
        <v>345.6</v>
      </c>
      <c r="AD83" s="58">
        <f t="shared" si="56"/>
        <v>-7337.2900000000009</v>
      </c>
      <c r="AE83" s="59">
        <v>-402.47</v>
      </c>
      <c r="AF83" s="59">
        <v>-130.31</v>
      </c>
      <c r="AG83" s="59">
        <v>-121.22</v>
      </c>
      <c r="AH83" s="59">
        <v>-5750.52</v>
      </c>
      <c r="AI83" s="59">
        <v>-2312.11</v>
      </c>
      <c r="AJ83" s="59">
        <v>-3834.32</v>
      </c>
      <c r="AK83" s="59">
        <v>5213.66</v>
      </c>
      <c r="AL83" s="58">
        <f t="shared" si="76"/>
        <v>-218.65999999999997</v>
      </c>
      <c r="AM83" s="59">
        <v>-0.7</v>
      </c>
      <c r="AN83" s="59">
        <v>-0.28999999999999998</v>
      </c>
      <c r="AO83" s="59">
        <v>-11.48</v>
      </c>
      <c r="AP83" s="59">
        <v>-518.24</v>
      </c>
      <c r="AQ83" s="59">
        <v>-33.549999999999997</v>
      </c>
      <c r="AR83" s="59">
        <v>345.6</v>
      </c>
      <c r="AS83" s="58">
        <f t="shared" si="74"/>
        <v>-15.779999999998836</v>
      </c>
      <c r="AT83" s="59">
        <v>-16688.78</v>
      </c>
      <c r="AU83" s="59">
        <v>16673</v>
      </c>
      <c r="AV83" s="58">
        <f t="shared" si="77"/>
        <v>-20.009999999999991</v>
      </c>
      <c r="AW83" s="59">
        <v>-356.94</v>
      </c>
      <c r="AX83" s="59">
        <v>336.93</v>
      </c>
      <c r="AY83" s="59">
        <v>0</v>
      </c>
      <c r="AZ83" s="58">
        <f t="shared" si="78"/>
        <v>-419.16</v>
      </c>
      <c r="BA83" s="59">
        <v>-269.41000000000003</v>
      </c>
      <c r="BB83" s="59">
        <v>-149.75</v>
      </c>
      <c r="BC83" s="59">
        <v>0</v>
      </c>
      <c r="BD83" s="58">
        <f t="shared" si="79"/>
        <v>-16.47</v>
      </c>
      <c r="BE83" s="59">
        <v>-31.03</v>
      </c>
      <c r="BF83" s="59">
        <v>30.1</v>
      </c>
      <c r="BG83" s="59">
        <v>-15.54</v>
      </c>
      <c r="BH83" s="58">
        <f t="shared" si="60"/>
        <v>-10.830000000000013</v>
      </c>
      <c r="BI83" s="59">
        <v>113.32</v>
      </c>
      <c r="BJ83" s="59">
        <v>-124.15</v>
      </c>
      <c r="BK83" s="58">
        <f t="shared" si="80"/>
        <v>3042.6300000000006</v>
      </c>
      <c r="BL83" s="59">
        <v>0</v>
      </c>
      <c r="BM83" s="59">
        <v>115.64</v>
      </c>
      <c r="BN83" s="59">
        <v>0</v>
      </c>
      <c r="BO83" s="59">
        <v>1085.29</v>
      </c>
      <c r="BP83" s="59">
        <v>1274.46</v>
      </c>
      <c r="BQ83" s="59">
        <v>0</v>
      </c>
      <c r="BR83" s="59">
        <v>486.69</v>
      </c>
      <c r="BS83" s="59">
        <v>80.55</v>
      </c>
      <c r="BT83" s="58">
        <f t="shared" si="75"/>
        <v>630.59</v>
      </c>
      <c r="BU83" s="59">
        <v>0</v>
      </c>
      <c r="BV83" s="59">
        <v>25.9</v>
      </c>
      <c r="BW83" s="59">
        <v>0</v>
      </c>
      <c r="BX83" s="59">
        <v>0</v>
      </c>
      <c r="BY83" s="59">
        <v>93.37</v>
      </c>
      <c r="BZ83" s="59">
        <v>0</v>
      </c>
      <c r="CA83" s="59">
        <v>511.32</v>
      </c>
      <c r="CB83" s="58">
        <f>'Quarter final consumption'!B83</f>
        <v>33621.579999999994</v>
      </c>
      <c r="CC83" s="58">
        <f>'Quarter final consumption'!C83</f>
        <v>370.17999999999995</v>
      </c>
      <c r="CD83" s="58">
        <f>'Quarter final consumption'!D83</f>
        <v>124.02</v>
      </c>
      <c r="CE83" s="58">
        <f>'Quarter final consumption'!E83</f>
        <v>18558.09</v>
      </c>
      <c r="CF83" s="58">
        <f>'Quarter final consumption'!F83</f>
        <v>7405.9899999999989</v>
      </c>
      <c r="CG83" s="58">
        <f>'Quarter final consumption'!G83</f>
        <v>897.35</v>
      </c>
      <c r="CH83" s="58">
        <f>'Quarter final consumption'!H83</f>
        <v>5996.46</v>
      </c>
      <c r="CI83" s="71">
        <f>'Quarter final consumption'!I83</f>
        <v>269.49</v>
      </c>
    </row>
    <row r="84" spans="1:87" ht="15.5" x14ac:dyDescent="0.35">
      <c r="A84" s="50" t="s">
        <v>249</v>
      </c>
      <c r="B84" s="58">
        <f t="shared" si="61"/>
        <v>42720.510000000009</v>
      </c>
      <c r="C84" s="58">
        <f t="shared" si="62"/>
        <v>1491.26</v>
      </c>
      <c r="D84" s="58">
        <f t="shared" si="63"/>
        <v>165.87</v>
      </c>
      <c r="E84" s="58">
        <f t="shared" si="64"/>
        <v>17250.22</v>
      </c>
      <c r="F84" s="58">
        <f t="shared" si="65"/>
        <v>2746.8300000000036</v>
      </c>
      <c r="G84" s="58">
        <f t="shared" si="66"/>
        <v>12226.629999999997</v>
      </c>
      <c r="H84" s="58">
        <f t="shared" si="67"/>
        <v>3186.83</v>
      </c>
      <c r="I84" s="58">
        <f t="shared" si="68"/>
        <v>5180.97</v>
      </c>
      <c r="J84" s="58">
        <f t="shared" si="69"/>
        <v>471.89999999999964</v>
      </c>
      <c r="K84" s="58">
        <f t="shared" si="54"/>
        <v>-2.0900000000001455</v>
      </c>
      <c r="L84" s="59">
        <v>0</v>
      </c>
      <c r="M84" s="59">
        <v>1.54</v>
      </c>
      <c r="N84" s="59">
        <v>-535.55999999999995</v>
      </c>
      <c r="O84" s="59">
        <v>531.80999999999995</v>
      </c>
      <c r="P84" s="59">
        <v>95.05</v>
      </c>
      <c r="Q84" s="59">
        <v>-94.93</v>
      </c>
      <c r="R84" s="59">
        <v>-1273.6300000000001</v>
      </c>
      <c r="S84" s="59">
        <v>1273.6300000000001</v>
      </c>
      <c r="T84" s="58">
        <f t="shared" si="55"/>
        <v>-7924.4100000000017</v>
      </c>
      <c r="U84" s="58">
        <f t="shared" si="70"/>
        <v>-1134.8499999999999</v>
      </c>
      <c r="V84" s="58">
        <f t="shared" si="71"/>
        <v>93.5</v>
      </c>
      <c r="W84" s="58">
        <f t="shared" si="58"/>
        <v>-16714.66</v>
      </c>
      <c r="X84" s="58">
        <f t="shared" si="59"/>
        <v>16542.859999999997</v>
      </c>
      <c r="Y84" s="58">
        <f t="shared" si="72"/>
        <v>-5935.84</v>
      </c>
      <c r="Z84" s="58">
        <f t="shared" si="73"/>
        <v>-2332.0100000000002</v>
      </c>
      <c r="AA84" s="58">
        <f t="shared" si="81"/>
        <v>-3907.34</v>
      </c>
      <c r="AB84" s="58">
        <f t="shared" si="81"/>
        <v>5158.76</v>
      </c>
      <c r="AC84" s="58">
        <f t="shared" si="53"/>
        <v>305.17</v>
      </c>
      <c r="AD84" s="58">
        <f t="shared" si="56"/>
        <v>-7323.2900000000009</v>
      </c>
      <c r="AE84" s="59">
        <v>-545.44000000000005</v>
      </c>
      <c r="AF84" s="59">
        <v>-122.45</v>
      </c>
      <c r="AG84" s="59">
        <v>-124.92</v>
      </c>
      <c r="AH84" s="59">
        <v>-5477.75</v>
      </c>
      <c r="AI84" s="59">
        <v>-2304.15</v>
      </c>
      <c r="AJ84" s="59">
        <v>-3907.34</v>
      </c>
      <c r="AK84" s="59">
        <v>5158.76</v>
      </c>
      <c r="AL84" s="58">
        <f t="shared" si="76"/>
        <v>-193.08999999999997</v>
      </c>
      <c r="AM84" s="59">
        <v>-0.54</v>
      </c>
      <c r="AN84" s="59">
        <v>-0.28999999999999998</v>
      </c>
      <c r="AO84" s="59">
        <v>-11.48</v>
      </c>
      <c r="AP84" s="59">
        <v>-458.09</v>
      </c>
      <c r="AQ84" s="59">
        <v>-27.86</v>
      </c>
      <c r="AR84" s="59">
        <v>305.17</v>
      </c>
      <c r="AS84" s="58">
        <f t="shared" si="74"/>
        <v>-9.1900000000023283</v>
      </c>
      <c r="AT84" s="59">
        <v>-16824.79</v>
      </c>
      <c r="AU84" s="59">
        <v>16815.599999999999</v>
      </c>
      <c r="AV84" s="58">
        <f t="shared" si="77"/>
        <v>-20.589999999999975</v>
      </c>
      <c r="AW84" s="59">
        <v>-360.34</v>
      </c>
      <c r="AX84" s="59">
        <v>339.75</v>
      </c>
      <c r="AY84" s="59">
        <v>0</v>
      </c>
      <c r="AZ84" s="58">
        <f t="shared" si="78"/>
        <v>-362.51</v>
      </c>
      <c r="BA84" s="59">
        <v>-205.54</v>
      </c>
      <c r="BB84" s="59">
        <v>-156.97</v>
      </c>
      <c r="BC84" s="59">
        <v>0</v>
      </c>
      <c r="BD84" s="58">
        <f t="shared" si="79"/>
        <v>-6.4799999999999969</v>
      </c>
      <c r="BE84" s="59">
        <v>-22.99</v>
      </c>
      <c r="BF84" s="59">
        <v>33.46</v>
      </c>
      <c r="BG84" s="59">
        <v>-16.95</v>
      </c>
      <c r="BH84" s="58">
        <f t="shared" si="60"/>
        <v>-9.2600000000000051</v>
      </c>
      <c r="BI84" s="59">
        <v>110.13</v>
      </c>
      <c r="BJ84" s="59">
        <v>-119.39</v>
      </c>
      <c r="BK84" s="58">
        <f t="shared" si="80"/>
        <v>2960.79</v>
      </c>
      <c r="BL84" s="59">
        <v>0</v>
      </c>
      <c r="BM84" s="59">
        <v>111.17</v>
      </c>
      <c r="BN84" s="59">
        <v>0</v>
      </c>
      <c r="BO84" s="59">
        <v>1096.94</v>
      </c>
      <c r="BP84" s="59">
        <v>1183.3499999999999</v>
      </c>
      <c r="BQ84" s="59">
        <v>0</v>
      </c>
      <c r="BR84" s="59">
        <v>488.78</v>
      </c>
      <c r="BS84" s="59">
        <v>80.55</v>
      </c>
      <c r="BT84" s="58">
        <f t="shared" si="75"/>
        <v>622.49</v>
      </c>
      <c r="BU84" s="59">
        <v>0</v>
      </c>
      <c r="BV84" s="59">
        <v>28.58</v>
      </c>
      <c r="BW84" s="59">
        <v>0</v>
      </c>
      <c r="BX84" s="59">
        <v>0</v>
      </c>
      <c r="BY84" s="59">
        <v>109.19</v>
      </c>
      <c r="BZ84" s="59">
        <v>0</v>
      </c>
      <c r="CA84" s="59">
        <v>484.72</v>
      </c>
      <c r="CB84" s="58">
        <f>'Quarter final consumption'!B84</f>
        <v>31212.12</v>
      </c>
      <c r="CC84" s="58">
        <f>'Quarter final consumption'!C84</f>
        <v>356.41</v>
      </c>
      <c r="CD84" s="58">
        <f>'Quarter final consumption'!D84</f>
        <v>121.16</v>
      </c>
      <c r="CE84" s="58">
        <f>'Quarter final consumption'!E84</f>
        <v>18724.560000000001</v>
      </c>
      <c r="CF84" s="58">
        <f>'Quarter final consumption'!F84</f>
        <v>5093.2999999999993</v>
      </c>
      <c r="CG84" s="58">
        <f>'Quarter final consumption'!G84</f>
        <v>759.88999999999987</v>
      </c>
      <c r="CH84" s="58">
        <f>'Quarter final consumption'!H84</f>
        <v>5930.79</v>
      </c>
      <c r="CI84" s="71">
        <f>'Quarter final consumption'!I84</f>
        <v>226.01000000000002</v>
      </c>
    </row>
    <row r="85" spans="1:87" ht="15.5" x14ac:dyDescent="0.35">
      <c r="A85" s="50" t="s">
        <v>250</v>
      </c>
      <c r="B85" s="58">
        <f t="shared" si="61"/>
        <v>54414.979999999996</v>
      </c>
      <c r="C85" s="58">
        <f t="shared" si="62"/>
        <v>3144.6899999999996</v>
      </c>
      <c r="D85" s="58">
        <f t="shared" si="63"/>
        <v>176.94</v>
      </c>
      <c r="E85" s="58">
        <f t="shared" si="64"/>
        <v>16806.829999999998</v>
      </c>
      <c r="F85" s="58">
        <f t="shared" si="65"/>
        <v>2758.0199999999986</v>
      </c>
      <c r="G85" s="58">
        <f t="shared" si="66"/>
        <v>22477.1</v>
      </c>
      <c r="H85" s="58">
        <f t="shared" si="67"/>
        <v>3604.3600000000006</v>
      </c>
      <c r="I85" s="58">
        <f t="shared" si="68"/>
        <v>5328.54</v>
      </c>
      <c r="J85" s="58">
        <f t="shared" si="69"/>
        <v>118.49999999999909</v>
      </c>
      <c r="K85" s="58">
        <f t="shared" si="54"/>
        <v>7.7200000000000273</v>
      </c>
      <c r="L85" s="59">
        <v>0</v>
      </c>
      <c r="M85" s="59">
        <v>2.88</v>
      </c>
      <c r="N85" s="59">
        <v>-561.03</v>
      </c>
      <c r="O85" s="59">
        <v>565.70000000000005</v>
      </c>
      <c r="P85" s="59">
        <v>102.88</v>
      </c>
      <c r="Q85" s="59">
        <v>-102.71</v>
      </c>
      <c r="R85" s="59">
        <v>-1740.32</v>
      </c>
      <c r="S85" s="59">
        <v>1740.32</v>
      </c>
      <c r="T85" s="58">
        <f t="shared" si="55"/>
        <v>-9436.5899999999983</v>
      </c>
      <c r="U85" s="58">
        <f t="shared" si="70"/>
        <v>-2737.1499999999996</v>
      </c>
      <c r="V85" s="58">
        <f t="shared" si="71"/>
        <v>102.12</v>
      </c>
      <c r="W85" s="58">
        <f t="shared" si="58"/>
        <v>-16245.8</v>
      </c>
      <c r="X85" s="58">
        <f t="shared" si="59"/>
        <v>16000</v>
      </c>
      <c r="Y85" s="58">
        <f t="shared" si="72"/>
        <v>-7295.83</v>
      </c>
      <c r="Z85" s="58">
        <f t="shared" si="73"/>
        <v>-2242.7000000000003</v>
      </c>
      <c r="AA85" s="58">
        <f t="shared" si="81"/>
        <v>-3588.22</v>
      </c>
      <c r="AB85" s="58">
        <f t="shared" si="81"/>
        <v>6118.89</v>
      </c>
      <c r="AC85" s="58">
        <f t="shared" si="53"/>
        <v>452.1</v>
      </c>
      <c r="AD85" s="58">
        <f t="shared" si="56"/>
        <v>-8657.2099999999991</v>
      </c>
      <c r="AE85" s="59">
        <v>-2096.2199999999998</v>
      </c>
      <c r="AF85" s="59">
        <v>-129.62</v>
      </c>
      <c r="AG85" s="59">
        <v>-148.72</v>
      </c>
      <c r="AH85" s="59">
        <v>-6619.15</v>
      </c>
      <c r="AI85" s="59">
        <v>-2194.17</v>
      </c>
      <c r="AJ85" s="59">
        <v>-3588.22</v>
      </c>
      <c r="AK85" s="59">
        <v>6118.89</v>
      </c>
      <c r="AL85" s="58">
        <f t="shared" si="76"/>
        <v>-286.01999999999987</v>
      </c>
      <c r="AM85" s="59">
        <v>-1.1100000000000001</v>
      </c>
      <c r="AN85" s="59">
        <v>-0.28999999999999998</v>
      </c>
      <c r="AO85" s="59">
        <v>-11.51</v>
      </c>
      <c r="AP85" s="59">
        <v>-676.68</v>
      </c>
      <c r="AQ85" s="59">
        <v>-48.53</v>
      </c>
      <c r="AR85" s="59">
        <v>452.1</v>
      </c>
      <c r="AS85" s="58">
        <f t="shared" si="74"/>
        <v>-60.989999999999782</v>
      </c>
      <c r="AT85" s="59">
        <v>-16355.05</v>
      </c>
      <c r="AU85" s="59">
        <v>16294.06</v>
      </c>
      <c r="AV85" s="58">
        <f t="shared" si="77"/>
        <v>-20.960000000000036</v>
      </c>
      <c r="AW85" s="59">
        <v>-351.41</v>
      </c>
      <c r="AX85" s="59">
        <v>330.45</v>
      </c>
      <c r="AY85" s="59">
        <v>0</v>
      </c>
      <c r="AZ85" s="58">
        <f t="shared" si="78"/>
        <v>-385.34</v>
      </c>
      <c r="BA85" s="59">
        <v>-247.95</v>
      </c>
      <c r="BB85" s="59">
        <v>-137.38999999999999</v>
      </c>
      <c r="BC85" s="59">
        <v>0</v>
      </c>
      <c r="BD85" s="58">
        <f t="shared" si="79"/>
        <v>-16.560000000000002</v>
      </c>
      <c r="BE85" s="59">
        <v>-40.46</v>
      </c>
      <c r="BF85" s="59">
        <v>38.97</v>
      </c>
      <c r="BG85" s="59">
        <v>-15.07</v>
      </c>
      <c r="BH85" s="58">
        <f t="shared" si="60"/>
        <v>-9.5100000000000051</v>
      </c>
      <c r="BI85" s="59">
        <v>109.25</v>
      </c>
      <c r="BJ85" s="59">
        <v>-118.76</v>
      </c>
      <c r="BK85" s="58">
        <f t="shared" si="80"/>
        <v>2973.58</v>
      </c>
      <c r="BL85" s="59">
        <v>0</v>
      </c>
      <c r="BM85" s="59">
        <v>114.94</v>
      </c>
      <c r="BN85" s="59">
        <v>0</v>
      </c>
      <c r="BO85" s="59">
        <v>1061.97</v>
      </c>
      <c r="BP85" s="59">
        <v>1205.5899999999999</v>
      </c>
      <c r="BQ85" s="59">
        <v>0</v>
      </c>
      <c r="BR85" s="59">
        <v>510.53</v>
      </c>
      <c r="BS85" s="59">
        <v>80.55</v>
      </c>
      <c r="BT85" s="58">
        <f t="shared" si="75"/>
        <v>698.95</v>
      </c>
      <c r="BU85" s="59">
        <v>0</v>
      </c>
      <c r="BV85" s="59">
        <v>31.55</v>
      </c>
      <c r="BW85" s="59">
        <v>0</v>
      </c>
      <c r="BX85" s="59">
        <v>0</v>
      </c>
      <c r="BY85" s="59">
        <v>119.5</v>
      </c>
      <c r="BZ85" s="59">
        <v>0</v>
      </c>
      <c r="CA85" s="59">
        <v>547.9</v>
      </c>
      <c r="CB85" s="58">
        <f>'Quarter final consumption'!B85</f>
        <v>41316.549999999996</v>
      </c>
      <c r="CC85" s="58">
        <f>'Quarter final consumption'!C85</f>
        <v>407.53999999999996</v>
      </c>
      <c r="CD85" s="58">
        <f>'Quarter final consumption'!D85</f>
        <v>135.44999999999999</v>
      </c>
      <c r="CE85" s="58">
        <f>'Quarter final consumption'!E85</f>
        <v>18261.75</v>
      </c>
      <c r="CF85" s="58">
        <f>'Quarter final consumption'!F85</f>
        <v>13959.060000000001</v>
      </c>
      <c r="CG85" s="58">
        <f>'Quarter final consumption'!G85</f>
        <v>1258.95</v>
      </c>
      <c r="CH85" s="58">
        <f>'Quarter final consumption'!H85</f>
        <v>6919.28</v>
      </c>
      <c r="CI85" s="71">
        <f>'Quarter final consumption'!I85</f>
        <v>374.52000000000004</v>
      </c>
    </row>
    <row r="86" spans="1:87" ht="15.5" x14ac:dyDescent="0.35">
      <c r="A86" s="50" t="s">
        <v>251</v>
      </c>
      <c r="B86" s="58">
        <f t="shared" si="61"/>
        <v>58470.409999999996</v>
      </c>
      <c r="C86" s="58">
        <f t="shared" si="62"/>
        <v>3119.1099999999997</v>
      </c>
      <c r="D86" s="58">
        <f t="shared" si="63"/>
        <v>211.10999999999996</v>
      </c>
      <c r="E86" s="58">
        <f t="shared" si="64"/>
        <v>14614.97</v>
      </c>
      <c r="F86" s="58">
        <f t="shared" si="65"/>
        <v>3581.5500000000011</v>
      </c>
      <c r="G86" s="58">
        <f t="shared" si="66"/>
        <v>26903.940000000002</v>
      </c>
      <c r="H86" s="58">
        <f t="shared" si="67"/>
        <v>4163.0200000000004</v>
      </c>
      <c r="I86" s="58">
        <f t="shared" si="68"/>
        <v>5389.65</v>
      </c>
      <c r="J86" s="58">
        <f t="shared" si="69"/>
        <v>487.0600000000004</v>
      </c>
      <c r="K86" s="58">
        <f t="shared" si="54"/>
        <v>-17.940000000000055</v>
      </c>
      <c r="L86" s="59">
        <v>0</v>
      </c>
      <c r="M86" s="59">
        <v>4.66</v>
      </c>
      <c r="N86" s="59">
        <v>-329.47</v>
      </c>
      <c r="O86" s="59">
        <v>306.58</v>
      </c>
      <c r="P86" s="59">
        <v>101.98</v>
      </c>
      <c r="Q86" s="59">
        <v>-101.69</v>
      </c>
      <c r="R86" s="59">
        <v>-1792.71</v>
      </c>
      <c r="S86" s="59">
        <v>1792.71</v>
      </c>
      <c r="T86" s="58">
        <f t="shared" si="55"/>
        <v>-9712.2099999999991</v>
      </c>
      <c r="U86" s="58">
        <f t="shared" si="70"/>
        <v>-2721.72</v>
      </c>
      <c r="V86" s="58">
        <f t="shared" si="71"/>
        <v>38.740000000000045</v>
      </c>
      <c r="W86" s="58">
        <f t="shared" si="58"/>
        <v>-14285.5</v>
      </c>
      <c r="X86" s="58">
        <f t="shared" si="59"/>
        <v>14060.199999999999</v>
      </c>
      <c r="Y86" s="58">
        <f t="shared" si="72"/>
        <v>-7499.65</v>
      </c>
      <c r="Z86" s="58">
        <f t="shared" si="73"/>
        <v>-2435.4</v>
      </c>
      <c r="AA86" s="58">
        <f t="shared" si="81"/>
        <v>-3596.94</v>
      </c>
      <c r="AB86" s="58">
        <f t="shared" si="81"/>
        <v>6201.35</v>
      </c>
      <c r="AC86" s="58">
        <f t="shared" si="53"/>
        <v>526.71</v>
      </c>
      <c r="AD86" s="58">
        <f t="shared" si="56"/>
        <v>-8835.2099999999991</v>
      </c>
      <c r="AE86" s="59">
        <v>-2134.65</v>
      </c>
      <c r="AF86" s="59">
        <v>-136.44999999999999</v>
      </c>
      <c r="AG86" s="59">
        <v>-122.37</v>
      </c>
      <c r="AH86" s="59">
        <v>-6674.09</v>
      </c>
      <c r="AI86" s="59">
        <v>-2372.06</v>
      </c>
      <c r="AJ86" s="59">
        <v>-3596.94</v>
      </c>
      <c r="AK86" s="59">
        <v>6201.35</v>
      </c>
      <c r="AL86" s="58">
        <f t="shared" si="76"/>
        <v>-375.91999999999996</v>
      </c>
      <c r="AM86" s="59">
        <v>-1.37</v>
      </c>
      <c r="AN86" s="59">
        <v>-0.28999999999999998</v>
      </c>
      <c r="AO86" s="59">
        <v>-12.07</v>
      </c>
      <c r="AP86" s="59">
        <v>-825.56</v>
      </c>
      <c r="AQ86" s="59">
        <v>-63.34</v>
      </c>
      <c r="AR86" s="59">
        <v>526.71</v>
      </c>
      <c r="AS86" s="58">
        <f t="shared" si="74"/>
        <v>-61.559999999999491</v>
      </c>
      <c r="AT86" s="59">
        <v>-14395.32</v>
      </c>
      <c r="AU86" s="59">
        <v>14333.76</v>
      </c>
      <c r="AV86" s="58">
        <f t="shared" si="77"/>
        <v>-17.699999999999989</v>
      </c>
      <c r="AW86" s="59">
        <v>-326.93</v>
      </c>
      <c r="AX86" s="59">
        <v>309.23</v>
      </c>
      <c r="AY86" s="59">
        <v>0</v>
      </c>
      <c r="AZ86" s="58">
        <f t="shared" si="78"/>
        <v>-392.33</v>
      </c>
      <c r="BA86" s="59">
        <v>-215.85</v>
      </c>
      <c r="BB86" s="59">
        <v>-176.48</v>
      </c>
      <c r="BC86" s="59">
        <v>0</v>
      </c>
      <c r="BD86" s="58">
        <f t="shared" si="79"/>
        <v>-18.780000000000005</v>
      </c>
      <c r="BE86" s="59">
        <v>-42.92</v>
      </c>
      <c r="BF86" s="59">
        <v>42.73</v>
      </c>
      <c r="BG86" s="59">
        <v>-18.59</v>
      </c>
      <c r="BH86" s="58">
        <f t="shared" si="60"/>
        <v>-10.710000000000008</v>
      </c>
      <c r="BI86" s="59">
        <v>109.82</v>
      </c>
      <c r="BJ86" s="59">
        <v>-120.53</v>
      </c>
      <c r="BK86" s="58">
        <f t="shared" si="80"/>
        <v>2918.1899999999996</v>
      </c>
      <c r="BL86" s="59">
        <v>0</v>
      </c>
      <c r="BM86" s="59">
        <v>111.22</v>
      </c>
      <c r="BN86" s="59">
        <v>0</v>
      </c>
      <c r="BO86" s="59">
        <v>964.47</v>
      </c>
      <c r="BP86" s="59">
        <v>1237.71</v>
      </c>
      <c r="BQ86" s="59">
        <v>0</v>
      </c>
      <c r="BR86" s="59">
        <v>520.04999999999995</v>
      </c>
      <c r="BS86" s="59">
        <v>84.74</v>
      </c>
      <c r="BT86" s="58">
        <f t="shared" si="75"/>
        <v>889.91</v>
      </c>
      <c r="BU86" s="59">
        <v>0</v>
      </c>
      <c r="BV86" s="59">
        <v>18.29</v>
      </c>
      <c r="BW86" s="59">
        <v>0</v>
      </c>
      <c r="BX86" s="59">
        <v>0</v>
      </c>
      <c r="BY86" s="59">
        <v>97.75</v>
      </c>
      <c r="BZ86" s="59">
        <v>0</v>
      </c>
      <c r="CA86" s="59">
        <v>773.87</v>
      </c>
      <c r="CB86" s="58">
        <f>'Quarter final consumption'!B86</f>
        <v>44935.14</v>
      </c>
      <c r="CC86" s="58">
        <f>'Quarter final consumption'!C86</f>
        <v>397.38999999999993</v>
      </c>
      <c r="CD86" s="58">
        <f>'Quarter final consumption'!D86</f>
        <v>125.00000000000001</v>
      </c>
      <c r="CE86" s="58">
        <f>'Quarter final consumption'!E86</f>
        <v>16983.86</v>
      </c>
      <c r="CF86" s="58">
        <f>'Quarter final consumption'!F86</f>
        <v>18170.810000000001</v>
      </c>
      <c r="CG86" s="58">
        <f>'Quarter final consumption'!G86</f>
        <v>1625.9300000000003</v>
      </c>
      <c r="CH86" s="58">
        <f>'Quarter final consumption'!H86</f>
        <v>7187.2000000000007</v>
      </c>
      <c r="CI86" s="71">
        <f>'Quarter final consumption'!I86</f>
        <v>444.95</v>
      </c>
    </row>
    <row r="87" spans="1:87" ht="15.5" x14ac:dyDescent="0.35">
      <c r="A87" s="50" t="s">
        <v>252</v>
      </c>
      <c r="B87" s="58">
        <f t="shared" si="61"/>
        <v>44876.189999999995</v>
      </c>
      <c r="C87" s="58">
        <f t="shared" si="62"/>
        <v>1336.24</v>
      </c>
      <c r="D87" s="58">
        <f t="shared" si="63"/>
        <v>202.58999999999997</v>
      </c>
      <c r="E87" s="58">
        <f t="shared" si="64"/>
        <v>15782.279999999999</v>
      </c>
      <c r="F87" s="58">
        <f t="shared" si="65"/>
        <v>3696.59</v>
      </c>
      <c r="G87" s="58">
        <f t="shared" si="66"/>
        <v>14713.580000000002</v>
      </c>
      <c r="H87" s="58">
        <f t="shared" si="67"/>
        <v>3731.7</v>
      </c>
      <c r="I87" s="58">
        <f t="shared" si="68"/>
        <v>4972.03</v>
      </c>
      <c r="J87" s="58">
        <f t="shared" si="69"/>
        <v>441.18000000000029</v>
      </c>
      <c r="K87" s="58">
        <f t="shared" si="54"/>
        <v>43.150000000000091</v>
      </c>
      <c r="L87" s="59">
        <v>0</v>
      </c>
      <c r="M87" s="59">
        <v>1.26</v>
      </c>
      <c r="N87" s="59">
        <v>-416.73</v>
      </c>
      <c r="O87" s="59">
        <v>458.49</v>
      </c>
      <c r="P87" s="59">
        <v>107.37</v>
      </c>
      <c r="Q87" s="59">
        <v>-107.24</v>
      </c>
      <c r="R87" s="59">
        <v>-1378.31</v>
      </c>
      <c r="S87" s="59">
        <v>1378.31</v>
      </c>
      <c r="T87" s="58">
        <f t="shared" si="55"/>
        <v>-8021.2099999999973</v>
      </c>
      <c r="U87" s="58">
        <f t="shared" si="70"/>
        <v>-984.14</v>
      </c>
      <c r="V87" s="58">
        <f t="shared" si="71"/>
        <v>67.010000000000019</v>
      </c>
      <c r="W87" s="58">
        <f t="shared" si="58"/>
        <v>-15365.55</v>
      </c>
      <c r="X87" s="58">
        <f t="shared" si="59"/>
        <v>15205.64</v>
      </c>
      <c r="Y87" s="58">
        <f t="shared" si="72"/>
        <v>-6284.5199999999995</v>
      </c>
      <c r="Z87" s="58">
        <f t="shared" si="73"/>
        <v>-2611.16</v>
      </c>
      <c r="AA87" s="58">
        <f t="shared" si="81"/>
        <v>-3593.72</v>
      </c>
      <c r="AB87" s="58">
        <f t="shared" si="81"/>
        <v>5198.32</v>
      </c>
      <c r="AC87" s="58">
        <f t="shared" si="53"/>
        <v>346.91</v>
      </c>
      <c r="AD87" s="58">
        <f t="shared" si="56"/>
        <v>-7259.7199999999993</v>
      </c>
      <c r="AE87" s="59">
        <v>-334.05</v>
      </c>
      <c r="AF87" s="59">
        <v>-112.76</v>
      </c>
      <c r="AG87" s="59">
        <v>-103.42</v>
      </c>
      <c r="AH87" s="59">
        <v>-5742.03</v>
      </c>
      <c r="AI87" s="59">
        <v>-2572.06</v>
      </c>
      <c r="AJ87" s="59">
        <v>-3593.72</v>
      </c>
      <c r="AK87" s="59">
        <v>5198.32</v>
      </c>
      <c r="AL87" s="58">
        <f t="shared" si="76"/>
        <v>-247.62000000000006</v>
      </c>
      <c r="AM87" s="59">
        <v>-0.68</v>
      </c>
      <c r="AN87" s="59">
        <v>-0.28999999999999998</v>
      </c>
      <c r="AO87" s="59">
        <v>-11.97</v>
      </c>
      <c r="AP87" s="59">
        <v>-542.49</v>
      </c>
      <c r="AQ87" s="59">
        <v>-39.1</v>
      </c>
      <c r="AR87" s="59">
        <v>346.91</v>
      </c>
      <c r="AS87" s="58">
        <f t="shared" si="74"/>
        <v>-18.700000000000728</v>
      </c>
      <c r="AT87" s="59">
        <v>-15473.91</v>
      </c>
      <c r="AU87" s="59">
        <v>15455.21</v>
      </c>
      <c r="AV87" s="58">
        <f t="shared" si="77"/>
        <v>-19.149999999999977</v>
      </c>
      <c r="AW87" s="59">
        <v>-358.62</v>
      </c>
      <c r="AX87" s="59">
        <v>339.47</v>
      </c>
      <c r="AY87" s="59">
        <v>0</v>
      </c>
      <c r="AZ87" s="58">
        <f t="shared" si="78"/>
        <v>-447.9</v>
      </c>
      <c r="BA87" s="59">
        <v>-260.89999999999998</v>
      </c>
      <c r="BB87" s="59">
        <v>-187</v>
      </c>
      <c r="BC87" s="59">
        <v>0</v>
      </c>
      <c r="BD87" s="58">
        <f t="shared" si="79"/>
        <v>-17.490000000000002</v>
      </c>
      <c r="BE87" s="59">
        <v>-29.89</v>
      </c>
      <c r="BF87" s="59">
        <v>27.59</v>
      </c>
      <c r="BG87" s="59">
        <v>-15.19</v>
      </c>
      <c r="BH87" s="58">
        <f t="shared" si="60"/>
        <v>-10.629999999999995</v>
      </c>
      <c r="BI87" s="59">
        <v>108.36</v>
      </c>
      <c r="BJ87" s="59">
        <v>-118.99</v>
      </c>
      <c r="BK87" s="58">
        <f t="shared" si="80"/>
        <v>2927.7299999999996</v>
      </c>
      <c r="BL87" s="59">
        <v>0</v>
      </c>
      <c r="BM87" s="59">
        <v>119.79</v>
      </c>
      <c r="BN87" s="59">
        <v>0</v>
      </c>
      <c r="BO87" s="59">
        <v>1006.78</v>
      </c>
      <c r="BP87" s="59">
        <v>1233.67</v>
      </c>
      <c r="BQ87" s="59">
        <v>0</v>
      </c>
      <c r="BR87" s="59">
        <v>482.75</v>
      </c>
      <c r="BS87" s="59">
        <v>84.74</v>
      </c>
      <c r="BT87" s="58">
        <f t="shared" si="75"/>
        <v>612.72</v>
      </c>
      <c r="BU87" s="59">
        <v>0</v>
      </c>
      <c r="BV87" s="59">
        <v>34.869999999999997</v>
      </c>
      <c r="BW87" s="59">
        <v>0</v>
      </c>
      <c r="BX87" s="59">
        <v>0</v>
      </c>
      <c r="BY87" s="59">
        <v>68.12</v>
      </c>
      <c r="BZ87" s="59">
        <v>0</v>
      </c>
      <c r="CA87" s="59">
        <v>509.73</v>
      </c>
      <c r="CB87" s="58">
        <f>'Quarter final consumption'!B87</f>
        <v>33359.349999999991</v>
      </c>
      <c r="CC87" s="58">
        <f>'Quarter final consumption'!C87</f>
        <v>352.1</v>
      </c>
      <c r="CD87" s="58">
        <f>'Quarter final consumption'!D87</f>
        <v>116.19999999999999</v>
      </c>
      <c r="CE87" s="58">
        <f>'Quarter final consumption'!E87</f>
        <v>18353.939999999999</v>
      </c>
      <c r="CF87" s="58">
        <f>'Quarter final consumption'!F87</f>
        <v>7234.6400000000012</v>
      </c>
      <c r="CG87" s="58">
        <f>'Quarter final consumption'!G87</f>
        <v>1013.3</v>
      </c>
      <c r="CH87" s="58">
        <f>'Quarter final consumption'!H87</f>
        <v>6025.33</v>
      </c>
      <c r="CI87" s="71">
        <f>'Quarter final consumption'!I87</f>
        <v>263.83999999999997</v>
      </c>
    </row>
    <row r="88" spans="1:87" ht="15.5" x14ac:dyDescent="0.35">
      <c r="A88" s="50" t="s">
        <v>253</v>
      </c>
      <c r="B88" s="58">
        <f t="shared" si="61"/>
        <v>42572.110000000008</v>
      </c>
      <c r="C88" s="58">
        <f t="shared" si="62"/>
        <v>1428.3200000000002</v>
      </c>
      <c r="D88" s="58">
        <f t="shared" si="63"/>
        <v>107.00999999999995</v>
      </c>
      <c r="E88" s="58">
        <f t="shared" si="64"/>
        <v>17445.7</v>
      </c>
      <c r="F88" s="58">
        <f t="shared" si="65"/>
        <v>2280.5400000000045</v>
      </c>
      <c r="G88" s="58">
        <f t="shared" si="66"/>
        <v>12029.080000000002</v>
      </c>
      <c r="H88" s="58">
        <f t="shared" si="67"/>
        <v>3762.6499999999996</v>
      </c>
      <c r="I88" s="58">
        <f t="shared" si="68"/>
        <v>5097.71</v>
      </c>
      <c r="J88" s="58">
        <f t="shared" si="69"/>
        <v>421.09999999999945</v>
      </c>
      <c r="K88" s="58">
        <f t="shared" si="54"/>
        <v>-23.210000000000036</v>
      </c>
      <c r="L88" s="59">
        <v>0</v>
      </c>
      <c r="M88" s="59">
        <v>-6.82</v>
      </c>
      <c r="N88" s="59">
        <v>-419.5</v>
      </c>
      <c r="O88" s="59">
        <v>402.96</v>
      </c>
      <c r="P88" s="59">
        <v>112.58</v>
      </c>
      <c r="Q88" s="59">
        <v>-112.43</v>
      </c>
      <c r="R88" s="59">
        <v>-1370.42</v>
      </c>
      <c r="S88" s="59">
        <v>1370.42</v>
      </c>
      <c r="T88" s="58">
        <f t="shared" si="55"/>
        <v>-7691.4000000000078</v>
      </c>
      <c r="U88" s="58">
        <f t="shared" si="70"/>
        <v>-1080.8900000000001</v>
      </c>
      <c r="V88" s="58">
        <f t="shared" si="71"/>
        <v>162.90000000000003</v>
      </c>
      <c r="W88" s="58">
        <f t="shared" si="58"/>
        <v>-17026.2</v>
      </c>
      <c r="X88" s="58">
        <f t="shared" si="59"/>
        <v>16900.749999999996</v>
      </c>
      <c r="Y88" s="58">
        <f t="shared" si="72"/>
        <v>-5648.0700000000006</v>
      </c>
      <c r="Z88" s="58">
        <f t="shared" si="73"/>
        <v>-2637.83</v>
      </c>
      <c r="AA88" s="58">
        <f t="shared" si="81"/>
        <v>-3727.29</v>
      </c>
      <c r="AB88" s="58">
        <f t="shared" si="81"/>
        <v>5055.93</v>
      </c>
      <c r="AC88" s="58">
        <f t="shared" si="53"/>
        <v>309.3</v>
      </c>
      <c r="AD88" s="58">
        <f t="shared" si="56"/>
        <v>-7144.0800000000017</v>
      </c>
      <c r="AE88" s="59">
        <v>-480.82</v>
      </c>
      <c r="AF88" s="59">
        <v>-123.14</v>
      </c>
      <c r="AG88" s="59">
        <v>-100.18</v>
      </c>
      <c r="AH88" s="59">
        <v>-5164.7700000000004</v>
      </c>
      <c r="AI88" s="59">
        <v>-2603.81</v>
      </c>
      <c r="AJ88" s="59">
        <v>-3727.29</v>
      </c>
      <c r="AK88" s="59">
        <v>5055.93</v>
      </c>
      <c r="AL88" s="58">
        <f t="shared" si="76"/>
        <v>-220.79000000000002</v>
      </c>
      <c r="AM88" s="59">
        <v>-0.53</v>
      </c>
      <c r="AN88" s="59">
        <v>-0.28999999999999998</v>
      </c>
      <c r="AO88" s="59">
        <v>-11.95</v>
      </c>
      <c r="AP88" s="59">
        <v>-483.3</v>
      </c>
      <c r="AQ88" s="59">
        <v>-34.020000000000003</v>
      </c>
      <c r="AR88" s="59">
        <v>309.3</v>
      </c>
      <c r="AS88" s="58">
        <f t="shared" si="74"/>
        <v>5.5299999999988358</v>
      </c>
      <c r="AT88" s="59">
        <v>-17134.54</v>
      </c>
      <c r="AU88" s="59">
        <v>17140.07</v>
      </c>
      <c r="AV88" s="58">
        <f t="shared" si="77"/>
        <v>-17.989999999999952</v>
      </c>
      <c r="AW88" s="59">
        <v>-341.4</v>
      </c>
      <c r="AX88" s="59">
        <v>323.41000000000003</v>
      </c>
      <c r="AY88" s="59">
        <v>0</v>
      </c>
      <c r="AZ88" s="58">
        <f t="shared" si="78"/>
        <v>-306.2</v>
      </c>
      <c r="BA88" s="59">
        <v>-231.74</v>
      </c>
      <c r="BB88" s="59">
        <v>-74.459999999999994</v>
      </c>
      <c r="BC88" s="59">
        <v>0</v>
      </c>
      <c r="BD88" s="58">
        <f t="shared" si="79"/>
        <v>-2.3099999999999952</v>
      </c>
      <c r="BE88" s="59">
        <v>-26.4</v>
      </c>
      <c r="BF88" s="59">
        <v>37.380000000000003</v>
      </c>
      <c r="BG88" s="59">
        <v>-13.29</v>
      </c>
      <c r="BH88" s="58">
        <f t="shared" si="60"/>
        <v>-5.5600000000000023</v>
      </c>
      <c r="BI88" s="59">
        <v>108.34</v>
      </c>
      <c r="BJ88" s="59">
        <v>-113.9</v>
      </c>
      <c r="BK88" s="58">
        <f t="shared" si="80"/>
        <v>3046.74</v>
      </c>
      <c r="BL88" s="59">
        <v>0</v>
      </c>
      <c r="BM88" s="59">
        <v>112.32</v>
      </c>
      <c r="BN88" s="59">
        <v>0</v>
      </c>
      <c r="BO88" s="59">
        <v>1109.1400000000001</v>
      </c>
      <c r="BP88" s="59">
        <v>1258.3399999999999</v>
      </c>
      <c r="BQ88" s="59">
        <v>0</v>
      </c>
      <c r="BR88" s="59">
        <v>482.2</v>
      </c>
      <c r="BS88" s="59">
        <v>84.74</v>
      </c>
      <c r="BT88" s="58">
        <f t="shared" si="75"/>
        <v>556.79999999999995</v>
      </c>
      <c r="BU88" s="59">
        <v>0</v>
      </c>
      <c r="BV88" s="59">
        <v>25.52</v>
      </c>
      <c r="BW88" s="59">
        <v>0</v>
      </c>
      <c r="BX88" s="59">
        <v>0</v>
      </c>
      <c r="BY88" s="59">
        <v>89.84</v>
      </c>
      <c r="BZ88" s="59">
        <v>0</v>
      </c>
      <c r="CA88" s="59">
        <v>441.44</v>
      </c>
      <c r="CB88" s="58">
        <f>'Quarter final consumption'!B88</f>
        <v>31251.84</v>
      </c>
      <c r="CC88" s="58">
        <f>'Quarter final consumption'!C88</f>
        <v>347.43</v>
      </c>
      <c r="CD88" s="58">
        <f>'Quarter final consumption'!D88</f>
        <v>125.25</v>
      </c>
      <c r="CE88" s="58">
        <f>'Quarter final consumption'!E88</f>
        <v>18475.11</v>
      </c>
      <c r="CF88" s="58">
        <f>'Quarter final consumption'!F88</f>
        <v>5145.41</v>
      </c>
      <c r="CG88" s="58">
        <f>'Quarter final consumption'!G88</f>
        <v>1012.39</v>
      </c>
      <c r="CH88" s="58">
        <f>'Quarter final consumption'!H88</f>
        <v>5923.81</v>
      </c>
      <c r="CI88" s="71">
        <f>'Quarter final consumption'!I88</f>
        <v>222.44</v>
      </c>
    </row>
    <row r="89" spans="1:87" ht="15.5" x14ac:dyDescent="0.35">
      <c r="A89" s="50" t="s">
        <v>254</v>
      </c>
      <c r="B89" s="58">
        <f t="shared" si="61"/>
        <v>52633.979999999996</v>
      </c>
      <c r="C89" s="58">
        <f t="shared" si="62"/>
        <v>2147.9899999999998</v>
      </c>
      <c r="D89" s="58">
        <f t="shared" si="63"/>
        <v>140.65000000000003</v>
      </c>
      <c r="E89" s="58">
        <f t="shared" si="64"/>
        <v>16905.030000000002</v>
      </c>
      <c r="F89" s="58">
        <f t="shared" si="65"/>
        <v>2387.1600000000017</v>
      </c>
      <c r="G89" s="58">
        <f t="shared" si="66"/>
        <v>21244.32</v>
      </c>
      <c r="H89" s="58">
        <f t="shared" si="67"/>
        <v>4437.8900000000003</v>
      </c>
      <c r="I89" s="58">
        <f t="shared" si="68"/>
        <v>5052.5599999999995</v>
      </c>
      <c r="J89" s="58">
        <f t="shared" si="69"/>
        <v>318.38000000000011</v>
      </c>
      <c r="K89" s="58">
        <f t="shared" si="54"/>
        <v>-19.279999999999973</v>
      </c>
      <c r="L89" s="59">
        <v>0</v>
      </c>
      <c r="M89" s="59">
        <v>4.9000000000000004</v>
      </c>
      <c r="N89" s="59">
        <v>123.12</v>
      </c>
      <c r="O89" s="59">
        <v>-147.55000000000001</v>
      </c>
      <c r="P89" s="59">
        <v>117.88</v>
      </c>
      <c r="Q89" s="59">
        <v>-117.63</v>
      </c>
      <c r="R89" s="59">
        <v>-1909.86</v>
      </c>
      <c r="S89" s="59">
        <v>1909.86</v>
      </c>
      <c r="T89" s="58">
        <f t="shared" si="55"/>
        <v>-8613.760000000002</v>
      </c>
      <c r="U89" s="58">
        <f t="shared" si="70"/>
        <v>-1777.83</v>
      </c>
      <c r="V89" s="58">
        <f t="shared" si="71"/>
        <v>87.199999999999974</v>
      </c>
      <c r="W89" s="58">
        <f t="shared" si="58"/>
        <v>-17028.150000000001</v>
      </c>
      <c r="X89" s="58">
        <f t="shared" si="59"/>
        <v>16808.989999999998</v>
      </c>
      <c r="Y89" s="58">
        <f t="shared" si="72"/>
        <v>-6649.74</v>
      </c>
      <c r="Z89" s="58">
        <f t="shared" si="73"/>
        <v>-2924.79</v>
      </c>
      <c r="AA89" s="58">
        <f t="shared" si="81"/>
        <v>-3142.7</v>
      </c>
      <c r="AB89" s="58">
        <f t="shared" si="81"/>
        <v>5572.72</v>
      </c>
      <c r="AC89" s="58">
        <f t="shared" si="53"/>
        <v>440.54</v>
      </c>
      <c r="AD89" s="58">
        <f t="shared" si="56"/>
        <v>-7891.7199999999984</v>
      </c>
      <c r="AE89" s="59">
        <v>-1262.76</v>
      </c>
      <c r="AF89" s="59">
        <v>-116.94</v>
      </c>
      <c r="AG89" s="59">
        <v>-109.14</v>
      </c>
      <c r="AH89" s="59">
        <v>-5959.83</v>
      </c>
      <c r="AI89" s="59">
        <v>-2873.07</v>
      </c>
      <c r="AJ89" s="59">
        <v>-3142.7</v>
      </c>
      <c r="AK89" s="59">
        <v>5572.72</v>
      </c>
      <c r="AL89" s="58">
        <f t="shared" si="76"/>
        <v>-314.44</v>
      </c>
      <c r="AM89" s="59">
        <v>-1.04</v>
      </c>
      <c r="AN89" s="59">
        <v>-0.28999999999999998</v>
      </c>
      <c r="AO89" s="59">
        <v>-12.02</v>
      </c>
      <c r="AP89" s="59">
        <v>-689.91</v>
      </c>
      <c r="AQ89" s="59">
        <v>-51.72</v>
      </c>
      <c r="AR89" s="59">
        <v>440.54</v>
      </c>
      <c r="AS89" s="58">
        <f t="shared" si="74"/>
        <v>-76.369999999998981</v>
      </c>
      <c r="AT89" s="59">
        <v>-17100.09</v>
      </c>
      <c r="AU89" s="59">
        <v>17023.72</v>
      </c>
      <c r="AV89" s="58">
        <f t="shared" si="77"/>
        <v>-29.639999999999986</v>
      </c>
      <c r="AW89" s="59">
        <v>-316.08999999999997</v>
      </c>
      <c r="AX89" s="59">
        <v>286.45</v>
      </c>
      <c r="AY89" s="59">
        <v>0</v>
      </c>
      <c r="AZ89" s="58">
        <f t="shared" si="78"/>
        <v>-285.12</v>
      </c>
      <c r="BA89" s="59">
        <v>-170.46</v>
      </c>
      <c r="BB89" s="59">
        <v>-114.66</v>
      </c>
      <c r="BC89" s="59">
        <v>0</v>
      </c>
      <c r="BD89" s="58">
        <f t="shared" si="79"/>
        <v>-9.17</v>
      </c>
      <c r="BE89" s="59">
        <v>-27.48</v>
      </c>
      <c r="BF89" s="59">
        <v>32.64</v>
      </c>
      <c r="BG89" s="59">
        <v>-14.33</v>
      </c>
      <c r="BH89" s="58">
        <f t="shared" si="60"/>
        <v>-7.2999999999999972</v>
      </c>
      <c r="BI89" s="59">
        <v>71.94</v>
      </c>
      <c r="BJ89" s="59">
        <v>-79.239999999999995</v>
      </c>
      <c r="BK89" s="58">
        <f t="shared" si="80"/>
        <v>3075.4699999999993</v>
      </c>
      <c r="BL89" s="59">
        <v>0</v>
      </c>
      <c r="BM89" s="59">
        <v>103.06</v>
      </c>
      <c r="BN89" s="59">
        <v>0</v>
      </c>
      <c r="BO89" s="59">
        <v>1066.19</v>
      </c>
      <c r="BP89" s="59">
        <v>1325.45</v>
      </c>
      <c r="BQ89" s="59">
        <v>0</v>
      </c>
      <c r="BR89" s="59">
        <v>496.03</v>
      </c>
      <c r="BS89" s="59">
        <v>84.74</v>
      </c>
      <c r="BT89" s="58">
        <f t="shared" si="75"/>
        <v>715.52</v>
      </c>
      <c r="BU89" s="59">
        <v>0</v>
      </c>
      <c r="BV89" s="59">
        <v>11.78</v>
      </c>
      <c r="BW89" s="59">
        <v>0</v>
      </c>
      <c r="BX89" s="59">
        <v>0</v>
      </c>
      <c r="BY89" s="59">
        <v>89.12</v>
      </c>
      <c r="BZ89" s="59">
        <v>0</v>
      </c>
      <c r="CA89" s="59">
        <v>614.62</v>
      </c>
      <c r="CB89" s="58">
        <f>'Quarter final consumption'!B89</f>
        <v>40207.449999999997</v>
      </c>
      <c r="CC89" s="58">
        <f>'Quarter final consumption'!C89</f>
        <v>370.15999999999997</v>
      </c>
      <c r="CD89" s="58">
        <f>'Quarter final consumption'!D89</f>
        <v>117.91</v>
      </c>
      <c r="CE89" s="58">
        <f>'Quarter final consumption'!E89</f>
        <v>17982.41</v>
      </c>
      <c r="CF89" s="58">
        <f>'Quarter final consumption'!F89</f>
        <v>13297.89</v>
      </c>
      <c r="CG89" s="58">
        <f>'Quarter final consumption'!G89</f>
        <v>1395.47</v>
      </c>
      <c r="CH89" s="58">
        <f>'Quarter final consumption'!H89</f>
        <v>6690.31</v>
      </c>
      <c r="CI89" s="71">
        <f>'Quarter final consumption'!I89</f>
        <v>353.29999999999995</v>
      </c>
    </row>
    <row r="90" spans="1:87" ht="15.5" x14ac:dyDescent="0.35">
      <c r="A90" s="50" t="s">
        <v>255</v>
      </c>
      <c r="B90" s="58">
        <f t="shared" si="61"/>
        <v>54308.19</v>
      </c>
      <c r="C90" s="58">
        <f t="shared" si="62"/>
        <v>1680.55</v>
      </c>
      <c r="D90" s="58">
        <f t="shared" si="63"/>
        <v>203.40000000000006</v>
      </c>
      <c r="E90" s="58">
        <f t="shared" si="64"/>
        <v>16445.37</v>
      </c>
      <c r="F90" s="58">
        <f t="shared" si="65"/>
        <v>1794.1200000000044</v>
      </c>
      <c r="G90" s="58">
        <f t="shared" si="66"/>
        <v>24367.53</v>
      </c>
      <c r="H90" s="58">
        <f t="shared" si="67"/>
        <v>4369.6000000000004</v>
      </c>
      <c r="I90" s="58">
        <f t="shared" si="68"/>
        <v>4904.6099999999997</v>
      </c>
      <c r="J90" s="58">
        <f t="shared" si="69"/>
        <v>543.01000000000113</v>
      </c>
      <c r="K90" s="58">
        <f t="shared" si="54"/>
        <v>-28.299999999999955</v>
      </c>
      <c r="L90" s="59">
        <v>0</v>
      </c>
      <c r="M90" s="59">
        <v>4.74</v>
      </c>
      <c r="N90" s="59">
        <v>-491.3</v>
      </c>
      <c r="O90" s="59">
        <v>457.99</v>
      </c>
      <c r="P90" s="59">
        <v>123.38</v>
      </c>
      <c r="Q90" s="59">
        <v>-123.11</v>
      </c>
      <c r="R90" s="59">
        <v>-1913.03</v>
      </c>
      <c r="S90" s="59">
        <v>1913.03</v>
      </c>
      <c r="T90" s="58">
        <f t="shared" si="55"/>
        <v>-8186.5300000000034</v>
      </c>
      <c r="U90" s="58">
        <f t="shared" si="70"/>
        <v>-1342.8</v>
      </c>
      <c r="V90" s="58">
        <f t="shared" si="71"/>
        <v>66.189999999999955</v>
      </c>
      <c r="W90" s="58">
        <f t="shared" si="58"/>
        <v>-15954.07</v>
      </c>
      <c r="X90" s="58">
        <f t="shared" si="59"/>
        <v>15801.349999999999</v>
      </c>
      <c r="Y90" s="58">
        <f t="shared" si="72"/>
        <v>-7267.27</v>
      </c>
      <c r="Z90" s="58">
        <f t="shared" si="73"/>
        <v>-2592.92</v>
      </c>
      <c r="AA90" s="58">
        <f t="shared" ref="AA90:AB98" si="82">AJ90</f>
        <v>-2991.58</v>
      </c>
      <c r="AB90" s="58">
        <f t="shared" si="82"/>
        <v>5616.37</v>
      </c>
      <c r="AC90" s="58">
        <f t="shared" si="53"/>
        <v>478.2</v>
      </c>
      <c r="AD90" s="58">
        <f t="shared" si="56"/>
        <v>-7443.6800000000012</v>
      </c>
      <c r="AE90" s="59">
        <v>-788.72</v>
      </c>
      <c r="AF90" s="59">
        <v>-113.67</v>
      </c>
      <c r="AG90" s="59">
        <v>-88.94</v>
      </c>
      <c r="AH90" s="59">
        <v>-6539.97</v>
      </c>
      <c r="AI90" s="59">
        <v>-2537.17</v>
      </c>
      <c r="AJ90" s="59">
        <v>-2991.58</v>
      </c>
      <c r="AK90" s="59">
        <v>5616.37</v>
      </c>
      <c r="AL90" s="58">
        <f t="shared" si="76"/>
        <v>-317.29000000000002</v>
      </c>
      <c r="AM90" s="59">
        <v>-1.23</v>
      </c>
      <c r="AN90" s="59">
        <v>-0.28999999999999998</v>
      </c>
      <c r="AO90" s="59">
        <v>-10.92</v>
      </c>
      <c r="AP90" s="59">
        <v>-727.3</v>
      </c>
      <c r="AQ90" s="59">
        <v>-55.75</v>
      </c>
      <c r="AR90" s="59">
        <v>478.2</v>
      </c>
      <c r="AS90" s="58">
        <f t="shared" si="74"/>
        <v>-35.790000000000873</v>
      </c>
      <c r="AT90" s="59">
        <v>-16067.35</v>
      </c>
      <c r="AU90" s="59">
        <v>16031.56</v>
      </c>
      <c r="AV90" s="58">
        <f t="shared" si="77"/>
        <v>-18.600000000000023</v>
      </c>
      <c r="AW90" s="59">
        <v>-339.94</v>
      </c>
      <c r="AX90" s="59">
        <v>321.33999999999997</v>
      </c>
      <c r="AY90" s="59">
        <v>0</v>
      </c>
      <c r="AZ90" s="58">
        <f t="shared" si="78"/>
        <v>-356.12</v>
      </c>
      <c r="BA90" s="59">
        <v>-190.35</v>
      </c>
      <c r="BB90" s="59">
        <v>-165.77</v>
      </c>
      <c r="BC90" s="59">
        <v>0</v>
      </c>
      <c r="BD90" s="58">
        <f t="shared" si="79"/>
        <v>-4.2100000000000009</v>
      </c>
      <c r="BE90" s="59">
        <v>-22.56</v>
      </c>
      <c r="BF90" s="59">
        <v>24.58</v>
      </c>
      <c r="BG90" s="59">
        <v>-6.23</v>
      </c>
      <c r="BH90" s="58">
        <f t="shared" si="60"/>
        <v>-10.840000000000003</v>
      </c>
      <c r="BI90" s="59">
        <v>113.28</v>
      </c>
      <c r="BJ90" s="59">
        <v>-124.12</v>
      </c>
      <c r="BK90" s="58">
        <f t="shared" si="80"/>
        <v>3133.25</v>
      </c>
      <c r="BL90" s="59">
        <v>0</v>
      </c>
      <c r="BM90" s="59">
        <v>113.68</v>
      </c>
      <c r="BN90" s="59">
        <v>0</v>
      </c>
      <c r="BO90" s="59">
        <v>1026.07</v>
      </c>
      <c r="BP90" s="59">
        <v>1418.54</v>
      </c>
      <c r="BQ90" s="59">
        <v>0</v>
      </c>
      <c r="BR90" s="59">
        <v>489.12</v>
      </c>
      <c r="BS90" s="59">
        <v>85.84</v>
      </c>
      <c r="BT90" s="58">
        <f t="shared" si="75"/>
        <v>794.42</v>
      </c>
      <c r="BU90" s="59">
        <v>0</v>
      </c>
      <c r="BV90" s="59">
        <v>16.79</v>
      </c>
      <c r="BW90" s="59">
        <v>0</v>
      </c>
      <c r="BX90" s="59">
        <v>0</v>
      </c>
      <c r="BY90" s="59">
        <v>90.2</v>
      </c>
      <c r="BZ90" s="59">
        <v>0</v>
      </c>
      <c r="CA90" s="59">
        <v>687.43</v>
      </c>
      <c r="CB90" s="58">
        <f>'Quarter final consumption'!B90</f>
        <v>42166.57</v>
      </c>
      <c r="CC90" s="58">
        <f>'Quarter final consumption'!C90</f>
        <v>337.75</v>
      </c>
      <c r="CD90" s="58">
        <f>'Quarter final consumption'!D90</f>
        <v>143.86000000000001</v>
      </c>
      <c r="CE90" s="58">
        <f>'Quarter final consumption'!E90</f>
        <v>17027.390000000003</v>
      </c>
      <c r="CF90" s="58">
        <f>'Quarter final consumption'!F90</f>
        <v>15714.9</v>
      </c>
      <c r="CG90" s="58">
        <f>'Quarter final consumption'!G90</f>
        <v>1653.57</v>
      </c>
      <c r="CH90" s="58">
        <f>'Quarter final consumption'!H90</f>
        <v>6895.8600000000006</v>
      </c>
      <c r="CI90" s="71">
        <f>'Quarter final consumption'!I90</f>
        <v>393.24</v>
      </c>
    </row>
    <row r="91" spans="1:87" ht="15.5" x14ac:dyDescent="0.35">
      <c r="A91" s="50" t="s">
        <v>256</v>
      </c>
      <c r="B91" s="58">
        <f t="shared" si="61"/>
        <v>44904.600000000006</v>
      </c>
      <c r="C91" s="58">
        <f t="shared" si="62"/>
        <v>1046.92</v>
      </c>
      <c r="D91" s="58">
        <f t="shared" si="63"/>
        <v>225.04</v>
      </c>
      <c r="E91" s="58">
        <f t="shared" si="64"/>
        <v>15496.35</v>
      </c>
      <c r="F91" s="58">
        <f t="shared" si="65"/>
        <v>3683.3999999999978</v>
      </c>
      <c r="G91" s="58">
        <f t="shared" si="66"/>
        <v>15664.02</v>
      </c>
      <c r="H91" s="58">
        <f t="shared" si="67"/>
        <v>3987.3</v>
      </c>
      <c r="I91" s="58">
        <f t="shared" si="68"/>
        <v>4311.0200000000004</v>
      </c>
      <c r="J91" s="58">
        <f t="shared" si="69"/>
        <v>490.55000000000018</v>
      </c>
      <c r="K91" s="58">
        <f t="shared" si="54"/>
        <v>46.690000000000055</v>
      </c>
      <c r="L91" s="59">
        <v>0</v>
      </c>
      <c r="M91" s="59">
        <v>7.06</v>
      </c>
      <c r="N91" s="59">
        <v>-364.68</v>
      </c>
      <c r="O91" s="59">
        <v>403.97</v>
      </c>
      <c r="P91" s="59">
        <v>124.82</v>
      </c>
      <c r="Q91" s="59">
        <v>-124.48</v>
      </c>
      <c r="R91" s="59">
        <v>-1499.95</v>
      </c>
      <c r="S91" s="59">
        <v>1499.95</v>
      </c>
      <c r="T91" s="58">
        <f t="shared" si="55"/>
        <v>-7215.1200000000008</v>
      </c>
      <c r="U91" s="58">
        <f t="shared" si="70"/>
        <v>-729.1</v>
      </c>
      <c r="V91" s="58">
        <f t="shared" si="71"/>
        <v>45.69</v>
      </c>
      <c r="W91" s="58">
        <f t="shared" si="58"/>
        <v>-15131.67</v>
      </c>
      <c r="X91" s="58">
        <f t="shared" si="59"/>
        <v>14982.17</v>
      </c>
      <c r="Y91" s="58">
        <f t="shared" si="72"/>
        <v>-6339.87</v>
      </c>
      <c r="Z91" s="58">
        <f t="shared" si="73"/>
        <v>-2612.8300000000004</v>
      </c>
      <c r="AA91" s="58">
        <f t="shared" si="82"/>
        <v>-2811.07</v>
      </c>
      <c r="AB91" s="58">
        <f t="shared" si="82"/>
        <v>5027.2</v>
      </c>
      <c r="AC91" s="58">
        <f t="shared" si="53"/>
        <v>354.36</v>
      </c>
      <c r="AD91" s="58">
        <f t="shared" si="56"/>
        <v>-6470.829999999999</v>
      </c>
      <c r="AE91" s="59">
        <v>-128.53</v>
      </c>
      <c r="AF91" s="59">
        <v>-112.1</v>
      </c>
      <c r="AG91" s="59">
        <v>-71.19</v>
      </c>
      <c r="AH91" s="59">
        <v>-5803.57</v>
      </c>
      <c r="AI91" s="59">
        <v>-2571.5700000000002</v>
      </c>
      <c r="AJ91" s="59">
        <v>-2811.07</v>
      </c>
      <c r="AK91" s="59">
        <v>5027.2</v>
      </c>
      <c r="AL91" s="58">
        <f t="shared" si="76"/>
        <v>-235.12999999999988</v>
      </c>
      <c r="AM91" s="59">
        <v>-0.74</v>
      </c>
      <c r="AN91" s="59">
        <v>-0.28999999999999998</v>
      </c>
      <c r="AO91" s="59">
        <v>-10.9</v>
      </c>
      <c r="AP91" s="59">
        <v>-536.29999999999995</v>
      </c>
      <c r="AQ91" s="59">
        <v>-41.26</v>
      </c>
      <c r="AR91" s="59">
        <v>354.36</v>
      </c>
      <c r="AS91" s="58">
        <f t="shared" si="74"/>
        <v>-52.309999999999491</v>
      </c>
      <c r="AT91" s="59">
        <v>-15209.4</v>
      </c>
      <c r="AU91" s="59">
        <v>15157.09</v>
      </c>
      <c r="AV91" s="58">
        <f t="shared" si="77"/>
        <v>-19.490000000000009</v>
      </c>
      <c r="AW91" s="59">
        <v>-340.14</v>
      </c>
      <c r="AX91" s="59">
        <v>320.64999999999998</v>
      </c>
      <c r="AY91" s="59">
        <v>0</v>
      </c>
      <c r="AZ91" s="58">
        <f t="shared" si="78"/>
        <v>-430.12</v>
      </c>
      <c r="BA91" s="59">
        <v>-240.46</v>
      </c>
      <c r="BB91" s="59">
        <v>-189.66</v>
      </c>
      <c r="BC91" s="59">
        <v>0</v>
      </c>
      <c r="BD91" s="58">
        <f t="shared" si="79"/>
        <v>0.19999999999999929</v>
      </c>
      <c r="BE91" s="59">
        <v>-19.23</v>
      </c>
      <c r="BF91" s="59">
        <v>27.09</v>
      </c>
      <c r="BG91" s="59">
        <v>-7.66</v>
      </c>
      <c r="BH91" s="58">
        <f t="shared" si="60"/>
        <v>-7.4399999999999977</v>
      </c>
      <c r="BI91" s="59">
        <v>77.73</v>
      </c>
      <c r="BJ91" s="59">
        <v>-85.17</v>
      </c>
      <c r="BK91" s="58">
        <f t="shared" si="80"/>
        <v>3022.99</v>
      </c>
      <c r="BL91" s="59">
        <v>0</v>
      </c>
      <c r="BM91" s="59">
        <v>112.66</v>
      </c>
      <c r="BN91" s="59">
        <v>0</v>
      </c>
      <c r="BO91" s="59">
        <v>978.05</v>
      </c>
      <c r="BP91" s="59">
        <v>1362.99</v>
      </c>
      <c r="BQ91" s="59">
        <v>0</v>
      </c>
      <c r="BR91" s="59">
        <v>483.45</v>
      </c>
      <c r="BS91" s="59">
        <v>85.84</v>
      </c>
      <c r="BT91" s="58">
        <f t="shared" si="75"/>
        <v>626.18999999999994</v>
      </c>
      <c r="BU91" s="59">
        <v>0</v>
      </c>
      <c r="BV91" s="59">
        <v>23.25</v>
      </c>
      <c r="BW91" s="59">
        <v>0</v>
      </c>
      <c r="BX91" s="59">
        <v>0</v>
      </c>
      <c r="BY91" s="59">
        <v>65.260000000000005</v>
      </c>
      <c r="BZ91" s="59">
        <v>0</v>
      </c>
      <c r="CA91" s="59">
        <v>537.67999999999995</v>
      </c>
      <c r="CB91" s="58">
        <f>'Quarter final consumption'!B91</f>
        <v>34088.86</v>
      </c>
      <c r="CC91" s="58">
        <f>'Quarter final consumption'!C91</f>
        <v>317.82</v>
      </c>
      <c r="CD91" s="58">
        <f>'Quarter final consumption'!D91</f>
        <v>141.88</v>
      </c>
      <c r="CE91" s="58">
        <f>'Quarter final consumption'!E91</f>
        <v>18091.489999999998</v>
      </c>
      <c r="CF91" s="58">
        <f>'Quarter final consumption'!F91</f>
        <v>8020.7199999999993</v>
      </c>
      <c r="CG91" s="58">
        <f>'Quarter final consumption'!G91</f>
        <v>1249.99</v>
      </c>
      <c r="CH91" s="58">
        <f>'Quarter final consumption'!H91</f>
        <v>5996.57</v>
      </c>
      <c r="CI91" s="71">
        <f>'Quarter final consumption'!I91</f>
        <v>270.39</v>
      </c>
    </row>
    <row r="92" spans="1:87" ht="15.5" x14ac:dyDescent="0.35">
      <c r="A92" s="50" t="s">
        <v>257</v>
      </c>
      <c r="B92" s="58">
        <f t="shared" si="61"/>
        <v>39943.270000000004</v>
      </c>
      <c r="C92" s="58">
        <f t="shared" si="62"/>
        <v>1122.4000000000001</v>
      </c>
      <c r="D92" s="58">
        <f t="shared" si="63"/>
        <v>133.64000000000004</v>
      </c>
      <c r="E92" s="58">
        <f t="shared" si="64"/>
        <v>15876.7</v>
      </c>
      <c r="F92" s="58">
        <f t="shared" si="65"/>
        <v>2518.3399999999983</v>
      </c>
      <c r="G92" s="58">
        <f t="shared" si="66"/>
        <v>11468.669999999998</v>
      </c>
      <c r="H92" s="58">
        <f t="shared" si="67"/>
        <v>3837.54</v>
      </c>
      <c r="I92" s="58">
        <f t="shared" si="68"/>
        <v>4633.8</v>
      </c>
      <c r="J92" s="58">
        <f t="shared" si="69"/>
        <v>352.18000000000029</v>
      </c>
      <c r="K92" s="58">
        <f t="shared" si="54"/>
        <v>10.119999999999891</v>
      </c>
      <c r="L92" s="59">
        <v>0</v>
      </c>
      <c r="M92" s="59">
        <v>6.27</v>
      </c>
      <c r="N92" s="59">
        <v>279.67</v>
      </c>
      <c r="O92" s="59">
        <v>-276.05</v>
      </c>
      <c r="P92" s="59">
        <v>126.08</v>
      </c>
      <c r="Q92" s="59">
        <v>-125.85</v>
      </c>
      <c r="R92" s="59">
        <v>-1709.59</v>
      </c>
      <c r="S92" s="59">
        <v>1709.59</v>
      </c>
      <c r="T92" s="58">
        <f t="shared" si="55"/>
        <v>-6993.26</v>
      </c>
      <c r="U92" s="58">
        <f t="shared" si="70"/>
        <v>-811.14</v>
      </c>
      <c r="V92" s="58">
        <f t="shared" si="71"/>
        <v>136.65999999999997</v>
      </c>
      <c r="W92" s="58">
        <f t="shared" si="58"/>
        <v>-16156.37</v>
      </c>
      <c r="X92" s="58">
        <f t="shared" si="59"/>
        <v>15947.93</v>
      </c>
      <c r="Y92" s="58">
        <f t="shared" si="72"/>
        <v>-5565.71</v>
      </c>
      <c r="Z92" s="58">
        <f t="shared" si="73"/>
        <v>-2607.41</v>
      </c>
      <c r="AA92" s="58">
        <f t="shared" si="82"/>
        <v>-2924.21</v>
      </c>
      <c r="AB92" s="58">
        <f t="shared" si="82"/>
        <v>4690.53</v>
      </c>
      <c r="AC92" s="58">
        <f t="shared" si="53"/>
        <v>296.45999999999998</v>
      </c>
      <c r="AD92" s="58">
        <f t="shared" si="56"/>
        <v>-6295.2800000000016</v>
      </c>
      <c r="AE92" s="59">
        <v>-200.23</v>
      </c>
      <c r="AF92" s="59">
        <v>-98.65</v>
      </c>
      <c r="AG92" s="59">
        <v>-71.09</v>
      </c>
      <c r="AH92" s="59">
        <v>-5118.7</v>
      </c>
      <c r="AI92" s="59">
        <v>-2572.9299999999998</v>
      </c>
      <c r="AJ92" s="59">
        <v>-2924.21</v>
      </c>
      <c r="AK92" s="59">
        <v>4690.53</v>
      </c>
      <c r="AL92" s="58">
        <f t="shared" si="76"/>
        <v>-196.71000000000004</v>
      </c>
      <c r="AM92" s="59">
        <v>-0.5</v>
      </c>
      <c r="AN92" s="59">
        <v>-0.28999999999999998</v>
      </c>
      <c r="AO92" s="59">
        <v>-10.89</v>
      </c>
      <c r="AP92" s="59">
        <v>-447.01</v>
      </c>
      <c r="AQ92" s="59">
        <v>-34.479999999999997</v>
      </c>
      <c r="AR92" s="59">
        <v>296.45999999999998</v>
      </c>
      <c r="AS92" s="58">
        <f t="shared" si="74"/>
        <v>-100.98999999999978</v>
      </c>
      <c r="AT92" s="59">
        <v>-16266.33</v>
      </c>
      <c r="AU92" s="59">
        <v>16165.34</v>
      </c>
      <c r="AV92" s="58">
        <f t="shared" si="77"/>
        <v>-24.830000000000041</v>
      </c>
      <c r="AW92" s="59">
        <v>-344.48</v>
      </c>
      <c r="AX92" s="59">
        <v>319.64999999999998</v>
      </c>
      <c r="AY92" s="59">
        <v>0</v>
      </c>
      <c r="AZ92" s="58">
        <f t="shared" si="78"/>
        <v>-362.31</v>
      </c>
      <c r="BA92" s="59">
        <v>-240.8</v>
      </c>
      <c r="BB92" s="59">
        <v>-121.51</v>
      </c>
      <c r="BC92" s="59">
        <v>0</v>
      </c>
      <c r="BD92" s="58">
        <f t="shared" si="79"/>
        <v>-2.6199999999999974</v>
      </c>
      <c r="BE92" s="59">
        <v>-25.13</v>
      </c>
      <c r="BF92" s="59">
        <v>37.46</v>
      </c>
      <c r="BG92" s="59">
        <v>-14.95</v>
      </c>
      <c r="BH92" s="58">
        <f t="shared" si="60"/>
        <v>-10.52000000000001</v>
      </c>
      <c r="BI92" s="59">
        <v>109.96</v>
      </c>
      <c r="BJ92" s="59">
        <v>-120.48</v>
      </c>
      <c r="BK92" s="58">
        <f t="shared" si="80"/>
        <v>2979.5500000000006</v>
      </c>
      <c r="BL92" s="59">
        <v>0</v>
      </c>
      <c r="BM92" s="59">
        <v>107.63</v>
      </c>
      <c r="BN92" s="59">
        <v>0</v>
      </c>
      <c r="BO92" s="59">
        <v>1009.44</v>
      </c>
      <c r="BP92" s="59">
        <v>1329.03</v>
      </c>
      <c r="BQ92" s="59">
        <v>0</v>
      </c>
      <c r="BR92" s="59">
        <v>447.61</v>
      </c>
      <c r="BS92" s="59">
        <v>85.84</v>
      </c>
      <c r="BT92" s="58">
        <f t="shared" si="75"/>
        <v>564.04999999999995</v>
      </c>
      <c r="BU92" s="59">
        <v>0</v>
      </c>
      <c r="BV92" s="59">
        <v>27.55</v>
      </c>
      <c r="BW92" s="59">
        <v>0</v>
      </c>
      <c r="BX92" s="59">
        <v>0</v>
      </c>
      <c r="BY92" s="59">
        <v>63.16</v>
      </c>
      <c r="BZ92" s="59">
        <v>0</v>
      </c>
      <c r="CA92" s="59">
        <v>473.34</v>
      </c>
      <c r="CB92" s="58">
        <f>'Quarter final consumption'!B92</f>
        <v>29416.049999999996</v>
      </c>
      <c r="CC92" s="58">
        <f>'Quarter final consumption'!C92</f>
        <v>311.26000000000005</v>
      </c>
      <c r="CD92" s="58">
        <f>'Quarter final consumption'!D92</f>
        <v>141.39000000000001</v>
      </c>
      <c r="CE92" s="58">
        <f>'Quarter final consumption'!E92</f>
        <v>17180.78</v>
      </c>
      <c r="CF92" s="58">
        <f>'Quarter final consumption'!F92</f>
        <v>4636.8499999999995</v>
      </c>
      <c r="CG92" s="58">
        <f>'Quarter final consumption'!G92</f>
        <v>1104.28</v>
      </c>
      <c r="CH92" s="58">
        <f>'Quarter final consumption'!H92</f>
        <v>5831.35</v>
      </c>
      <c r="CI92" s="71">
        <f>'Quarter final consumption'!I92</f>
        <v>210.14000000000001</v>
      </c>
    </row>
    <row r="93" spans="1:87" ht="15.5" x14ac:dyDescent="0.35">
      <c r="A93" s="50" t="s">
        <v>258</v>
      </c>
      <c r="B93" s="58">
        <f t="shared" si="61"/>
        <v>52888.259999999995</v>
      </c>
      <c r="C93" s="58">
        <f t="shared" si="62"/>
        <v>1626.51</v>
      </c>
      <c r="D93" s="58">
        <f t="shared" si="63"/>
        <v>161.08000000000001</v>
      </c>
      <c r="E93" s="58">
        <f t="shared" si="64"/>
        <v>16810.780000000002</v>
      </c>
      <c r="F93" s="58">
        <f t="shared" si="65"/>
        <v>1347.2999999999956</v>
      </c>
      <c r="G93" s="58">
        <f t="shared" si="66"/>
        <v>22398.66</v>
      </c>
      <c r="H93" s="58">
        <f t="shared" si="67"/>
        <v>4800.99</v>
      </c>
      <c r="I93" s="58">
        <f t="shared" si="68"/>
        <v>5305.3899999999994</v>
      </c>
      <c r="J93" s="58">
        <f t="shared" si="69"/>
        <v>437.54999999999927</v>
      </c>
      <c r="K93" s="58">
        <f t="shared" si="54"/>
        <v>-4.8800000000001091</v>
      </c>
      <c r="L93" s="59">
        <v>0</v>
      </c>
      <c r="M93" s="59">
        <v>5.89</v>
      </c>
      <c r="N93" s="59">
        <v>220.78</v>
      </c>
      <c r="O93" s="59">
        <v>-231.88</v>
      </c>
      <c r="P93" s="59">
        <v>126.18</v>
      </c>
      <c r="Q93" s="59">
        <v>-125.85</v>
      </c>
      <c r="R93" s="59">
        <v>-1945.35</v>
      </c>
      <c r="S93" s="59">
        <v>1945.35</v>
      </c>
      <c r="T93" s="58">
        <f t="shared" si="55"/>
        <v>-8323.93</v>
      </c>
      <c r="U93" s="58">
        <f t="shared" si="70"/>
        <v>-1293.69</v>
      </c>
      <c r="V93" s="58">
        <f t="shared" si="71"/>
        <v>98.07999999999997</v>
      </c>
      <c r="W93" s="58">
        <f t="shared" si="58"/>
        <v>-17031.560000000001</v>
      </c>
      <c r="X93" s="58">
        <f t="shared" si="59"/>
        <v>16885.140000000003</v>
      </c>
      <c r="Y93" s="58">
        <f t="shared" si="72"/>
        <v>-6709.92</v>
      </c>
      <c r="Z93" s="58">
        <f t="shared" si="73"/>
        <v>-2938.7799999999997</v>
      </c>
      <c r="AA93" s="58">
        <f t="shared" si="82"/>
        <v>-3360.04</v>
      </c>
      <c r="AB93" s="58">
        <f t="shared" si="82"/>
        <v>5571.75</v>
      </c>
      <c r="AC93" s="58">
        <f t="shared" si="53"/>
        <v>455.09</v>
      </c>
      <c r="AD93" s="58">
        <f t="shared" si="56"/>
        <v>-7602.2999999999993</v>
      </c>
      <c r="AE93" s="59">
        <v>-720.16</v>
      </c>
      <c r="AF93" s="59">
        <v>-104.3</v>
      </c>
      <c r="AG93" s="59">
        <v>-85.55</v>
      </c>
      <c r="AH93" s="59">
        <v>-6018.26</v>
      </c>
      <c r="AI93" s="59">
        <v>-2885.74</v>
      </c>
      <c r="AJ93" s="59">
        <v>-3360.04</v>
      </c>
      <c r="AK93" s="59">
        <v>5571.75</v>
      </c>
      <c r="AL93" s="58">
        <f t="shared" si="76"/>
        <v>-301.95</v>
      </c>
      <c r="AM93" s="59">
        <v>-1.1399999999999999</v>
      </c>
      <c r="AN93" s="59">
        <v>-0.28999999999999998</v>
      </c>
      <c r="AO93" s="59">
        <v>-10.91</v>
      </c>
      <c r="AP93" s="59">
        <v>-691.66</v>
      </c>
      <c r="AQ93" s="59">
        <v>-53.04</v>
      </c>
      <c r="AR93" s="59">
        <v>455.09</v>
      </c>
      <c r="AS93" s="58">
        <f t="shared" si="74"/>
        <v>-22.520000000000437</v>
      </c>
      <c r="AT93" s="59">
        <v>-17134.13</v>
      </c>
      <c r="AU93" s="59">
        <v>17111.61</v>
      </c>
      <c r="AV93" s="58">
        <f t="shared" si="77"/>
        <v>-19.900000000000034</v>
      </c>
      <c r="AW93" s="59">
        <v>-350.74</v>
      </c>
      <c r="AX93" s="59">
        <v>330.84</v>
      </c>
      <c r="AY93" s="59">
        <v>0</v>
      </c>
      <c r="AZ93" s="58">
        <f t="shared" si="78"/>
        <v>-359.82</v>
      </c>
      <c r="BA93" s="59">
        <v>-190.98</v>
      </c>
      <c r="BB93" s="59">
        <v>-168.84</v>
      </c>
      <c r="BC93" s="59">
        <v>0</v>
      </c>
      <c r="BD93" s="58">
        <f t="shared" si="79"/>
        <v>-7.16</v>
      </c>
      <c r="BE93" s="59">
        <v>-30.67</v>
      </c>
      <c r="BF93" s="59">
        <v>40.67</v>
      </c>
      <c r="BG93" s="59">
        <v>-17.16</v>
      </c>
      <c r="BH93" s="58">
        <f t="shared" si="60"/>
        <v>-10.280000000000001</v>
      </c>
      <c r="BI93" s="59">
        <v>102.57</v>
      </c>
      <c r="BJ93" s="59">
        <v>-112.85</v>
      </c>
      <c r="BK93" s="58">
        <f t="shared" si="80"/>
        <v>3152.34</v>
      </c>
      <c r="BL93" s="59">
        <v>0</v>
      </c>
      <c r="BM93" s="59">
        <v>110.49</v>
      </c>
      <c r="BN93" s="59">
        <v>0</v>
      </c>
      <c r="BO93" s="59">
        <v>1074.4100000000001</v>
      </c>
      <c r="BP93" s="59">
        <v>1401.42</v>
      </c>
      <c r="BQ93" s="59">
        <v>0</v>
      </c>
      <c r="BR93" s="59">
        <v>480.18</v>
      </c>
      <c r="BS93" s="59">
        <v>85.84</v>
      </c>
      <c r="BT93" s="58">
        <f t="shared" si="75"/>
        <v>750.61</v>
      </c>
      <c r="BU93" s="59">
        <v>0</v>
      </c>
      <c r="BV93" s="59">
        <v>16.14</v>
      </c>
      <c r="BW93" s="59">
        <v>0</v>
      </c>
      <c r="BX93" s="59">
        <v>0</v>
      </c>
      <c r="BY93" s="59">
        <v>85.72</v>
      </c>
      <c r="BZ93" s="59">
        <v>0</v>
      </c>
      <c r="CA93" s="59">
        <v>648.75</v>
      </c>
      <c r="CB93" s="58">
        <f>'Quarter final consumption'!B93</f>
        <v>40654.22</v>
      </c>
      <c r="CC93" s="58">
        <f>'Quarter final consumption'!C93</f>
        <v>332.82</v>
      </c>
      <c r="CD93" s="58">
        <f>'Quarter final consumption'!D93</f>
        <v>138.41999999999999</v>
      </c>
      <c r="CE93" s="58">
        <f>'Quarter final consumption'!E93</f>
        <v>16926.149999999998</v>
      </c>
      <c r="CF93" s="58">
        <f>'Quarter final consumption'!F93</f>
        <v>14327.78</v>
      </c>
      <c r="CG93" s="58">
        <f>'Quarter final consumption'!G93</f>
        <v>1736.3600000000001</v>
      </c>
      <c r="CH93" s="58">
        <f>'Quarter final consumption'!H93</f>
        <v>6825.7199999999993</v>
      </c>
      <c r="CI93" s="71">
        <f>'Quarter final consumption'!I93</f>
        <v>366.97</v>
      </c>
    </row>
    <row r="94" spans="1:87" ht="15.5" x14ac:dyDescent="0.35">
      <c r="A94" s="50" t="s">
        <v>259</v>
      </c>
      <c r="B94" s="58">
        <f t="shared" si="61"/>
        <v>53455.070000000007</v>
      </c>
      <c r="C94" s="58">
        <f t="shared" si="62"/>
        <v>1717.8199999999997</v>
      </c>
      <c r="D94" s="58">
        <f t="shared" si="63"/>
        <v>205.63000000000002</v>
      </c>
      <c r="E94" s="58">
        <f t="shared" si="64"/>
        <v>15419.660000000002</v>
      </c>
      <c r="F94" s="58">
        <f t="shared" si="65"/>
        <v>2645.630000000001</v>
      </c>
      <c r="G94" s="58">
        <f t="shared" si="66"/>
        <v>22581.919999999998</v>
      </c>
      <c r="H94" s="58">
        <f t="shared" si="67"/>
        <v>4961.7900000000009</v>
      </c>
      <c r="I94" s="58">
        <f t="shared" si="68"/>
        <v>5419.58</v>
      </c>
      <c r="J94" s="58">
        <f t="shared" si="69"/>
        <v>503.03999999999996</v>
      </c>
      <c r="K94" s="58">
        <f t="shared" si="54"/>
        <v>-9.0599999999999454</v>
      </c>
      <c r="L94" s="59">
        <v>0</v>
      </c>
      <c r="M94" s="59">
        <v>3.79</v>
      </c>
      <c r="N94" s="59">
        <v>-192.2</v>
      </c>
      <c r="O94" s="59">
        <v>184.38</v>
      </c>
      <c r="P94" s="59">
        <v>130.33000000000001</v>
      </c>
      <c r="Q94" s="59">
        <v>-135.36000000000001</v>
      </c>
      <c r="R94" s="59">
        <v>-2643.03</v>
      </c>
      <c r="S94" s="59">
        <v>2643.03</v>
      </c>
      <c r="T94" s="58">
        <f t="shared" si="55"/>
        <v>-7471.5400000000009</v>
      </c>
      <c r="U94" s="58">
        <f t="shared" si="70"/>
        <v>-1401.9199999999998</v>
      </c>
      <c r="V94" s="58">
        <f t="shared" si="71"/>
        <v>57.579999999999984</v>
      </c>
      <c r="W94" s="58">
        <f t="shared" si="58"/>
        <v>-15227.460000000001</v>
      </c>
      <c r="X94" s="58">
        <f t="shared" si="59"/>
        <v>15131.48</v>
      </c>
      <c r="Y94" s="58">
        <f t="shared" si="72"/>
        <v>-5647.6100000000006</v>
      </c>
      <c r="Z94" s="58">
        <f t="shared" si="73"/>
        <v>-2868.17</v>
      </c>
      <c r="AA94" s="58">
        <f t="shared" si="82"/>
        <v>-2776.55</v>
      </c>
      <c r="AB94" s="58">
        <f t="shared" si="82"/>
        <v>4777.05</v>
      </c>
      <c r="AC94" s="58">
        <f t="shared" si="53"/>
        <v>484.06</v>
      </c>
      <c r="AD94" s="58">
        <f t="shared" si="56"/>
        <v>-6772.4000000000005</v>
      </c>
      <c r="AE94" s="59">
        <v>-862.27</v>
      </c>
      <c r="AF94" s="59">
        <v>-110.05</v>
      </c>
      <c r="AG94" s="59">
        <v>-85.26</v>
      </c>
      <c r="AH94" s="59">
        <v>-4910.84</v>
      </c>
      <c r="AI94" s="59">
        <v>-2804.48</v>
      </c>
      <c r="AJ94" s="59">
        <v>-2776.55</v>
      </c>
      <c r="AK94" s="59">
        <v>4777.05</v>
      </c>
      <c r="AL94" s="58">
        <f t="shared" si="76"/>
        <v>-328.01999999999992</v>
      </c>
      <c r="AM94" s="59">
        <v>-1.26</v>
      </c>
      <c r="AN94" s="59">
        <v>-0.28999999999999998</v>
      </c>
      <c r="AO94" s="59">
        <v>-10.07</v>
      </c>
      <c r="AP94" s="59">
        <v>-736.77</v>
      </c>
      <c r="AQ94" s="59">
        <v>-63.69</v>
      </c>
      <c r="AR94" s="59">
        <v>484.06</v>
      </c>
      <c r="AS94" s="58">
        <f t="shared" si="74"/>
        <v>18.6299999999992</v>
      </c>
      <c r="AT94" s="59">
        <v>-15357.35</v>
      </c>
      <c r="AU94" s="59">
        <v>15375.98</v>
      </c>
      <c r="AV94" s="58">
        <f t="shared" si="77"/>
        <v>-16.829999999999984</v>
      </c>
      <c r="AW94" s="59">
        <v>-315.27999999999997</v>
      </c>
      <c r="AX94" s="59">
        <v>298.45</v>
      </c>
      <c r="AY94" s="59">
        <v>0</v>
      </c>
      <c r="AZ94" s="58">
        <f t="shared" si="78"/>
        <v>-360.43</v>
      </c>
      <c r="BA94" s="59">
        <v>-199.59</v>
      </c>
      <c r="BB94" s="59">
        <v>-160.84</v>
      </c>
      <c r="BC94" s="59">
        <v>0</v>
      </c>
      <c r="BD94" s="58">
        <f t="shared" si="79"/>
        <v>0.55999999999999872</v>
      </c>
      <c r="BE94" s="59">
        <v>-23.52</v>
      </c>
      <c r="BF94" s="59">
        <v>30.31</v>
      </c>
      <c r="BG94" s="59">
        <v>-6.23</v>
      </c>
      <c r="BH94" s="58">
        <f t="shared" si="60"/>
        <v>-13.050000000000011</v>
      </c>
      <c r="BI94" s="59">
        <v>129.88999999999999</v>
      </c>
      <c r="BJ94" s="59">
        <v>-142.94</v>
      </c>
      <c r="BK94" s="58">
        <f t="shared" si="80"/>
        <v>2897.61</v>
      </c>
      <c r="BL94" s="59">
        <v>0</v>
      </c>
      <c r="BM94" s="59">
        <v>99.05</v>
      </c>
      <c r="BN94" s="59">
        <v>0</v>
      </c>
      <c r="BO94" s="59">
        <v>928.97</v>
      </c>
      <c r="BP94" s="59">
        <v>1357.45</v>
      </c>
      <c r="BQ94" s="59">
        <v>0</v>
      </c>
      <c r="BR94" s="59">
        <v>428.95</v>
      </c>
      <c r="BS94" s="59">
        <v>83.19</v>
      </c>
      <c r="BT94" s="58">
        <f t="shared" si="75"/>
        <v>843.62</v>
      </c>
      <c r="BU94" s="59">
        <v>0</v>
      </c>
      <c r="BV94" s="59">
        <v>15.36</v>
      </c>
      <c r="BW94" s="59">
        <v>0</v>
      </c>
      <c r="BX94" s="59">
        <v>0</v>
      </c>
      <c r="BY94" s="59">
        <v>87.82</v>
      </c>
      <c r="BZ94" s="59">
        <v>0</v>
      </c>
      <c r="CA94" s="59">
        <v>740.44</v>
      </c>
      <c r="CB94" s="58">
        <f>'Quarter final consumption'!B94</f>
        <v>42228.94000000001</v>
      </c>
      <c r="CC94" s="58">
        <f>'Quarter final consumption'!C94</f>
        <v>315.89999999999998</v>
      </c>
      <c r="CD94" s="58">
        <f>'Quarter final consumption'!D94</f>
        <v>152.59</v>
      </c>
      <c r="CE94" s="58">
        <f>'Quarter final consumption'!E94</f>
        <v>17032.52</v>
      </c>
      <c r="CF94" s="58">
        <f>'Quarter final consumption'!F94</f>
        <v>15619.369999999999</v>
      </c>
      <c r="CG94" s="58">
        <f>'Quarter final consumption'!G94</f>
        <v>1958.2600000000002</v>
      </c>
      <c r="CH94" s="58">
        <f>'Quarter final consumption'!H94</f>
        <v>6753.7300000000005</v>
      </c>
      <c r="CI94" s="71">
        <f>'Quarter final consumption'!I94</f>
        <v>396.57000000000005</v>
      </c>
    </row>
    <row r="95" spans="1:87" ht="15.5" x14ac:dyDescent="0.35">
      <c r="A95" s="50" t="s">
        <v>260</v>
      </c>
      <c r="B95" s="58">
        <f t="shared" si="61"/>
        <v>33372.25</v>
      </c>
      <c r="C95" s="58">
        <f t="shared" si="62"/>
        <v>907.4</v>
      </c>
      <c r="D95" s="58">
        <f t="shared" si="63"/>
        <v>201.44000000000003</v>
      </c>
      <c r="E95" s="58">
        <f t="shared" si="64"/>
        <v>11407.86</v>
      </c>
      <c r="F95" s="58">
        <f t="shared" si="65"/>
        <v>-638.75000000000182</v>
      </c>
      <c r="G95" s="58">
        <f t="shared" si="66"/>
        <v>12922.29</v>
      </c>
      <c r="H95" s="58">
        <f t="shared" si="67"/>
        <v>3965.67</v>
      </c>
      <c r="I95" s="58">
        <f t="shared" si="68"/>
        <v>4225.58</v>
      </c>
      <c r="J95" s="58">
        <f t="shared" si="69"/>
        <v>380.76000000000022</v>
      </c>
      <c r="K95" s="58">
        <f t="shared" ref="K95:K101" si="83">SUM(L95:S95)</f>
        <v>-18.309999999999945</v>
      </c>
      <c r="L95" s="59">
        <v>0</v>
      </c>
      <c r="M95" s="59">
        <v>-11.46</v>
      </c>
      <c r="N95" s="59">
        <v>-345.76</v>
      </c>
      <c r="O95" s="59">
        <v>343.19</v>
      </c>
      <c r="P95" s="59">
        <v>131.08000000000001</v>
      </c>
      <c r="Q95" s="59">
        <v>-135.36000000000001</v>
      </c>
      <c r="R95" s="59">
        <v>-1688.28</v>
      </c>
      <c r="S95" s="59">
        <v>1688.28</v>
      </c>
      <c r="T95" s="58">
        <f t="shared" ref="T95:T101" si="84">SUM(U95:AC95)</f>
        <v>-6392.1999999999989</v>
      </c>
      <c r="U95" s="58">
        <f t="shared" si="70"/>
        <v>-655.75</v>
      </c>
      <c r="V95" s="58">
        <f t="shared" si="71"/>
        <v>60.969999999999985</v>
      </c>
      <c r="W95" s="58">
        <f t="shared" si="58"/>
        <v>-11062.1</v>
      </c>
      <c r="X95" s="58">
        <f t="shared" si="59"/>
        <v>10843.630000000001</v>
      </c>
      <c r="Y95" s="58">
        <f t="shared" si="72"/>
        <v>-4697.8999999999996</v>
      </c>
      <c r="Z95" s="58">
        <f t="shared" si="73"/>
        <v>-2736.58</v>
      </c>
      <c r="AA95" s="58">
        <f t="shared" si="82"/>
        <v>-2537.3000000000002</v>
      </c>
      <c r="AB95" s="58">
        <f t="shared" si="82"/>
        <v>4044.84</v>
      </c>
      <c r="AC95" s="58">
        <f t="shared" ref="AC95:AC101" si="85">AR95</f>
        <v>347.99</v>
      </c>
      <c r="AD95" s="58">
        <f t="shared" ref="AD95:AD101" si="86">SUM(AE95:AK95)</f>
        <v>-5635.91</v>
      </c>
      <c r="AE95" s="59">
        <v>-102.69</v>
      </c>
      <c r="AF95" s="59">
        <v>-110.75</v>
      </c>
      <c r="AG95" s="59">
        <v>-68.33</v>
      </c>
      <c r="AH95" s="59">
        <v>-4171.4799999999996</v>
      </c>
      <c r="AI95" s="59">
        <v>-2690.2</v>
      </c>
      <c r="AJ95" s="59">
        <v>-2537.3000000000002</v>
      </c>
      <c r="AK95" s="59">
        <v>4044.84</v>
      </c>
      <c r="AL95" s="58">
        <f t="shared" si="76"/>
        <v>-235.81999999999994</v>
      </c>
      <c r="AM95" s="59">
        <v>-0.71</v>
      </c>
      <c r="AN95" s="59">
        <v>-0.28999999999999998</v>
      </c>
      <c r="AO95" s="59">
        <v>-10.01</v>
      </c>
      <c r="AP95" s="59">
        <v>-526.41999999999996</v>
      </c>
      <c r="AQ95" s="59">
        <v>-46.38</v>
      </c>
      <c r="AR95" s="59">
        <v>347.99</v>
      </c>
      <c r="AS95" s="58">
        <f t="shared" si="74"/>
        <v>-119.03000000000065</v>
      </c>
      <c r="AT95" s="59">
        <v>-11145.77</v>
      </c>
      <c r="AU95" s="59">
        <v>11026.74</v>
      </c>
      <c r="AV95" s="58">
        <f t="shared" si="77"/>
        <v>-16.430000000000007</v>
      </c>
      <c r="AW95" s="59">
        <v>-316.37</v>
      </c>
      <c r="AX95" s="59">
        <v>299.94</v>
      </c>
      <c r="AY95" s="59">
        <v>0</v>
      </c>
      <c r="AZ95" s="58">
        <f t="shared" si="78"/>
        <v>-371.04999999999995</v>
      </c>
      <c r="BA95" s="59">
        <v>-210.54</v>
      </c>
      <c r="BB95" s="59">
        <v>-160.51</v>
      </c>
      <c r="BC95" s="59">
        <v>0</v>
      </c>
      <c r="BD95" s="58">
        <f t="shared" si="79"/>
        <v>-5.5800000000000036</v>
      </c>
      <c r="BE95" s="59">
        <v>-25.44</v>
      </c>
      <c r="BF95" s="59">
        <v>32.58</v>
      </c>
      <c r="BG95" s="59">
        <v>-12.72</v>
      </c>
      <c r="BH95" s="58">
        <f t="shared" si="60"/>
        <v>-8.3799999999999955</v>
      </c>
      <c r="BI95" s="59">
        <v>83.67</v>
      </c>
      <c r="BJ95" s="59">
        <v>-92.05</v>
      </c>
      <c r="BK95" s="58">
        <f t="shared" si="80"/>
        <v>2679.05</v>
      </c>
      <c r="BL95" s="59">
        <v>0</v>
      </c>
      <c r="BM95" s="59">
        <v>93.94</v>
      </c>
      <c r="BN95" s="59">
        <v>0</v>
      </c>
      <c r="BO95" s="59">
        <v>730.86</v>
      </c>
      <c r="BP95" s="59">
        <v>1371.72</v>
      </c>
      <c r="BQ95" s="59">
        <v>0</v>
      </c>
      <c r="BR95" s="59">
        <v>399.34</v>
      </c>
      <c r="BS95" s="59">
        <v>83.19</v>
      </c>
      <c r="BT95" s="58">
        <f t="shared" si="75"/>
        <v>581.14</v>
      </c>
      <c r="BU95" s="59">
        <v>0</v>
      </c>
      <c r="BV95" s="59">
        <v>9.52</v>
      </c>
      <c r="BW95" s="59">
        <v>0</v>
      </c>
      <c r="BX95" s="59">
        <v>0</v>
      </c>
      <c r="BY95" s="59">
        <v>73.239999999999995</v>
      </c>
      <c r="BZ95" s="59">
        <v>0</v>
      </c>
      <c r="CA95" s="59">
        <v>498.38</v>
      </c>
      <c r="CB95" s="58">
        <f>'Quarter final consumption'!B95</f>
        <v>23690.61</v>
      </c>
      <c r="CC95" s="58">
        <f>'Quarter final consumption'!C95</f>
        <v>251.65</v>
      </c>
      <c r="CD95" s="58">
        <f>'Quarter final consumption'!D95</f>
        <v>147.49</v>
      </c>
      <c r="CE95" s="58">
        <f>'Quarter final consumption'!E95</f>
        <v>9817.2099999999991</v>
      </c>
      <c r="CF95" s="58">
        <f>'Quarter final consumption'!F95</f>
        <v>6910.51</v>
      </c>
      <c r="CG95" s="58">
        <f>'Quarter final consumption'!G95</f>
        <v>1093.73</v>
      </c>
      <c r="CH95" s="58">
        <f>'Quarter final consumption'!H95</f>
        <v>5216.16</v>
      </c>
      <c r="CI95" s="71">
        <f>'Quarter final consumption'!I95</f>
        <v>253.85999999999999</v>
      </c>
    </row>
    <row r="96" spans="1:87" ht="15.5" x14ac:dyDescent="0.35">
      <c r="A96" s="50" t="s">
        <v>261</v>
      </c>
      <c r="B96" s="58">
        <f t="shared" si="61"/>
        <v>36212.570000000007</v>
      </c>
      <c r="C96" s="58">
        <f t="shared" si="62"/>
        <v>990.93000000000006</v>
      </c>
      <c r="D96" s="58">
        <f t="shared" si="63"/>
        <v>185.01</v>
      </c>
      <c r="E96" s="58">
        <f t="shared" si="64"/>
        <v>12941.62</v>
      </c>
      <c r="F96" s="58">
        <f t="shared" si="65"/>
        <v>1899.4899999999998</v>
      </c>
      <c r="G96" s="58">
        <f t="shared" si="66"/>
        <v>12108.370000000003</v>
      </c>
      <c r="H96" s="58">
        <f t="shared" si="67"/>
        <v>3836.5399999999995</v>
      </c>
      <c r="I96" s="58">
        <f t="shared" si="68"/>
        <v>4076.3900000000003</v>
      </c>
      <c r="J96" s="58">
        <f t="shared" si="69"/>
        <v>174.21999999999935</v>
      </c>
      <c r="K96" s="58">
        <f t="shared" si="83"/>
        <v>-2.1099999999999</v>
      </c>
      <c r="L96" s="59">
        <v>0</v>
      </c>
      <c r="M96" s="59">
        <v>3.72</v>
      </c>
      <c r="N96" s="59">
        <v>-306.02999999999997</v>
      </c>
      <c r="O96" s="59">
        <v>304.35000000000002</v>
      </c>
      <c r="P96" s="59">
        <v>132.69999999999999</v>
      </c>
      <c r="Q96" s="59">
        <v>-136.85</v>
      </c>
      <c r="R96" s="59">
        <v>-1721.99</v>
      </c>
      <c r="S96" s="59">
        <v>1721.99</v>
      </c>
      <c r="T96" s="58">
        <f t="shared" si="84"/>
        <v>-6624.86</v>
      </c>
      <c r="U96" s="58">
        <f t="shared" si="70"/>
        <v>-707.33</v>
      </c>
      <c r="V96" s="58">
        <f t="shared" si="71"/>
        <v>72.20999999999998</v>
      </c>
      <c r="W96" s="58">
        <f t="shared" si="58"/>
        <v>-12635.59</v>
      </c>
      <c r="X96" s="58">
        <f t="shared" si="59"/>
        <v>12546.29</v>
      </c>
      <c r="Y96" s="58">
        <f t="shared" si="72"/>
        <v>-5810.5</v>
      </c>
      <c r="Z96" s="58">
        <f t="shared" si="73"/>
        <v>-2555.4199999999996</v>
      </c>
      <c r="AA96" s="58">
        <f t="shared" si="82"/>
        <v>-2354.4</v>
      </c>
      <c r="AB96" s="58">
        <f t="shared" si="82"/>
        <v>4518.37</v>
      </c>
      <c r="AC96" s="58">
        <f t="shared" si="85"/>
        <v>301.51</v>
      </c>
      <c r="AD96" s="58">
        <f t="shared" si="86"/>
        <v>-6031.1499999999987</v>
      </c>
      <c r="AE96" s="59">
        <v>-148.88999999999999</v>
      </c>
      <c r="AF96" s="59">
        <v>-104.51</v>
      </c>
      <c r="AG96" s="59">
        <v>-70.819999999999993</v>
      </c>
      <c r="AH96" s="59">
        <v>-5355.95</v>
      </c>
      <c r="AI96" s="59">
        <v>-2514.9499999999998</v>
      </c>
      <c r="AJ96" s="59">
        <v>-2354.4</v>
      </c>
      <c r="AK96" s="59">
        <v>4518.37</v>
      </c>
      <c r="AL96" s="58">
        <f t="shared" si="76"/>
        <v>-204.31000000000006</v>
      </c>
      <c r="AM96" s="59">
        <v>-0.52</v>
      </c>
      <c r="AN96" s="59">
        <v>-0.28999999999999998</v>
      </c>
      <c r="AO96" s="59">
        <v>-9.99</v>
      </c>
      <c r="AP96" s="59">
        <v>-454.55</v>
      </c>
      <c r="AQ96" s="59">
        <v>-40.47</v>
      </c>
      <c r="AR96" s="59">
        <v>301.51</v>
      </c>
      <c r="AS96" s="58">
        <f t="shared" si="74"/>
        <v>10.1299999999992</v>
      </c>
      <c r="AT96" s="59">
        <v>-12710.7</v>
      </c>
      <c r="AU96" s="59">
        <v>12720.83</v>
      </c>
      <c r="AV96" s="58">
        <f t="shared" si="77"/>
        <v>-20.70999999999998</v>
      </c>
      <c r="AW96" s="59">
        <v>-318.95999999999998</v>
      </c>
      <c r="AX96" s="59">
        <v>298.25</v>
      </c>
      <c r="AY96" s="59">
        <v>0</v>
      </c>
      <c r="AZ96" s="58">
        <f t="shared" si="78"/>
        <v>-365.93</v>
      </c>
      <c r="BA96" s="59">
        <v>-203.25</v>
      </c>
      <c r="BB96" s="59">
        <v>-162.68</v>
      </c>
      <c r="BC96" s="59">
        <v>0</v>
      </c>
      <c r="BD96" s="58">
        <f t="shared" si="79"/>
        <v>-5.8200000000000038</v>
      </c>
      <c r="BE96" s="59">
        <v>-35.71</v>
      </c>
      <c r="BF96" s="59">
        <v>41.44</v>
      </c>
      <c r="BG96" s="59">
        <v>-11.55</v>
      </c>
      <c r="BH96" s="58">
        <f t="shared" si="60"/>
        <v>-7.0700000000000074</v>
      </c>
      <c r="BI96" s="59">
        <v>75.11</v>
      </c>
      <c r="BJ96" s="59">
        <v>-82.18</v>
      </c>
      <c r="BK96" s="58">
        <f t="shared" si="80"/>
        <v>2619.7200000000003</v>
      </c>
      <c r="BL96" s="59">
        <v>0</v>
      </c>
      <c r="BM96" s="59">
        <v>92.14</v>
      </c>
      <c r="BN96" s="59">
        <v>0</v>
      </c>
      <c r="BO96" s="59">
        <v>824.11</v>
      </c>
      <c r="BP96" s="59">
        <v>1209.67</v>
      </c>
      <c r="BQ96" s="59">
        <v>0</v>
      </c>
      <c r="BR96" s="59">
        <v>410.61</v>
      </c>
      <c r="BS96" s="59">
        <v>83.19</v>
      </c>
      <c r="BT96" s="58">
        <f t="shared" si="75"/>
        <v>622.01</v>
      </c>
      <c r="BU96" s="59">
        <v>0</v>
      </c>
      <c r="BV96" s="59">
        <v>20.59</v>
      </c>
      <c r="BW96" s="59">
        <v>0</v>
      </c>
      <c r="BX96" s="59">
        <v>0</v>
      </c>
      <c r="BY96" s="59">
        <v>70.599999999999994</v>
      </c>
      <c r="BZ96" s="59">
        <v>0</v>
      </c>
      <c r="CA96" s="59">
        <v>530.82000000000005</v>
      </c>
      <c r="CB96" s="58">
        <f>'Quarter final consumption'!B96</f>
        <v>26344.240000000002</v>
      </c>
      <c r="CC96" s="58">
        <f>'Quarter final consumption'!C96</f>
        <v>283.59999999999997</v>
      </c>
      <c r="CD96" s="58">
        <f>'Quarter final consumption'!D96</f>
        <v>148.20999999999998</v>
      </c>
      <c r="CE96" s="58">
        <f>'Quarter final consumption'!E96</f>
        <v>13926.02</v>
      </c>
      <c r="CF96" s="58">
        <f>'Quarter final consumption'!F96</f>
        <v>5150.3000000000011</v>
      </c>
      <c r="CG96" s="58">
        <f>'Quarter final consumption'!G96</f>
        <v>1144.27</v>
      </c>
      <c r="CH96" s="58">
        <f>'Quarter final consumption'!H96</f>
        <v>5473.15</v>
      </c>
      <c r="CI96" s="71">
        <f>'Quarter final consumption'!I96</f>
        <v>218.69000000000003</v>
      </c>
    </row>
    <row r="97" spans="1:87" ht="15.5" x14ac:dyDescent="0.35">
      <c r="A97" s="50" t="s">
        <v>262</v>
      </c>
      <c r="B97" s="58">
        <f t="shared" si="61"/>
        <v>48530.770000000004</v>
      </c>
      <c r="C97" s="58">
        <f t="shared" si="62"/>
        <v>1217.6199999999999</v>
      </c>
      <c r="D97" s="58">
        <f t="shared" si="63"/>
        <v>215.63</v>
      </c>
      <c r="E97" s="58">
        <f t="shared" si="64"/>
        <v>13787.64</v>
      </c>
      <c r="F97" s="58">
        <f t="shared" si="65"/>
        <v>895.11000000000058</v>
      </c>
      <c r="G97" s="58">
        <f t="shared" si="66"/>
        <v>22047.27</v>
      </c>
      <c r="H97" s="58">
        <f t="shared" si="67"/>
        <v>4730.6900000000005</v>
      </c>
      <c r="I97" s="58">
        <f t="shared" si="68"/>
        <v>5163.75</v>
      </c>
      <c r="J97" s="58">
        <f t="shared" si="69"/>
        <v>473.0600000000004</v>
      </c>
      <c r="K97" s="58">
        <f t="shared" si="83"/>
        <v>-15.730000000000018</v>
      </c>
      <c r="L97" s="59">
        <v>0</v>
      </c>
      <c r="M97" s="59">
        <v>2.81</v>
      </c>
      <c r="N97" s="59">
        <v>-453.35</v>
      </c>
      <c r="O97" s="59">
        <v>439.24</v>
      </c>
      <c r="P97" s="59">
        <v>132.41999999999999</v>
      </c>
      <c r="Q97" s="59">
        <v>-136.85</v>
      </c>
      <c r="R97" s="59">
        <v>-2120.36</v>
      </c>
      <c r="S97" s="59">
        <v>2120.36</v>
      </c>
      <c r="T97" s="58">
        <f t="shared" si="84"/>
        <v>-7657.87</v>
      </c>
      <c r="U97" s="58">
        <f t="shared" si="70"/>
        <v>-918.12</v>
      </c>
      <c r="V97" s="58">
        <f t="shared" si="71"/>
        <v>62.339999999999989</v>
      </c>
      <c r="W97" s="58">
        <f t="shared" si="58"/>
        <v>-13334.289999999999</v>
      </c>
      <c r="X97" s="58">
        <f t="shared" si="59"/>
        <v>13132.529999999999</v>
      </c>
      <c r="Y97" s="58">
        <f t="shared" si="72"/>
        <v>-6257.9500000000007</v>
      </c>
      <c r="Z97" s="58">
        <f t="shared" si="73"/>
        <v>-2770.37</v>
      </c>
      <c r="AA97" s="58">
        <f t="shared" si="82"/>
        <v>-3043.39</v>
      </c>
      <c r="AB97" s="58">
        <f t="shared" si="82"/>
        <v>5022.28</v>
      </c>
      <c r="AC97" s="58">
        <f t="shared" si="85"/>
        <v>449.1</v>
      </c>
      <c r="AD97" s="58">
        <f t="shared" si="86"/>
        <v>-6846.670000000001</v>
      </c>
      <c r="AE97" s="59">
        <v>-348.08</v>
      </c>
      <c r="AF97" s="59">
        <v>-103.4</v>
      </c>
      <c r="AG97" s="59">
        <v>-87.73</v>
      </c>
      <c r="AH97" s="59">
        <v>-5575.22</v>
      </c>
      <c r="AI97" s="59">
        <v>-2711.13</v>
      </c>
      <c r="AJ97" s="59">
        <v>-3043.39</v>
      </c>
      <c r="AK97" s="59">
        <v>5022.28</v>
      </c>
      <c r="AL97" s="58">
        <f t="shared" si="76"/>
        <v>-304.33000000000004</v>
      </c>
      <c r="AM97" s="59">
        <v>-1.1200000000000001</v>
      </c>
      <c r="AN97" s="59">
        <v>-0.28999999999999998</v>
      </c>
      <c r="AO97" s="59">
        <v>-10.050000000000001</v>
      </c>
      <c r="AP97" s="59">
        <v>-682.73</v>
      </c>
      <c r="AQ97" s="59">
        <v>-59.24</v>
      </c>
      <c r="AR97" s="59">
        <v>449.1</v>
      </c>
      <c r="AS97" s="58">
        <f t="shared" si="74"/>
        <v>-67.219999999999345</v>
      </c>
      <c r="AT97" s="59">
        <v>-13458.39</v>
      </c>
      <c r="AU97" s="59">
        <v>13391.17</v>
      </c>
      <c r="AV97" s="58">
        <f t="shared" si="77"/>
        <v>-17.120000000000005</v>
      </c>
      <c r="AW97" s="59">
        <v>-322.70999999999998</v>
      </c>
      <c r="AX97" s="59">
        <v>305.58999999999997</v>
      </c>
      <c r="AY97" s="59">
        <v>0</v>
      </c>
      <c r="AZ97" s="58">
        <f t="shared" si="78"/>
        <v>-400.81</v>
      </c>
      <c r="BA97" s="59">
        <v>-224.36</v>
      </c>
      <c r="BB97" s="59">
        <v>-176.45</v>
      </c>
      <c r="BC97" s="59">
        <v>0</v>
      </c>
      <c r="BD97" s="58">
        <f t="shared" si="79"/>
        <v>-9.3800000000000026</v>
      </c>
      <c r="BE97" s="59">
        <v>-21.85</v>
      </c>
      <c r="BF97" s="59">
        <v>36.89</v>
      </c>
      <c r="BG97" s="59">
        <v>-24.42</v>
      </c>
      <c r="BH97" s="58">
        <f t="shared" si="60"/>
        <v>-12.340000000000003</v>
      </c>
      <c r="BI97" s="59">
        <v>124.1</v>
      </c>
      <c r="BJ97" s="59">
        <v>-136.44</v>
      </c>
      <c r="BK97" s="58">
        <f t="shared" si="80"/>
        <v>2837.22</v>
      </c>
      <c r="BL97" s="59">
        <v>0</v>
      </c>
      <c r="BM97" s="59">
        <v>99.31</v>
      </c>
      <c r="BN97" s="59">
        <v>0</v>
      </c>
      <c r="BO97" s="59">
        <v>902.48</v>
      </c>
      <c r="BP97" s="59">
        <v>1314.86</v>
      </c>
      <c r="BQ97" s="59">
        <v>0</v>
      </c>
      <c r="BR97" s="59">
        <v>437.38</v>
      </c>
      <c r="BS97" s="59">
        <v>83.19</v>
      </c>
      <c r="BT97" s="58">
        <f t="shared" si="75"/>
        <v>703.39</v>
      </c>
      <c r="BU97" s="59">
        <v>0</v>
      </c>
      <c r="BV97" s="59">
        <v>34.630000000000003</v>
      </c>
      <c r="BW97" s="59">
        <v>0</v>
      </c>
      <c r="BX97" s="59">
        <v>0</v>
      </c>
      <c r="BY97" s="59">
        <v>84.85</v>
      </c>
      <c r="BZ97" s="59">
        <v>0</v>
      </c>
      <c r="CA97" s="59">
        <v>583.91</v>
      </c>
      <c r="CB97" s="58">
        <f>'Quarter final consumption'!B97</f>
        <v>37331.459999999992</v>
      </c>
      <c r="CC97" s="58">
        <f>'Quarter final consumption'!C97</f>
        <v>299.49999999999994</v>
      </c>
      <c r="CD97" s="58">
        <f>'Quarter final consumption'!D97</f>
        <v>146.83999999999997</v>
      </c>
      <c r="CE97" s="58">
        <f>'Quarter final consumption'!E97</f>
        <v>13564.4</v>
      </c>
      <c r="CF97" s="58">
        <f>'Quarter final consumption'!F97</f>
        <v>14522.029999999999</v>
      </c>
      <c r="CG97" s="58">
        <f>'Quarter final consumption'!G97</f>
        <v>1823.4700000000003</v>
      </c>
      <c r="CH97" s="58">
        <f>'Quarter final consumption'!H97</f>
        <v>6594.41</v>
      </c>
      <c r="CI97" s="71">
        <f>'Quarter final consumption'!I97</f>
        <v>380.81</v>
      </c>
    </row>
    <row r="98" spans="1:87" ht="15.5" x14ac:dyDescent="0.35">
      <c r="A98" s="50" t="s">
        <v>263</v>
      </c>
      <c r="B98" s="58">
        <f t="shared" si="61"/>
        <v>50027.57</v>
      </c>
      <c r="C98" s="58">
        <f t="shared" si="62"/>
        <v>1431.93</v>
      </c>
      <c r="D98" s="58">
        <f t="shared" si="63"/>
        <v>204.01999999999998</v>
      </c>
      <c r="E98" s="58">
        <f t="shared" si="64"/>
        <v>10775.09</v>
      </c>
      <c r="F98" s="58">
        <f t="shared" si="65"/>
        <v>2073.0899999999983</v>
      </c>
      <c r="G98" s="58">
        <f t="shared" si="66"/>
        <v>25251.06</v>
      </c>
      <c r="H98" s="58">
        <f t="shared" si="67"/>
        <v>5104.84</v>
      </c>
      <c r="I98" s="58">
        <f t="shared" si="68"/>
        <v>4620.04</v>
      </c>
      <c r="J98" s="58">
        <f t="shared" si="69"/>
        <v>567.5</v>
      </c>
      <c r="K98" s="58">
        <f t="shared" si="83"/>
        <v>-6.8200000000001637</v>
      </c>
      <c r="L98" s="59">
        <v>0</v>
      </c>
      <c r="M98" s="59">
        <v>3.71</v>
      </c>
      <c r="N98" s="59">
        <v>-161.69</v>
      </c>
      <c r="O98" s="59">
        <v>156.08000000000001</v>
      </c>
      <c r="P98" s="59">
        <v>132.49</v>
      </c>
      <c r="Q98" s="59">
        <v>-137.41</v>
      </c>
      <c r="R98" s="59">
        <v>-2127.54</v>
      </c>
      <c r="S98" s="59">
        <v>2127.54</v>
      </c>
      <c r="T98" s="58">
        <f t="shared" si="84"/>
        <v>-7878.0499999999993</v>
      </c>
      <c r="U98" s="58">
        <f t="shared" si="70"/>
        <v>-1130.2</v>
      </c>
      <c r="V98" s="58">
        <f t="shared" si="71"/>
        <v>69.400000000000006</v>
      </c>
      <c r="W98" s="58">
        <f t="shared" si="58"/>
        <v>-10613.4</v>
      </c>
      <c r="X98" s="58">
        <f t="shared" si="59"/>
        <v>10392.08</v>
      </c>
      <c r="Y98" s="58">
        <f t="shared" si="72"/>
        <v>-6636.7699999999995</v>
      </c>
      <c r="Z98" s="58">
        <f t="shared" si="73"/>
        <v>-3026.45</v>
      </c>
      <c r="AA98" s="58">
        <f t="shared" si="82"/>
        <v>-2492.5</v>
      </c>
      <c r="AB98" s="58">
        <f t="shared" si="82"/>
        <v>5065.63</v>
      </c>
      <c r="AC98" s="58">
        <f t="shared" si="85"/>
        <v>494.16</v>
      </c>
      <c r="AD98" s="58">
        <f t="shared" si="86"/>
        <v>-7114.6499999999987</v>
      </c>
      <c r="AE98" s="59">
        <v>-601.51</v>
      </c>
      <c r="AF98" s="59">
        <v>-101.08</v>
      </c>
      <c r="AG98" s="59">
        <v>-136.47999999999999</v>
      </c>
      <c r="AH98" s="59">
        <v>-5890.44</v>
      </c>
      <c r="AI98" s="59">
        <v>-2958.27</v>
      </c>
      <c r="AJ98" s="59">
        <v>-2492.5</v>
      </c>
      <c r="AK98" s="59">
        <v>5065.63</v>
      </c>
      <c r="AL98" s="58">
        <f t="shared" si="76"/>
        <v>-338.93000000000012</v>
      </c>
      <c r="AM98" s="59">
        <v>-1.3</v>
      </c>
      <c r="AN98" s="59">
        <v>-0.28999999999999998</v>
      </c>
      <c r="AO98" s="59">
        <v>-16.989999999999998</v>
      </c>
      <c r="AP98" s="59">
        <v>-746.33</v>
      </c>
      <c r="AQ98" s="59">
        <v>-68.180000000000007</v>
      </c>
      <c r="AR98" s="59">
        <v>494.16</v>
      </c>
      <c r="AS98" s="58">
        <f t="shared" si="74"/>
        <v>-38.350000000000364</v>
      </c>
      <c r="AT98" s="59">
        <v>-10707.24</v>
      </c>
      <c r="AU98" s="59">
        <v>10668.89</v>
      </c>
      <c r="AV98" s="58">
        <f t="shared" si="77"/>
        <v>-18.930000000000007</v>
      </c>
      <c r="AW98" s="59">
        <v>-305.92</v>
      </c>
      <c r="AX98" s="59">
        <v>286.99</v>
      </c>
      <c r="AY98" s="59">
        <v>0</v>
      </c>
      <c r="AZ98" s="58">
        <f t="shared" si="78"/>
        <v>-351.15</v>
      </c>
      <c r="BA98" s="59">
        <v>-200.43</v>
      </c>
      <c r="BB98" s="59">
        <v>-150.72</v>
      </c>
      <c r="BC98" s="59">
        <v>0</v>
      </c>
      <c r="BD98" s="58">
        <f t="shared" si="79"/>
        <v>-6.5999999999999979</v>
      </c>
      <c r="BE98" s="59">
        <v>-21.04</v>
      </c>
      <c r="BF98" s="59">
        <v>34.5</v>
      </c>
      <c r="BG98" s="59">
        <v>-20.059999999999999</v>
      </c>
      <c r="BH98" s="58">
        <f t="shared" si="60"/>
        <v>-9.4399999999999977</v>
      </c>
      <c r="BI98" s="59">
        <v>93.84</v>
      </c>
      <c r="BJ98" s="59">
        <v>-103.28</v>
      </c>
      <c r="BK98" s="58">
        <f t="shared" si="80"/>
        <v>2521.19</v>
      </c>
      <c r="BL98" s="59">
        <v>0</v>
      </c>
      <c r="BM98" s="59">
        <v>94.59</v>
      </c>
      <c r="BN98" s="59">
        <v>0</v>
      </c>
      <c r="BO98" s="59">
        <v>738.39</v>
      </c>
      <c r="BP98" s="59">
        <v>1205.2</v>
      </c>
      <c r="BQ98" s="59">
        <v>0</v>
      </c>
      <c r="BR98" s="59">
        <v>400.55</v>
      </c>
      <c r="BS98" s="59">
        <v>82.46</v>
      </c>
      <c r="BT98" s="58">
        <f t="shared" si="75"/>
        <v>813.55000000000007</v>
      </c>
      <c r="BU98" s="59">
        <v>0</v>
      </c>
      <c r="BV98" s="59">
        <v>26.9</v>
      </c>
      <c r="BW98" s="59">
        <v>0</v>
      </c>
      <c r="BX98" s="59">
        <v>0</v>
      </c>
      <c r="BY98" s="59">
        <v>73.680000000000007</v>
      </c>
      <c r="BZ98" s="59">
        <v>0</v>
      </c>
      <c r="CA98" s="59">
        <v>712.97</v>
      </c>
      <c r="CB98" s="58">
        <f>'Quarter final consumption'!B98</f>
        <v>38819.670000000006</v>
      </c>
      <c r="CC98" s="58">
        <f>'Quarter final consumption'!C98</f>
        <v>301.73</v>
      </c>
      <c r="CD98" s="58">
        <f>'Quarter final consumption'!D98</f>
        <v>155.63999999999999</v>
      </c>
      <c r="CE98" s="58">
        <f>'Quarter final consumption'!E98</f>
        <v>11882.859999999999</v>
      </c>
      <c r="CF98" s="58">
        <f>'Quarter final consumption'!F98</f>
        <v>17467.900000000001</v>
      </c>
      <c r="CG98" s="58">
        <f>'Quarter final consumption'!G98</f>
        <v>1940.98</v>
      </c>
      <c r="CH98" s="58">
        <f>'Quarter final consumption'!H98</f>
        <v>6647.15</v>
      </c>
      <c r="CI98" s="71">
        <f>'Quarter final consumption'!I98</f>
        <v>423.40999999999997</v>
      </c>
    </row>
    <row r="99" spans="1:87" ht="15.5" x14ac:dyDescent="0.35">
      <c r="A99" s="50" t="s">
        <v>264</v>
      </c>
      <c r="B99" s="58">
        <f t="shared" si="61"/>
        <v>40893.199999999997</v>
      </c>
      <c r="C99" s="58">
        <f t="shared" si="62"/>
        <v>1073.8199999999997</v>
      </c>
      <c r="D99" s="58">
        <f t="shared" si="63"/>
        <v>223.38000000000005</v>
      </c>
      <c r="E99" s="58">
        <f t="shared" si="64"/>
        <v>13045.710000000001</v>
      </c>
      <c r="F99" s="58">
        <f t="shared" si="65"/>
        <v>1761.7100000000009</v>
      </c>
      <c r="G99" s="58">
        <f t="shared" si="66"/>
        <v>15969.369999999999</v>
      </c>
      <c r="H99" s="58">
        <f t="shared" si="67"/>
        <v>4314.6399999999994</v>
      </c>
      <c r="I99" s="58">
        <f t="shared" si="68"/>
        <v>3974.7599999999998</v>
      </c>
      <c r="J99" s="58">
        <f t="shared" si="69"/>
        <v>529.8100000000004</v>
      </c>
      <c r="K99" s="58">
        <f t="shared" si="83"/>
        <v>-10.25</v>
      </c>
      <c r="L99" s="59">
        <v>0</v>
      </c>
      <c r="M99" s="59">
        <v>3.68</v>
      </c>
      <c r="N99" s="59">
        <v>298.70999999999998</v>
      </c>
      <c r="O99" s="59">
        <v>-306.89</v>
      </c>
      <c r="P99" s="59">
        <v>133.18</v>
      </c>
      <c r="Q99" s="59">
        <v>-138.93</v>
      </c>
      <c r="R99" s="59">
        <v>-1495.79</v>
      </c>
      <c r="S99" s="59">
        <v>1495.79</v>
      </c>
      <c r="T99" s="58">
        <f t="shared" si="84"/>
        <v>-7332.73</v>
      </c>
      <c r="U99" s="58">
        <f t="shared" si="70"/>
        <v>-789.54999999999984</v>
      </c>
      <c r="V99" s="58">
        <f t="shared" si="71"/>
        <v>52.509999999999955</v>
      </c>
      <c r="W99" s="58">
        <f t="shared" si="58"/>
        <v>-13344.42</v>
      </c>
      <c r="X99" s="58">
        <f t="shared" si="59"/>
        <v>13049.41</v>
      </c>
      <c r="Y99" s="58">
        <f t="shared" si="72"/>
        <v>-6041.8899999999994</v>
      </c>
      <c r="Z99" s="58">
        <f t="shared" si="73"/>
        <v>-2870.04</v>
      </c>
      <c r="AA99" s="58">
        <f t="shared" ref="AA99:AB101" si="87">AJ99</f>
        <v>-2478.9699999999998</v>
      </c>
      <c r="AB99" s="58">
        <f t="shared" si="87"/>
        <v>4716.9399999999996</v>
      </c>
      <c r="AC99" s="58">
        <f t="shared" si="85"/>
        <v>373.28</v>
      </c>
      <c r="AD99" s="58">
        <f t="shared" si="86"/>
        <v>-6485.9299999999994</v>
      </c>
      <c r="AE99" s="59">
        <v>-207.74</v>
      </c>
      <c r="AF99" s="59">
        <v>-95.67</v>
      </c>
      <c r="AG99" s="59">
        <v>-119.76</v>
      </c>
      <c r="AH99" s="59">
        <v>-5483.23</v>
      </c>
      <c r="AI99" s="59">
        <v>-2817.5</v>
      </c>
      <c r="AJ99" s="59">
        <v>-2478.9699999999998</v>
      </c>
      <c r="AK99" s="59">
        <v>4716.9399999999996</v>
      </c>
      <c r="AL99" s="58">
        <f t="shared" si="76"/>
        <v>-255.9799999999999</v>
      </c>
      <c r="AM99" s="59">
        <v>-0.82</v>
      </c>
      <c r="AN99" s="59">
        <v>-0.28999999999999998</v>
      </c>
      <c r="AO99" s="59">
        <v>-16.95</v>
      </c>
      <c r="AP99" s="59">
        <v>-558.66</v>
      </c>
      <c r="AQ99" s="59">
        <v>-52.54</v>
      </c>
      <c r="AR99" s="59">
        <v>373.28</v>
      </c>
      <c r="AS99" s="58">
        <f t="shared" si="74"/>
        <v>-135.08000000000175</v>
      </c>
      <c r="AT99" s="59">
        <v>-13426.79</v>
      </c>
      <c r="AU99" s="59">
        <v>13291.71</v>
      </c>
      <c r="AV99" s="58">
        <f t="shared" si="77"/>
        <v>-24.189999999999998</v>
      </c>
      <c r="AW99" s="59">
        <v>-312.52999999999997</v>
      </c>
      <c r="AX99" s="59">
        <v>288.33999999999997</v>
      </c>
      <c r="AY99" s="59">
        <v>0</v>
      </c>
      <c r="AZ99" s="58">
        <f t="shared" si="78"/>
        <v>-419.39</v>
      </c>
      <c r="BA99" s="59">
        <v>-244.56</v>
      </c>
      <c r="BB99" s="59">
        <v>-174.83</v>
      </c>
      <c r="BC99" s="59">
        <v>0</v>
      </c>
      <c r="BD99" s="58">
        <f t="shared" si="79"/>
        <v>-3.9999999999999982</v>
      </c>
      <c r="BE99" s="59">
        <v>-23.9</v>
      </c>
      <c r="BF99" s="59">
        <v>34.96</v>
      </c>
      <c r="BG99" s="59">
        <v>-15.06</v>
      </c>
      <c r="BH99" s="58">
        <f t="shared" si="60"/>
        <v>-8.1599999999999966</v>
      </c>
      <c r="BI99" s="59">
        <v>82.37</v>
      </c>
      <c r="BJ99" s="59">
        <v>-90.53</v>
      </c>
      <c r="BK99" s="58">
        <f t="shared" si="80"/>
        <v>2356.25</v>
      </c>
      <c r="BL99" s="59">
        <v>0</v>
      </c>
      <c r="BM99" s="59">
        <v>92.91</v>
      </c>
      <c r="BN99" s="59">
        <v>0</v>
      </c>
      <c r="BO99" s="59">
        <v>860.55</v>
      </c>
      <c r="BP99" s="59">
        <v>933.71</v>
      </c>
      <c r="BQ99" s="59">
        <v>0</v>
      </c>
      <c r="BR99" s="59">
        <v>386.62</v>
      </c>
      <c r="BS99" s="59">
        <v>82.46</v>
      </c>
      <c r="BT99" s="58">
        <f t="shared" si="75"/>
        <v>741.41000000000008</v>
      </c>
      <c r="BU99" s="59">
        <v>0</v>
      </c>
      <c r="BV99" s="59">
        <v>40.47</v>
      </c>
      <c r="BW99" s="59">
        <v>0</v>
      </c>
      <c r="BX99" s="59">
        <v>0</v>
      </c>
      <c r="BY99" s="59">
        <v>131.1</v>
      </c>
      <c r="BZ99" s="59">
        <v>0</v>
      </c>
      <c r="CA99" s="59">
        <v>569.84</v>
      </c>
      <c r="CB99" s="58">
        <f>'Quarter final consumption'!B99</f>
        <v>30446.940000000006</v>
      </c>
      <c r="CC99" s="58">
        <f>'Quarter final consumption'!C99</f>
        <v>284.27</v>
      </c>
      <c r="CD99" s="58">
        <f>'Quarter final consumption'!D99</f>
        <v>146.19000000000003</v>
      </c>
      <c r="CE99" s="58">
        <f>'Quarter final consumption'!E99</f>
        <v>13643.680000000002</v>
      </c>
      <c r="CF99" s="58">
        <f>'Quarter final consumption'!F99</f>
        <v>8995.85</v>
      </c>
      <c r="CG99" s="58">
        <f>'Quarter final consumption'!G99</f>
        <v>1305.67</v>
      </c>
      <c r="CH99" s="58">
        <f>'Quarter final consumption'!H99</f>
        <v>5786.08</v>
      </c>
      <c r="CI99" s="71">
        <f>'Quarter final consumption'!I99</f>
        <v>285.20000000000005</v>
      </c>
    </row>
    <row r="100" spans="1:87" ht="15.5" x14ac:dyDescent="0.35">
      <c r="A100" s="50" t="s">
        <v>488</v>
      </c>
      <c r="B100" s="58">
        <f t="shared" ref="B100" si="88">SUM(C100:J100)</f>
        <v>36542.46</v>
      </c>
      <c r="C100" s="58">
        <f t="shared" ref="C100" si="89">-L100-U100+BL100+BU100+CC100</f>
        <v>1113.5500000000002</v>
      </c>
      <c r="D100" s="58">
        <f t="shared" ref="D100" si="90">-M100-V100+BM100+BV100+CD100</f>
        <v>237.17000000000002</v>
      </c>
      <c r="E100" s="58">
        <f t="shared" ref="E100" si="91">-N100-W100+BN100+BW100</f>
        <v>14595.63</v>
      </c>
      <c r="F100" s="58">
        <f t="shared" ref="F100" si="92">-O100-X100+BO100+BX100+CE100</f>
        <v>996.73999999999978</v>
      </c>
      <c r="G100" s="58">
        <f t="shared" ref="G100" si="93">-P100-Y100+BP100+BY100+CF100</f>
        <v>11403.11</v>
      </c>
      <c r="H100" s="58">
        <f t="shared" ref="H100" si="94">-Q100-Z100+BQ100+BZ100+CG100</f>
        <v>3956.5</v>
      </c>
      <c r="I100" s="58">
        <f t="shared" ref="I100" si="95">-R100-AA100</f>
        <v>3590.2700000000004</v>
      </c>
      <c r="J100" s="58">
        <f t="shared" ref="J100" si="96">-S100-AB100+BR100+CA100+CH100</f>
        <v>649.48999999999887</v>
      </c>
      <c r="K100" s="58">
        <f t="shared" ref="K100" si="97">SUM(L100:S100)</f>
        <v>80.069999999999936</v>
      </c>
      <c r="L100" s="59">
        <v>0</v>
      </c>
      <c r="M100" s="59">
        <v>4.9000000000000004</v>
      </c>
      <c r="N100" s="59">
        <v>-177.52</v>
      </c>
      <c r="O100" s="59">
        <v>261</v>
      </c>
      <c r="P100" s="59">
        <v>132.15</v>
      </c>
      <c r="Q100" s="59">
        <v>-140.46</v>
      </c>
      <c r="R100" s="59">
        <v>-1274.8900000000001</v>
      </c>
      <c r="S100" s="59">
        <v>1274.8900000000001</v>
      </c>
      <c r="T100" s="58">
        <f t="shared" ref="T100" si="98">SUM(U100:AC100)</f>
        <v>-6825.64</v>
      </c>
      <c r="U100" s="58">
        <f t="shared" ref="U100" si="99">AE100+AM100+AW100+BA100+BE100</f>
        <v>-845.00000000000011</v>
      </c>
      <c r="V100" s="58">
        <f t="shared" ref="V100" si="100">AF100+AN100+AX100+BB100+BF100</f>
        <v>42.68</v>
      </c>
      <c r="W100" s="58">
        <f t="shared" ref="W100" si="101">AT100+BI100</f>
        <v>-14418.109999999999</v>
      </c>
      <c r="X100" s="58">
        <f t="shared" ref="X100" si="102">AG100+AO100+AU100+AY100+BC100+BG100+BJ100</f>
        <v>14198.369999999999</v>
      </c>
      <c r="Y100" s="58">
        <f t="shared" ref="Y100" si="103">AH100+AP100</f>
        <v>-5593.39</v>
      </c>
      <c r="Z100" s="58">
        <f t="shared" ref="Z100" si="104">AI100+AQ100</f>
        <v>-2713.37</v>
      </c>
      <c r="AA100" s="58">
        <f t="shared" si="87"/>
        <v>-2315.38</v>
      </c>
      <c r="AB100" s="58">
        <f t="shared" si="87"/>
        <v>4523.72</v>
      </c>
      <c r="AC100" s="58">
        <f t="shared" ref="AC100" si="105">AR100</f>
        <v>294.83999999999997</v>
      </c>
      <c r="AD100" s="58">
        <f t="shared" ref="AD100" si="106">SUM(AE100:AK100)</f>
        <v>-6204.7199999999984</v>
      </c>
      <c r="AE100" s="59">
        <v>-386.39</v>
      </c>
      <c r="AF100" s="59">
        <v>-80.92</v>
      </c>
      <c r="AG100" s="59">
        <v>-118.3</v>
      </c>
      <c r="AH100" s="59">
        <v>-5156.5</v>
      </c>
      <c r="AI100" s="59">
        <v>-2670.95</v>
      </c>
      <c r="AJ100" s="59">
        <v>-2315.38</v>
      </c>
      <c r="AK100" s="59">
        <v>4523.72</v>
      </c>
      <c r="AL100" s="58">
        <f t="shared" ref="AL100" si="107">SUM(AM100:AR100)</f>
        <v>-202.19000000000005</v>
      </c>
      <c r="AM100" s="59">
        <v>-0.5</v>
      </c>
      <c r="AN100" s="59">
        <v>-0.28999999999999998</v>
      </c>
      <c r="AO100" s="59">
        <v>-16.93</v>
      </c>
      <c r="AP100" s="59">
        <v>-436.89</v>
      </c>
      <c r="AQ100" s="59">
        <v>-42.42</v>
      </c>
      <c r="AR100" s="59">
        <v>294.83999999999997</v>
      </c>
      <c r="AS100" s="58">
        <f t="shared" ref="AS100" si="108">SUM(AT100:AU100)</f>
        <v>-56.049999999999272</v>
      </c>
      <c r="AT100" s="59">
        <v>-14493.21</v>
      </c>
      <c r="AU100" s="59">
        <v>14437.16</v>
      </c>
      <c r="AV100" s="58">
        <f t="shared" ref="AV100" si="109">SUM(AW100:AY100)</f>
        <v>-17.839999999999975</v>
      </c>
      <c r="AW100" s="59">
        <v>-274.07</v>
      </c>
      <c r="AX100" s="59">
        <v>256.23</v>
      </c>
      <c r="AY100" s="59">
        <v>0</v>
      </c>
      <c r="AZ100" s="58">
        <f t="shared" ref="AZ100" si="110">SUM(BA100:BC100)</f>
        <v>-330.59000000000003</v>
      </c>
      <c r="BA100" s="59">
        <v>-162.6</v>
      </c>
      <c r="BB100" s="59">
        <v>-167.99</v>
      </c>
      <c r="BC100" s="59">
        <v>0</v>
      </c>
      <c r="BD100" s="58">
        <f t="shared" ref="BD100" si="111">SUM(BE100:BG100)</f>
        <v>9.9999999999997868E-2</v>
      </c>
      <c r="BE100" s="59">
        <v>-21.44</v>
      </c>
      <c r="BF100" s="59">
        <v>35.65</v>
      </c>
      <c r="BG100" s="59">
        <v>-14.11</v>
      </c>
      <c r="BH100" s="58">
        <f t="shared" ref="BH100" si="112">SUM(BI100:BJ100)</f>
        <v>-14.350000000000009</v>
      </c>
      <c r="BI100" s="59">
        <v>75.099999999999994</v>
      </c>
      <c r="BJ100" s="59">
        <v>-89.45</v>
      </c>
      <c r="BK100" s="58">
        <f t="shared" ref="BK100" si="113">SUM(BL100:BS100)</f>
        <v>2583.0299999999997</v>
      </c>
      <c r="BL100" s="59">
        <v>0</v>
      </c>
      <c r="BM100" s="59">
        <v>92.49</v>
      </c>
      <c r="BN100" s="59">
        <v>0</v>
      </c>
      <c r="BO100" s="59">
        <v>877.16</v>
      </c>
      <c r="BP100" s="59">
        <v>1137.8599999999999</v>
      </c>
      <c r="BQ100" s="59">
        <v>0</v>
      </c>
      <c r="BR100" s="59">
        <v>393.06</v>
      </c>
      <c r="BS100" s="59">
        <v>82.46</v>
      </c>
      <c r="BT100" s="58">
        <f t="shared" ref="BT100" si="114">SUM(BU100:CA100)</f>
        <v>578.32999999999993</v>
      </c>
      <c r="BU100" s="59">
        <v>0</v>
      </c>
      <c r="BV100" s="59">
        <v>44.97</v>
      </c>
      <c r="BW100" s="59">
        <v>0</v>
      </c>
      <c r="BX100" s="59">
        <v>0</v>
      </c>
      <c r="BY100" s="59">
        <v>54.34</v>
      </c>
      <c r="BZ100" s="59">
        <v>0</v>
      </c>
      <c r="CA100" s="59">
        <v>479.02</v>
      </c>
      <c r="CB100" s="58">
        <f>'Quarter final consumption'!B100</f>
        <v>26627.98</v>
      </c>
      <c r="CC100" s="58">
        <f>'Quarter final consumption'!C100</f>
        <v>268.55</v>
      </c>
      <c r="CD100" s="58">
        <f>'Quarter final consumption'!D100</f>
        <v>147.29000000000002</v>
      </c>
      <c r="CE100" s="58">
        <f>'Quarter final consumption'!E100</f>
        <v>14578.949999999999</v>
      </c>
      <c r="CF100" s="58">
        <f>'Quarter final consumption'!F100</f>
        <v>4749.67</v>
      </c>
      <c r="CG100" s="58">
        <f>'Quarter final consumption'!G100</f>
        <v>1102.67</v>
      </c>
      <c r="CH100" s="58">
        <f>'Quarter final consumption'!H100</f>
        <v>5576.0199999999995</v>
      </c>
      <c r="CI100" s="71">
        <f>'Quarter final consumption'!I100</f>
        <v>204.83</v>
      </c>
    </row>
    <row r="101" spans="1:87" ht="15.5" x14ac:dyDescent="0.35">
      <c r="A101" s="50" t="s">
        <v>489</v>
      </c>
      <c r="B101" s="58">
        <f t="shared" si="61"/>
        <v>48734.090000000004</v>
      </c>
      <c r="C101" s="58">
        <f t="shared" si="62"/>
        <v>1225.0899999999999</v>
      </c>
      <c r="D101" s="58">
        <f t="shared" si="63"/>
        <v>260.03999999999996</v>
      </c>
      <c r="E101" s="58">
        <f t="shared" si="64"/>
        <v>14388.16</v>
      </c>
      <c r="F101" s="58">
        <f t="shared" si="65"/>
        <v>2172.5800000000036</v>
      </c>
      <c r="G101" s="58">
        <f t="shared" si="66"/>
        <v>20369.98</v>
      </c>
      <c r="H101" s="58">
        <f t="shared" si="67"/>
        <v>5075.8899999999994</v>
      </c>
      <c r="I101" s="58">
        <f t="shared" si="68"/>
        <v>4852.47</v>
      </c>
      <c r="J101" s="58">
        <f t="shared" si="69"/>
        <v>389.8799999999992</v>
      </c>
      <c r="K101" s="58">
        <f t="shared" si="83"/>
        <v>-26.679999999999836</v>
      </c>
      <c r="L101" s="59">
        <v>0</v>
      </c>
      <c r="M101" s="59">
        <v>7.63</v>
      </c>
      <c r="N101" s="59">
        <v>178.76</v>
      </c>
      <c r="O101" s="59">
        <v>-201.61</v>
      </c>
      <c r="P101" s="59">
        <v>129</v>
      </c>
      <c r="Q101" s="59">
        <v>-140.46</v>
      </c>
      <c r="R101" s="59">
        <v>-2193.46</v>
      </c>
      <c r="S101" s="59">
        <v>2193.46</v>
      </c>
      <c r="T101" s="58">
        <f t="shared" si="84"/>
        <v>-7651.89</v>
      </c>
      <c r="U101" s="58">
        <f t="shared" si="70"/>
        <v>-970.14</v>
      </c>
      <c r="V101" s="58">
        <f t="shared" si="71"/>
        <v>56.25</v>
      </c>
      <c r="W101" s="58">
        <f t="shared" si="58"/>
        <v>-14566.92</v>
      </c>
      <c r="X101" s="58">
        <f t="shared" si="59"/>
        <v>14270.31</v>
      </c>
      <c r="Y101" s="58">
        <f t="shared" si="72"/>
        <v>-5985.02</v>
      </c>
      <c r="Z101" s="58">
        <f t="shared" si="73"/>
        <v>-3119.5</v>
      </c>
      <c r="AA101" s="58">
        <f t="shared" si="87"/>
        <v>-2659.01</v>
      </c>
      <c r="AB101" s="58">
        <f t="shared" si="87"/>
        <v>4904.13</v>
      </c>
      <c r="AC101" s="58">
        <f t="shared" si="85"/>
        <v>418.01</v>
      </c>
      <c r="AD101" s="58">
        <f t="shared" si="86"/>
        <v>-6887.5999999999995</v>
      </c>
      <c r="AE101" s="59">
        <v>-468.68</v>
      </c>
      <c r="AF101" s="59">
        <v>-118.38</v>
      </c>
      <c r="AG101" s="59">
        <v>-127.55</v>
      </c>
      <c r="AH101" s="59">
        <v>-5356.92</v>
      </c>
      <c r="AI101" s="59">
        <v>-3061.19</v>
      </c>
      <c r="AJ101" s="59">
        <v>-2659.01</v>
      </c>
      <c r="AK101" s="59">
        <v>4904.13</v>
      </c>
      <c r="AL101" s="58">
        <f t="shared" si="76"/>
        <v>-286.66000000000008</v>
      </c>
      <c r="AM101" s="59">
        <v>-0.99</v>
      </c>
      <c r="AN101" s="59">
        <v>-0.28999999999999998</v>
      </c>
      <c r="AO101" s="59">
        <v>-16.98</v>
      </c>
      <c r="AP101" s="59">
        <v>-628.1</v>
      </c>
      <c r="AQ101" s="59">
        <v>-58.31</v>
      </c>
      <c r="AR101" s="59">
        <v>418.01</v>
      </c>
      <c r="AS101" s="58">
        <f t="shared" si="74"/>
        <v>-124.55999999999949</v>
      </c>
      <c r="AT101" s="59">
        <v>-14643.38</v>
      </c>
      <c r="AU101" s="59">
        <v>14518.82</v>
      </c>
      <c r="AV101" s="58">
        <f t="shared" si="77"/>
        <v>-17.949999999999989</v>
      </c>
      <c r="AW101" s="59">
        <v>-281.37</v>
      </c>
      <c r="AX101" s="59">
        <v>263.42</v>
      </c>
      <c r="AY101" s="59">
        <v>0</v>
      </c>
      <c r="AZ101" s="58">
        <f t="shared" si="78"/>
        <v>-324.58000000000004</v>
      </c>
      <c r="BA101" s="59">
        <v>-197.58</v>
      </c>
      <c r="BB101" s="59">
        <v>-127</v>
      </c>
      <c r="BC101" s="59">
        <v>0</v>
      </c>
      <c r="BD101" s="58">
        <f t="shared" si="79"/>
        <v>7.58</v>
      </c>
      <c r="BE101" s="59">
        <v>-21.52</v>
      </c>
      <c r="BF101" s="59">
        <v>38.5</v>
      </c>
      <c r="BG101" s="59">
        <v>-9.4</v>
      </c>
      <c r="BH101" s="58">
        <f t="shared" si="60"/>
        <v>-18.120000000000005</v>
      </c>
      <c r="BI101" s="59">
        <v>76.459999999999994</v>
      </c>
      <c r="BJ101" s="59">
        <v>-94.58</v>
      </c>
      <c r="BK101" s="58">
        <f t="shared" si="80"/>
        <v>2616.77</v>
      </c>
      <c r="BL101" s="59">
        <v>0</v>
      </c>
      <c r="BM101" s="59">
        <v>111.71</v>
      </c>
      <c r="BN101" s="59">
        <v>0</v>
      </c>
      <c r="BO101" s="59">
        <v>842.78</v>
      </c>
      <c r="BP101" s="59">
        <v>1182.5</v>
      </c>
      <c r="BQ101" s="59">
        <v>0</v>
      </c>
      <c r="BR101" s="59">
        <v>397.32</v>
      </c>
      <c r="BS101" s="59">
        <v>82.46</v>
      </c>
      <c r="BT101" s="58">
        <f t="shared" si="75"/>
        <v>684.03</v>
      </c>
      <c r="BU101" s="59">
        <v>0</v>
      </c>
      <c r="BV101" s="59">
        <v>34.659999999999997</v>
      </c>
      <c r="BW101" s="59">
        <v>0</v>
      </c>
      <c r="BX101" s="59">
        <v>0</v>
      </c>
      <c r="BY101" s="59">
        <v>75.16</v>
      </c>
      <c r="BZ101" s="59">
        <v>0</v>
      </c>
      <c r="CA101" s="59">
        <v>574.21</v>
      </c>
      <c r="CB101" s="58">
        <f>'Quarter final consumption'!B101</f>
        <v>37756.19</v>
      </c>
      <c r="CC101" s="58">
        <f>'Quarter final consumption'!C101</f>
        <v>254.95</v>
      </c>
      <c r="CD101" s="58">
        <f>'Quarter final consumption'!D101</f>
        <v>177.55</v>
      </c>
      <c r="CE101" s="58">
        <f>'Quarter final consumption'!E101</f>
        <v>15398.500000000002</v>
      </c>
      <c r="CF101" s="58">
        <f>'Quarter final consumption'!F101</f>
        <v>13256.3</v>
      </c>
      <c r="CG101" s="58">
        <f>'Quarter final consumption'!G101</f>
        <v>1815.9299999999998</v>
      </c>
      <c r="CH101" s="58">
        <f>'Quarter final consumption'!H101</f>
        <v>6515.94</v>
      </c>
      <c r="CI101" s="71">
        <f>'Quarter final consumption'!I101</f>
        <v>337.02</v>
      </c>
    </row>
    <row r="102" spans="1:87" ht="15.5" x14ac:dyDescent="0.35">
      <c r="A102" s="50" t="s">
        <v>492</v>
      </c>
      <c r="B102" s="58">
        <f t="shared" ref="B102" si="115">SUM(C102:J102)</f>
        <v>49792.330000000009</v>
      </c>
      <c r="C102" s="58">
        <f t="shared" ref="C102" si="116">-L102-U102+BL102+BU102+CC102</f>
        <v>1365.15</v>
      </c>
      <c r="D102" s="58">
        <f t="shared" ref="D102" si="117">-M102-V102+BM102+BV102+CD102</f>
        <v>190.82999999999998</v>
      </c>
      <c r="E102" s="58">
        <f t="shared" ref="E102" si="118">-N102-W102+BN102+BW102</f>
        <v>14933.259999999998</v>
      </c>
      <c r="F102" s="58">
        <f t="shared" ref="F102" si="119">-O102-X102+BO102+BX102+CE102</f>
        <v>586.40999999999985</v>
      </c>
      <c r="G102" s="58">
        <f t="shared" ref="G102" si="120">-P102-Y102+BP102+BY102+CF102</f>
        <v>21892.85</v>
      </c>
      <c r="H102" s="58">
        <f t="shared" ref="H102" si="121">-Q102-Z102+BQ102+BZ102+CG102</f>
        <v>5228.0200000000004</v>
      </c>
      <c r="I102" s="58">
        <f t="shared" ref="I102" si="122">-R102-AA102</f>
        <v>5145.54</v>
      </c>
      <c r="J102" s="58">
        <f t="shared" ref="J102" si="123">-S102-AB102+BR102+CA102+CH102</f>
        <v>450.27000000000135</v>
      </c>
      <c r="K102" s="58">
        <f t="shared" ref="K102" si="124">SUM(L102:S102)</f>
        <v>-11.639999999999873</v>
      </c>
      <c r="L102" s="59">
        <v>0</v>
      </c>
      <c r="M102" s="59">
        <v>9.06</v>
      </c>
      <c r="N102" s="59">
        <v>85.95</v>
      </c>
      <c r="O102" s="59">
        <v>-94.17</v>
      </c>
      <c r="P102" s="59">
        <v>131.65</v>
      </c>
      <c r="Q102" s="59">
        <v>-144.13</v>
      </c>
      <c r="R102" s="59">
        <v>-2446.31</v>
      </c>
      <c r="S102" s="59">
        <v>2446.31</v>
      </c>
      <c r="T102" s="58">
        <f t="shared" ref="T102" si="125">SUM(U102:AC102)</f>
        <v>-7551.9199999999992</v>
      </c>
      <c r="U102" s="58">
        <f t="shared" ref="U102" si="126">AE102+AM102+AW102+BA102+BE102</f>
        <v>-1033.47</v>
      </c>
      <c r="V102" s="58">
        <f t="shared" ref="V102" si="127">AF102+AN102+AX102+BB102+BF102</f>
        <v>41.429999999999993</v>
      </c>
      <c r="W102" s="58">
        <f t="shared" ref="W102" si="128">AT102+BI102</f>
        <v>-15019.21</v>
      </c>
      <c r="X102" s="58">
        <f t="shared" ref="X102" si="129">AG102+AO102+AU102+AY102+BC102+BG102+BJ102</f>
        <v>14665.710000000001</v>
      </c>
      <c r="Y102" s="58">
        <f t="shared" ref="Y102" si="130">AH102+AP102</f>
        <v>-5712.74</v>
      </c>
      <c r="Z102" s="58">
        <f t="shared" ref="Z102" si="131">AI102+AQ102</f>
        <v>-3050.94</v>
      </c>
      <c r="AA102" s="58">
        <f t="shared" ref="AA102" si="132">AJ102</f>
        <v>-2699.23</v>
      </c>
      <c r="AB102" s="58">
        <f t="shared" ref="AB102" si="133">AK102</f>
        <v>4764.74</v>
      </c>
      <c r="AC102" s="58">
        <f t="shared" ref="AC102" si="134">AR102</f>
        <v>491.79</v>
      </c>
      <c r="AD102" s="58">
        <f t="shared" ref="AD102:AD103" si="135">SUM(AE102:AK102)</f>
        <v>-6726.2699999999986</v>
      </c>
      <c r="AE102" s="59">
        <v>-602.58000000000004</v>
      </c>
      <c r="AF102" s="59">
        <v>-95.49</v>
      </c>
      <c r="AG102" s="59">
        <v>-140.57</v>
      </c>
      <c r="AH102" s="59">
        <v>-4974.7299999999996</v>
      </c>
      <c r="AI102" s="59">
        <v>-2978.41</v>
      </c>
      <c r="AJ102" s="59">
        <v>-2699.23</v>
      </c>
      <c r="AK102" s="59">
        <v>4764.74</v>
      </c>
      <c r="AL102" s="58">
        <f t="shared" si="76"/>
        <v>-334.80999999999989</v>
      </c>
      <c r="AM102" s="59">
        <v>0</v>
      </c>
      <c r="AN102" s="59">
        <v>0</v>
      </c>
      <c r="AO102" s="59">
        <v>-16.059999999999999</v>
      </c>
      <c r="AP102" s="59">
        <v>-738.01</v>
      </c>
      <c r="AQ102" s="59">
        <v>-72.53</v>
      </c>
      <c r="AR102" s="59">
        <v>491.79</v>
      </c>
      <c r="AS102" s="58">
        <f t="shared" si="74"/>
        <v>-175.92000000000007</v>
      </c>
      <c r="AT102" s="59">
        <v>-15100.06</v>
      </c>
      <c r="AU102" s="59">
        <v>14924.14</v>
      </c>
      <c r="AV102" s="58">
        <f t="shared" si="77"/>
        <v>-13.72999999999999</v>
      </c>
      <c r="AW102" s="59">
        <v>-244.73</v>
      </c>
      <c r="AX102" s="59">
        <v>231</v>
      </c>
      <c r="AY102" s="59">
        <v>0</v>
      </c>
      <c r="AZ102" s="58">
        <f t="shared" si="78"/>
        <v>-284.06</v>
      </c>
      <c r="BA102" s="59">
        <v>-161.24</v>
      </c>
      <c r="BB102" s="59">
        <v>-122.82</v>
      </c>
      <c r="BC102" s="59">
        <v>0</v>
      </c>
      <c r="BD102" s="58">
        <f t="shared" si="79"/>
        <v>-7.5600000000000041</v>
      </c>
      <c r="BE102" s="59">
        <v>-24.92</v>
      </c>
      <c r="BF102" s="59">
        <v>28.74</v>
      </c>
      <c r="BG102" s="59">
        <v>-11.38</v>
      </c>
      <c r="BH102" s="58">
        <f t="shared" si="60"/>
        <v>-9.5700000000000074</v>
      </c>
      <c r="BI102" s="59">
        <v>80.849999999999994</v>
      </c>
      <c r="BJ102" s="59">
        <v>-90.42</v>
      </c>
      <c r="BK102" s="58">
        <f t="shared" si="80"/>
        <v>2738.52</v>
      </c>
      <c r="BL102" s="59">
        <v>0</v>
      </c>
      <c r="BM102" s="59">
        <v>84</v>
      </c>
      <c r="BN102" s="59">
        <v>0</v>
      </c>
      <c r="BO102" s="59">
        <v>971.12</v>
      </c>
      <c r="BP102" s="59">
        <v>1191.6500000000001</v>
      </c>
      <c r="BQ102" s="59">
        <v>0</v>
      </c>
      <c r="BR102" s="59">
        <v>409.35</v>
      </c>
      <c r="BS102" s="59">
        <v>82.4</v>
      </c>
      <c r="BT102" s="58">
        <f t="shared" si="75"/>
        <v>911.84</v>
      </c>
      <c r="BU102" s="59">
        <v>0</v>
      </c>
      <c r="BV102" s="59">
        <v>17.059999999999999</v>
      </c>
      <c r="BW102" s="59">
        <v>0</v>
      </c>
      <c r="BX102" s="59">
        <v>0</v>
      </c>
      <c r="BY102" s="59">
        <v>160.43</v>
      </c>
      <c r="BZ102" s="59">
        <v>0</v>
      </c>
      <c r="CA102" s="59">
        <v>734.35</v>
      </c>
      <c r="CB102" s="58">
        <f>'Quarter final consumption'!B102</f>
        <v>38590.69</v>
      </c>
      <c r="CC102" s="58">
        <f>'Quarter final consumption'!C102</f>
        <v>331.68</v>
      </c>
      <c r="CD102" s="58">
        <f>'Quarter final consumption'!D102</f>
        <v>140.26</v>
      </c>
      <c r="CE102" s="58">
        <f>'Quarter final consumption'!E102</f>
        <v>14186.83</v>
      </c>
      <c r="CF102" s="58">
        <f>'Quarter final consumption'!F102</f>
        <v>14959.68</v>
      </c>
      <c r="CG102" s="58">
        <f>'Quarter final consumption'!G102</f>
        <v>2032.95</v>
      </c>
      <c r="CH102" s="58">
        <f>'Quarter final consumption'!H102</f>
        <v>6517.62</v>
      </c>
      <c r="CI102" s="71">
        <f>'Quarter final consumption'!I102</f>
        <v>421.67</v>
      </c>
    </row>
    <row r="103" spans="1:87" ht="15.5" x14ac:dyDescent="0.35">
      <c r="A103" s="50" t="s">
        <v>493</v>
      </c>
      <c r="B103" s="58">
        <f t="shared" ref="B103" si="136">SUM(C103:J103)</f>
        <v>40248.120000000003</v>
      </c>
      <c r="C103" s="58">
        <f t="shared" ref="C103" si="137">-L103-U103+BL103+BU103+CC103</f>
        <v>863.98</v>
      </c>
      <c r="D103" s="58">
        <f t="shared" ref="D103" si="138">-M103-V103+BM103+BV103+CD103</f>
        <v>334.61</v>
      </c>
      <c r="E103" s="58">
        <f t="shared" ref="E103" si="139">-N103-W103+BN103+BW103</f>
        <v>15199.7</v>
      </c>
      <c r="F103" s="58">
        <f t="shared" ref="F103" si="140">-O103-X103+BO103+BX103+CE103</f>
        <v>1089.7199999999993</v>
      </c>
      <c r="G103" s="58">
        <f t="shared" ref="G103" si="141">-P103-Y103+BP103+BY103+CF103</f>
        <v>14231.400000000001</v>
      </c>
      <c r="H103" s="58">
        <f t="shared" ref="H103" si="142">-Q103-Z103+BQ103+BZ103+CG103</f>
        <v>4140.07</v>
      </c>
      <c r="I103" s="58">
        <f t="shared" ref="I103" si="143">-R103-AA103</f>
        <v>4722.32</v>
      </c>
      <c r="J103" s="58">
        <f t="shared" ref="J103" si="144">-S103-AB103+BR103+CA103+CH103</f>
        <v>-333.67999999999938</v>
      </c>
      <c r="K103" s="58">
        <f t="shared" ref="K103" si="145">SUM(L103:S103)</f>
        <v>-11.1400000000001</v>
      </c>
      <c r="L103" s="59">
        <v>0</v>
      </c>
      <c r="M103" s="59">
        <v>16.04</v>
      </c>
      <c r="N103" s="59">
        <v>-5.95</v>
      </c>
      <c r="O103" s="59">
        <v>-10.15</v>
      </c>
      <c r="P103" s="59">
        <v>134.65</v>
      </c>
      <c r="Q103" s="59">
        <v>-145.72999999999999</v>
      </c>
      <c r="R103" s="59">
        <v>-1930.24</v>
      </c>
      <c r="S103" s="59">
        <v>1930.24</v>
      </c>
      <c r="T103" s="58">
        <f t="shared" ref="T103" si="146">SUM(U103:AC103)</f>
        <v>-7403.48</v>
      </c>
      <c r="U103" s="58">
        <f t="shared" ref="U103" si="147">AE103+AM103+AW103+BA103+BE103</f>
        <v>-585.24</v>
      </c>
      <c r="V103" s="58">
        <f t="shared" ref="V103" si="148">AF103+AN103+AX103+BB103+BF103</f>
        <v>-104.23999999999998</v>
      </c>
      <c r="W103" s="58">
        <f t="shared" ref="W103" si="149">AT103+BI103</f>
        <v>-15193.75</v>
      </c>
      <c r="X103" s="58">
        <f t="shared" ref="X103" si="150">AG103+AO103+AU103+AY103+BC103+BG103+BJ103</f>
        <v>14811.97</v>
      </c>
      <c r="Y103" s="58">
        <f t="shared" ref="Y103" si="151">AH103+AP103</f>
        <v>-6139.2300000000005</v>
      </c>
      <c r="Z103" s="58">
        <f t="shared" ref="Z103" si="152">AI103+AQ103</f>
        <v>-2538.85</v>
      </c>
      <c r="AA103" s="58">
        <f t="shared" ref="AA103" si="153">AJ103</f>
        <v>-2792.08</v>
      </c>
      <c r="AB103" s="58">
        <f t="shared" ref="AB103" si="154">AK103</f>
        <v>4788.93</v>
      </c>
      <c r="AC103" s="58">
        <f t="shared" ref="AC103" si="155">AR103</f>
        <v>349.01</v>
      </c>
      <c r="AD103" s="58">
        <f t="shared" si="135"/>
        <v>-6484.73</v>
      </c>
      <c r="AE103" s="59">
        <v>-121.88</v>
      </c>
      <c r="AF103" s="59">
        <v>-111.64</v>
      </c>
      <c r="AG103" s="59">
        <v>-140.57</v>
      </c>
      <c r="AH103" s="59">
        <v>-5622.55</v>
      </c>
      <c r="AI103" s="59">
        <v>-2484.94</v>
      </c>
      <c r="AJ103" s="59">
        <v>-2792.08</v>
      </c>
      <c r="AK103" s="59">
        <v>4788.93</v>
      </c>
      <c r="AL103" s="58">
        <f t="shared" si="76"/>
        <v>-237.58999999999992</v>
      </c>
      <c r="AM103" s="59">
        <v>0</v>
      </c>
      <c r="AN103" s="59">
        <v>0</v>
      </c>
      <c r="AO103" s="59">
        <v>-16.010000000000002</v>
      </c>
      <c r="AP103" s="59">
        <v>-516.67999999999995</v>
      </c>
      <c r="AQ103" s="59">
        <v>-53.91</v>
      </c>
      <c r="AR103" s="59">
        <v>349.01</v>
      </c>
      <c r="AS103" s="58">
        <f t="shared" si="74"/>
        <v>-202.54999999999927</v>
      </c>
      <c r="AT103" s="59">
        <v>-15267.71</v>
      </c>
      <c r="AU103" s="59">
        <v>15065.16</v>
      </c>
      <c r="AV103" s="58">
        <f t="shared" si="77"/>
        <v>-12.280000000000001</v>
      </c>
      <c r="AW103" s="59">
        <v>-230.88</v>
      </c>
      <c r="AX103" s="59">
        <v>218.6</v>
      </c>
      <c r="AY103" s="59">
        <v>0</v>
      </c>
      <c r="AZ103" s="58">
        <f t="shared" si="78"/>
        <v>-449.43</v>
      </c>
      <c r="BA103" s="59">
        <v>-207.27</v>
      </c>
      <c r="BB103" s="59">
        <v>-242.16</v>
      </c>
      <c r="BC103" s="59">
        <v>0</v>
      </c>
      <c r="BD103" s="58">
        <f t="shared" si="79"/>
        <v>-7.57</v>
      </c>
      <c r="BE103" s="59">
        <v>-25.21</v>
      </c>
      <c r="BF103" s="59">
        <v>30.96</v>
      </c>
      <c r="BG103" s="59">
        <v>-13.32</v>
      </c>
      <c r="BH103" s="58">
        <f t="shared" si="60"/>
        <v>-9.3300000000000125</v>
      </c>
      <c r="BI103" s="59">
        <v>73.959999999999994</v>
      </c>
      <c r="BJ103" s="59">
        <v>-83.29</v>
      </c>
      <c r="BK103" s="58">
        <f t="shared" si="80"/>
        <v>2618.3200000000002</v>
      </c>
      <c r="BL103" s="59">
        <v>0</v>
      </c>
      <c r="BM103" s="59">
        <v>93.18</v>
      </c>
      <c r="BN103" s="59">
        <v>0</v>
      </c>
      <c r="BO103" s="59">
        <v>917.47</v>
      </c>
      <c r="BP103" s="59">
        <v>1143.71</v>
      </c>
      <c r="BQ103" s="59">
        <v>0</v>
      </c>
      <c r="BR103" s="59">
        <v>381.56</v>
      </c>
      <c r="BS103" s="59">
        <v>82.4</v>
      </c>
      <c r="BT103" s="58">
        <f t="shared" si="75"/>
        <v>667.34999999999991</v>
      </c>
      <c r="BU103" s="59">
        <v>0</v>
      </c>
      <c r="BV103" s="59">
        <v>14.59</v>
      </c>
      <c r="BW103" s="59">
        <v>0</v>
      </c>
      <c r="BX103" s="59">
        <v>0</v>
      </c>
      <c r="BY103" s="59">
        <v>125.34</v>
      </c>
      <c r="BZ103" s="59">
        <v>0</v>
      </c>
      <c r="CA103" s="59">
        <v>527.41999999999996</v>
      </c>
      <c r="CB103" s="58">
        <f>'Quarter final consumption'!B103</f>
        <v>29535.83</v>
      </c>
      <c r="CC103" s="58">
        <f>'Quarter final consumption'!C103</f>
        <v>278.73999999999995</v>
      </c>
      <c r="CD103" s="58">
        <f>'Quarter final consumption'!D103</f>
        <v>138.63999999999999</v>
      </c>
      <c r="CE103" s="58">
        <f>'Quarter final consumption'!E103</f>
        <v>14974.07</v>
      </c>
      <c r="CF103" s="58">
        <f>'Quarter final consumption'!F103</f>
        <v>6957.7699999999995</v>
      </c>
      <c r="CG103" s="58">
        <f>'Quarter final consumption'!G103</f>
        <v>1455.4899999999998</v>
      </c>
      <c r="CH103" s="58">
        <f>'Quarter final consumption'!H103</f>
        <v>5476.51</v>
      </c>
      <c r="CI103" s="71">
        <f>'Quarter final consumption'!I103</f>
        <v>254.61</v>
      </c>
    </row>
    <row r="104" spans="1:87" ht="15.5" x14ac:dyDescent="0.35">
      <c r="A104" s="50" t="s">
        <v>496</v>
      </c>
      <c r="B104" s="58">
        <f t="shared" ref="B104" si="156">SUM(C104:J104)</f>
        <v>37461.660000000003</v>
      </c>
      <c r="C104" s="58">
        <f t="shared" ref="C104" si="157">-L104-U104+BL104+BU104+CC104</f>
        <v>983.08999999999992</v>
      </c>
      <c r="D104" s="58">
        <f t="shared" ref="D104" si="158">-M104-V104+BM104+BV104+CD104</f>
        <v>321.32</v>
      </c>
      <c r="E104" s="58">
        <f t="shared" ref="E104" si="159">-N104-W104+BN104+BW104</f>
        <v>14491.48</v>
      </c>
      <c r="F104" s="58">
        <f t="shared" ref="F104" si="160">-O104-X104+BO104+BX104+CE104</f>
        <v>1974.130000000001</v>
      </c>
      <c r="G104" s="58">
        <f t="shared" ref="G104" si="161">-P104-Y104+BP104+BY104+CF104</f>
        <v>11884.630000000001</v>
      </c>
      <c r="H104" s="58">
        <f t="shared" ref="H104" si="162">-Q104-Z104+BQ104+BZ104+CG104</f>
        <v>4249.6399999999994</v>
      </c>
      <c r="I104" s="58">
        <f t="shared" ref="I104" si="163">-R104-AA104</f>
        <v>3977.55</v>
      </c>
      <c r="J104" s="58">
        <f t="shared" ref="J104" si="164">-S104-AB104+BR104+CA104+CH104</f>
        <v>-420.1800000000012</v>
      </c>
      <c r="K104" s="58">
        <f t="shared" ref="K104" si="165">SUM(L104:S104)</f>
        <v>-21.470000000000027</v>
      </c>
      <c r="L104" s="59">
        <v>0</v>
      </c>
      <c r="M104" s="59">
        <v>2.0099999999999998</v>
      </c>
      <c r="N104" s="59">
        <v>85.12</v>
      </c>
      <c r="O104" s="59">
        <v>-101.34</v>
      </c>
      <c r="P104" s="59">
        <v>140.07</v>
      </c>
      <c r="Q104" s="59">
        <v>-147.33000000000001</v>
      </c>
      <c r="R104" s="59">
        <v>-1633.64</v>
      </c>
      <c r="S104" s="59">
        <v>1633.64</v>
      </c>
      <c r="T104" s="58">
        <f t="shared" ref="T104" si="166">SUM(U104:AC104)</f>
        <v>-7539.3600000000006</v>
      </c>
      <c r="U104" s="58">
        <f t="shared" ref="U104" si="167">AE104+AM104+AW104+BA104+BE104</f>
        <v>-780.14</v>
      </c>
      <c r="V104" s="58">
        <f t="shared" ref="V104" si="168">AF104+AN104+AX104+BB104+BF104</f>
        <v>-81.47999999999999</v>
      </c>
      <c r="W104" s="58">
        <f t="shared" ref="W104" si="169">AT104+BI104</f>
        <v>-14576.6</v>
      </c>
      <c r="X104" s="58">
        <f t="shared" ref="X104" si="170">AG104+AO104+AU104+AY104+BC104+BG104+BJ104</f>
        <v>14262.710000000001</v>
      </c>
      <c r="Y104" s="58">
        <f t="shared" ref="Y104" si="171">AH104+AP104</f>
        <v>-6487.8</v>
      </c>
      <c r="Z104" s="58">
        <f t="shared" ref="Z104" si="172">AI104+AQ104</f>
        <v>-2817.98</v>
      </c>
      <c r="AA104" s="58">
        <f t="shared" ref="AA104" si="173">AJ104</f>
        <v>-2343.91</v>
      </c>
      <c r="AB104" s="58">
        <f t="shared" ref="AB104" si="174">AK104</f>
        <v>4994.26</v>
      </c>
      <c r="AC104" s="58">
        <f t="shared" ref="AC104" si="175">AR104</f>
        <v>291.58</v>
      </c>
      <c r="AD104" s="58">
        <f t="shared" ref="AD104:AD106" si="176">SUM(AE104:AK104)</f>
        <v>-6784.2300000000014</v>
      </c>
      <c r="AE104" s="59">
        <v>-357.43</v>
      </c>
      <c r="AF104" s="59">
        <v>-104.89</v>
      </c>
      <c r="AG104" s="59">
        <v>-140.57</v>
      </c>
      <c r="AH104" s="59">
        <v>-6060.14</v>
      </c>
      <c r="AI104" s="59">
        <v>-2771.55</v>
      </c>
      <c r="AJ104" s="59">
        <v>-2343.91</v>
      </c>
      <c r="AK104" s="59">
        <v>4994.26</v>
      </c>
      <c r="AL104" s="58">
        <f t="shared" ref="AL104:AL117" si="177">SUM(AM104:AR104)</f>
        <v>-198.50000000000006</v>
      </c>
      <c r="AM104" s="59">
        <v>0</v>
      </c>
      <c r="AN104" s="59">
        <v>0</v>
      </c>
      <c r="AO104" s="59">
        <v>-15.99</v>
      </c>
      <c r="AP104" s="59">
        <v>-427.66</v>
      </c>
      <c r="AQ104" s="59">
        <v>-46.43</v>
      </c>
      <c r="AR104" s="59">
        <v>291.58</v>
      </c>
      <c r="AS104" s="58">
        <f t="shared" ref="AS104:AS117" si="178">SUM(AT104:AU104)</f>
        <v>-143.38999999999942</v>
      </c>
      <c r="AT104" s="59">
        <v>-14657.31</v>
      </c>
      <c r="AU104" s="59">
        <v>14513.92</v>
      </c>
      <c r="AV104" s="58">
        <f t="shared" ref="AV104:AV117" si="179">SUM(AW104:AY104)</f>
        <v>-13.680000000000007</v>
      </c>
      <c r="AW104" s="59">
        <v>-232.08</v>
      </c>
      <c r="AX104" s="59">
        <v>218.4</v>
      </c>
      <c r="AY104" s="59">
        <v>0</v>
      </c>
      <c r="AZ104" s="58">
        <f t="shared" ref="AZ104:AZ117" si="180">SUM(BA104:BC104)</f>
        <v>-398.72</v>
      </c>
      <c r="BA104" s="59">
        <v>-166.88</v>
      </c>
      <c r="BB104" s="59">
        <v>-231.84</v>
      </c>
      <c r="BC104" s="59">
        <v>0</v>
      </c>
      <c r="BD104" s="58">
        <f t="shared" ref="BD104:BD117" si="181">SUM(BE104:BG104)</f>
        <v>2.5400000000000009</v>
      </c>
      <c r="BE104" s="59">
        <v>-23.75</v>
      </c>
      <c r="BF104" s="59">
        <v>36.85</v>
      </c>
      <c r="BG104" s="59">
        <v>-10.56</v>
      </c>
      <c r="BH104" s="58">
        <f t="shared" ref="BH104:BH117" si="182">SUM(BI104:BJ104)</f>
        <v>-3.3800000000000097</v>
      </c>
      <c r="BI104" s="59">
        <v>80.709999999999994</v>
      </c>
      <c r="BJ104" s="59">
        <v>-84.09</v>
      </c>
      <c r="BK104" s="58">
        <f t="shared" ref="BK104:BK117" si="183">SUM(BL104:BS104)</f>
        <v>2535.1600000000003</v>
      </c>
      <c r="BL104" s="59">
        <v>0</v>
      </c>
      <c r="BM104" s="59">
        <v>89.71</v>
      </c>
      <c r="BN104" s="59">
        <v>0</v>
      </c>
      <c r="BO104" s="59">
        <v>916.17</v>
      </c>
      <c r="BP104" s="59">
        <v>1066.1600000000001</v>
      </c>
      <c r="BQ104" s="59">
        <v>0</v>
      </c>
      <c r="BR104" s="59">
        <v>380.72</v>
      </c>
      <c r="BS104" s="59">
        <v>82.4</v>
      </c>
      <c r="BT104" s="58">
        <f t="shared" ref="BT104:BT117" si="184">SUM(BU104:CA104)</f>
        <v>637.37</v>
      </c>
      <c r="BU104" s="59">
        <v>0</v>
      </c>
      <c r="BV104" s="59">
        <v>12.53</v>
      </c>
      <c r="BW104" s="59">
        <v>0</v>
      </c>
      <c r="BX104" s="59">
        <v>0</v>
      </c>
      <c r="BY104" s="59">
        <v>131.15</v>
      </c>
      <c r="BZ104" s="59">
        <v>0</v>
      </c>
      <c r="CA104" s="59">
        <v>493.69</v>
      </c>
      <c r="CB104" s="58">
        <f>'Quarter final consumption'!B104</f>
        <v>26716.530000000002</v>
      </c>
      <c r="CC104" s="58">
        <f>'Quarter final consumption'!C104</f>
        <v>202.95</v>
      </c>
      <c r="CD104" s="58">
        <f>'Quarter final consumption'!D104</f>
        <v>139.61000000000001</v>
      </c>
      <c r="CE104" s="58">
        <f>'Quarter final consumption'!E104</f>
        <v>15219.330000000002</v>
      </c>
      <c r="CF104" s="58">
        <f>'Quarter final consumption'!F104</f>
        <v>4339.59</v>
      </c>
      <c r="CG104" s="58">
        <f>'Quarter final consumption'!G104</f>
        <v>1284.33</v>
      </c>
      <c r="CH104" s="58">
        <f>'Quarter final consumption'!H104</f>
        <v>5333.3099999999995</v>
      </c>
      <c r="CI104" s="71">
        <f>'Quarter final consumption'!I104</f>
        <v>197.41</v>
      </c>
    </row>
    <row r="105" spans="1:87" ht="15.5" x14ac:dyDescent="0.35">
      <c r="A105" s="50" t="s">
        <v>498</v>
      </c>
      <c r="B105" s="58">
        <f t="shared" ref="B105" si="185">SUM(C105:J105)</f>
        <v>45846.320000000007</v>
      </c>
      <c r="C105" s="58">
        <f t="shared" ref="C105" si="186">-L105-U105+BL105+BU105+CC105</f>
        <v>953.4899999999999</v>
      </c>
      <c r="D105" s="58">
        <f t="shared" ref="D105" si="187">-M105-V105+BM105+BV105+CD105</f>
        <v>290.95</v>
      </c>
      <c r="E105" s="58">
        <f t="shared" ref="E105" si="188">-N105-W105+BN105+BW105</f>
        <v>14292.36</v>
      </c>
      <c r="F105" s="58">
        <f t="shared" ref="F105" si="189">-O105-X105+BO105+BX105+CE105</f>
        <v>2032.5699999999997</v>
      </c>
      <c r="G105" s="58">
        <f t="shared" ref="G105" si="190">-P105-Y105+BP105+BY105+CF105</f>
        <v>18801.280000000002</v>
      </c>
      <c r="H105" s="58">
        <f t="shared" ref="H105" si="191">-Q105-Z105+BQ105+BZ105+CG105</f>
        <v>4632.47</v>
      </c>
      <c r="I105" s="58">
        <f t="shared" ref="I105" si="192">-R105-AA105</f>
        <v>4978.63</v>
      </c>
      <c r="J105" s="58">
        <f t="shared" ref="J105" si="193">-S105-AB105+BR105+CA105+CH105</f>
        <v>-135.43000000000029</v>
      </c>
      <c r="K105" s="58">
        <f t="shared" ref="K105" si="194">SUM(L105:S105)</f>
        <v>-29.329999999999927</v>
      </c>
      <c r="L105" s="59">
        <v>0</v>
      </c>
      <c r="M105" s="59">
        <v>3.98</v>
      </c>
      <c r="N105" s="59">
        <v>487.02</v>
      </c>
      <c r="O105" s="59">
        <v>-513.54</v>
      </c>
      <c r="P105" s="59">
        <v>140.54</v>
      </c>
      <c r="Q105" s="59">
        <v>-147.33000000000001</v>
      </c>
      <c r="R105" s="59">
        <v>-2526</v>
      </c>
      <c r="S105" s="59">
        <v>2526</v>
      </c>
      <c r="T105" s="58">
        <f t="shared" ref="T105" si="195">SUM(U105:AC105)</f>
        <v>-7106.9400000000005</v>
      </c>
      <c r="U105" s="58">
        <f t="shared" ref="U105" si="196">AE105+AM105+AW105+BA105+BE105</f>
        <v>-719.45999999999992</v>
      </c>
      <c r="V105" s="58">
        <f t="shared" ref="V105" si="197">AF105+AN105+AX105+BB105+BF105</f>
        <v>-2.2699999999999747</v>
      </c>
      <c r="W105" s="58">
        <f t="shared" ref="W105" si="198">AT105+BI105</f>
        <v>-14779.380000000001</v>
      </c>
      <c r="X105" s="58">
        <f t="shared" ref="X105" si="199">AG105+AO105+AU105+AY105+BC105+BG105+BJ105</f>
        <v>14502.609999999999</v>
      </c>
      <c r="Y105" s="58">
        <f t="shared" ref="Y105" si="200">AH105+AP105</f>
        <v>-6155.48</v>
      </c>
      <c r="Z105" s="58">
        <f t="shared" ref="Z105" si="201">AI105+AQ105</f>
        <v>-2573.34</v>
      </c>
      <c r="AA105" s="58">
        <f t="shared" ref="AA105" si="202">AJ105</f>
        <v>-2452.63</v>
      </c>
      <c r="AB105" s="58">
        <f t="shared" ref="AB105" si="203">AK105</f>
        <v>4657.5200000000004</v>
      </c>
      <c r="AC105" s="58">
        <f t="shared" ref="AC105" si="204">AR105</f>
        <v>415.49</v>
      </c>
      <c r="AD105" s="58">
        <f t="shared" si="176"/>
        <v>-6431.4000000000015</v>
      </c>
      <c r="AE105" s="59">
        <v>-338.24</v>
      </c>
      <c r="AF105" s="59">
        <v>-110.99</v>
      </c>
      <c r="AG105" s="59">
        <v>-140.57</v>
      </c>
      <c r="AH105" s="59">
        <v>-5535.74</v>
      </c>
      <c r="AI105" s="59">
        <v>-2510.75</v>
      </c>
      <c r="AJ105" s="59">
        <v>-2452.63</v>
      </c>
      <c r="AK105" s="59">
        <v>4657.5200000000004</v>
      </c>
      <c r="AL105" s="58">
        <f t="shared" si="177"/>
        <v>-282.86</v>
      </c>
      <c r="AM105" s="59">
        <v>0</v>
      </c>
      <c r="AN105" s="59">
        <v>0</v>
      </c>
      <c r="AO105" s="59">
        <v>-16.02</v>
      </c>
      <c r="AP105" s="59">
        <v>-619.74</v>
      </c>
      <c r="AQ105" s="59">
        <v>-62.59</v>
      </c>
      <c r="AR105" s="59">
        <v>415.49</v>
      </c>
      <c r="AS105" s="58">
        <f t="shared" si="178"/>
        <v>-94.860000000000582</v>
      </c>
      <c r="AT105" s="59">
        <v>-14856.11</v>
      </c>
      <c r="AU105" s="59">
        <v>14761.25</v>
      </c>
      <c r="AV105" s="58">
        <f t="shared" si="179"/>
        <v>-11.649999999999977</v>
      </c>
      <c r="AW105" s="59">
        <v>-213.92</v>
      </c>
      <c r="AX105" s="59">
        <v>202.27</v>
      </c>
      <c r="AY105" s="59">
        <v>0</v>
      </c>
      <c r="AZ105" s="58">
        <f t="shared" si="180"/>
        <v>-284.85000000000002</v>
      </c>
      <c r="BA105" s="59">
        <v>-142.9</v>
      </c>
      <c r="BB105" s="59">
        <v>-141.94999999999999</v>
      </c>
      <c r="BC105" s="59">
        <v>0</v>
      </c>
      <c r="BD105" s="58">
        <f t="shared" si="181"/>
        <v>8.65</v>
      </c>
      <c r="BE105" s="59">
        <v>-24.4</v>
      </c>
      <c r="BF105" s="59">
        <v>48.4</v>
      </c>
      <c r="BG105" s="59">
        <v>-15.35</v>
      </c>
      <c r="BH105" s="58">
        <f t="shared" si="182"/>
        <v>-9.9699999999999989</v>
      </c>
      <c r="BI105" s="59">
        <v>76.73</v>
      </c>
      <c r="BJ105" s="59">
        <v>-86.7</v>
      </c>
      <c r="BK105" s="58">
        <f t="shared" si="183"/>
        <v>2574.94</v>
      </c>
      <c r="BL105" s="59">
        <v>0</v>
      </c>
      <c r="BM105" s="59">
        <v>98.24</v>
      </c>
      <c r="BN105" s="59">
        <v>0</v>
      </c>
      <c r="BO105" s="59">
        <v>829.27</v>
      </c>
      <c r="BP105" s="59">
        <v>1194.4000000000001</v>
      </c>
      <c r="BQ105" s="59">
        <v>0</v>
      </c>
      <c r="BR105" s="59">
        <v>370.63</v>
      </c>
      <c r="BS105" s="59">
        <v>82.4</v>
      </c>
      <c r="BT105" s="58">
        <f t="shared" si="184"/>
        <v>826.76</v>
      </c>
      <c r="BU105" s="59">
        <v>0</v>
      </c>
      <c r="BV105" s="59">
        <v>16.36</v>
      </c>
      <c r="BW105" s="59">
        <v>0</v>
      </c>
      <c r="BX105" s="59">
        <v>0</v>
      </c>
      <c r="BY105" s="59">
        <v>174.93</v>
      </c>
      <c r="BZ105" s="59">
        <v>0</v>
      </c>
      <c r="CA105" s="59">
        <v>635.47</v>
      </c>
      <c r="CB105" s="58">
        <f>'Quarter final consumption'!B105</f>
        <v>35319.82</v>
      </c>
      <c r="CC105" s="58">
        <f>'Quarter final consumption'!C105</f>
        <v>234.03</v>
      </c>
      <c r="CD105" s="58">
        <f>'Quarter final consumption'!D105</f>
        <v>178.06</v>
      </c>
      <c r="CE105" s="58">
        <f>'Quarter final consumption'!E105</f>
        <v>15192.369999999999</v>
      </c>
      <c r="CF105" s="58">
        <f>'Quarter final consumption'!F105</f>
        <v>11417.010000000002</v>
      </c>
      <c r="CG105" s="58">
        <f>'Quarter final consumption'!G105</f>
        <v>1911.8</v>
      </c>
      <c r="CH105" s="58">
        <f>'Quarter final consumption'!H105</f>
        <v>6041.99</v>
      </c>
      <c r="CI105" s="71">
        <f>'Quarter final consumption'!I105</f>
        <v>344.56</v>
      </c>
    </row>
    <row r="106" spans="1:87" ht="15.5" x14ac:dyDescent="0.35">
      <c r="A106" s="50" t="s">
        <v>501</v>
      </c>
      <c r="B106" s="58">
        <f t="shared" ref="B106" si="205">SUM(C106:J106)</f>
        <v>48613.590000000004</v>
      </c>
      <c r="C106" s="58">
        <f t="shared" ref="C106" si="206">-L106-U106+BL106+BU106+CC106</f>
        <v>913.15</v>
      </c>
      <c r="D106" s="58">
        <f t="shared" ref="D106" si="207">-M106-V106+BM106+BV106+CD106</f>
        <v>316.92</v>
      </c>
      <c r="E106" s="58">
        <f t="shared" ref="E106" si="208">-N106-W106+BN106+BW106</f>
        <v>14610.250000000002</v>
      </c>
      <c r="F106" s="58">
        <f t="shared" ref="F106" si="209">-O106-X106+BO106+BX106+CE106</f>
        <v>1518.4600000000009</v>
      </c>
      <c r="G106" s="58">
        <f t="shared" ref="G106" si="210">-P106-Y106+BP106+BY106+CF106</f>
        <v>20718.849999999999</v>
      </c>
      <c r="H106" s="58">
        <f t="shared" ref="H106" si="211">-Q106-Z106+BQ106+BZ106+CG106</f>
        <v>5317.9</v>
      </c>
      <c r="I106" s="58">
        <f t="shared" ref="I106" si="212">-R106-AA106</f>
        <v>4609.1000000000004</v>
      </c>
      <c r="J106" s="58">
        <f t="shared" ref="J106" si="213">-S106-AB106+BR106+CA106+CH106</f>
        <v>608.96</v>
      </c>
      <c r="K106" s="58">
        <f t="shared" ref="K106" si="214">SUM(L106:S106)</f>
        <v>-127.51999999999998</v>
      </c>
      <c r="L106" s="59">
        <v>0</v>
      </c>
      <c r="M106" s="59">
        <v>2.66</v>
      </c>
      <c r="N106" s="59">
        <v>-19.2</v>
      </c>
      <c r="O106" s="59">
        <v>-105.75</v>
      </c>
      <c r="P106" s="59">
        <v>154.34</v>
      </c>
      <c r="Q106" s="59">
        <v>-159.57</v>
      </c>
      <c r="R106" s="59">
        <v>-2495.6</v>
      </c>
      <c r="S106" s="59">
        <v>2495.6</v>
      </c>
      <c r="T106" s="58">
        <f t="shared" ref="T106" si="215">SUM(U106:AC106)</f>
        <v>-6723.2700000000013</v>
      </c>
      <c r="U106" s="58">
        <f t="shared" ref="U106" si="216">AE106+AM106+AW106+BA106+BE106</f>
        <v>-648.85</v>
      </c>
      <c r="V106" s="58">
        <f t="shared" ref="V106" si="217">AF106+AN106+AX106+BB106+BF106</f>
        <v>-112.74000000000001</v>
      </c>
      <c r="W106" s="58">
        <f t="shared" ref="W106" si="218">AT106+BI106</f>
        <v>-14591.050000000001</v>
      </c>
      <c r="X106" s="58">
        <f t="shared" ref="X106" si="219">AG106+AO106+AU106+AY106+BC106+BG106+BJ106</f>
        <v>14356.25</v>
      </c>
      <c r="Y106" s="58">
        <f t="shared" ref="Y106" si="220">AH106+AP106</f>
        <v>-5475.52</v>
      </c>
      <c r="Z106" s="58">
        <f t="shared" ref="Z106" si="221">AI106+AQ106</f>
        <v>-2870.81</v>
      </c>
      <c r="AA106" s="58">
        <f t="shared" ref="AA106" si="222">AJ106</f>
        <v>-2113.5</v>
      </c>
      <c r="AB106" s="58">
        <f t="shared" ref="AB106" si="223">AK106</f>
        <v>4252.6499999999996</v>
      </c>
      <c r="AC106" s="58">
        <f t="shared" ref="AC106" si="224">AR106</f>
        <v>480.3</v>
      </c>
      <c r="AD106" s="58">
        <f t="shared" si="176"/>
        <v>-5925.5000000000018</v>
      </c>
      <c r="AE106" s="59">
        <v>-294.81</v>
      </c>
      <c r="AF106" s="59">
        <v>-94.25</v>
      </c>
      <c r="AG106" s="59">
        <v>-126.45</v>
      </c>
      <c r="AH106" s="59">
        <v>-4751.3900000000003</v>
      </c>
      <c r="AI106" s="59">
        <v>-2797.75</v>
      </c>
      <c r="AJ106" s="59">
        <v>-2113.5</v>
      </c>
      <c r="AK106" s="59">
        <v>4252.6499999999996</v>
      </c>
      <c r="AL106" s="58">
        <f t="shared" si="177"/>
        <v>-330.96</v>
      </c>
      <c r="AM106" s="59">
        <v>0</v>
      </c>
      <c r="AN106" s="59">
        <v>0</v>
      </c>
      <c r="AO106" s="59">
        <v>-14.07</v>
      </c>
      <c r="AP106" s="59">
        <v>-724.13</v>
      </c>
      <c r="AQ106" s="59">
        <v>-73.06</v>
      </c>
      <c r="AR106" s="59">
        <v>480.3</v>
      </c>
      <c r="AS106" s="58">
        <f t="shared" si="178"/>
        <v>-72.25</v>
      </c>
      <c r="AT106" s="59">
        <v>-14698.76</v>
      </c>
      <c r="AU106" s="59">
        <v>14626.51</v>
      </c>
      <c r="AV106" s="58">
        <f t="shared" si="179"/>
        <v>-9.960000000000008</v>
      </c>
      <c r="AW106" s="59">
        <v>-180.36</v>
      </c>
      <c r="AX106" s="59">
        <v>170.4</v>
      </c>
      <c r="AY106" s="59">
        <v>0</v>
      </c>
      <c r="AZ106" s="58">
        <f t="shared" si="180"/>
        <v>-371.02</v>
      </c>
      <c r="BA106" s="59">
        <v>-149.84</v>
      </c>
      <c r="BB106" s="59">
        <v>-221.18</v>
      </c>
      <c r="BC106" s="59">
        <v>0</v>
      </c>
      <c r="BD106" s="58">
        <f t="shared" si="181"/>
        <v>-2.9300000000000015</v>
      </c>
      <c r="BE106" s="59">
        <v>-23.84</v>
      </c>
      <c r="BF106" s="59">
        <v>32.29</v>
      </c>
      <c r="BG106" s="59">
        <v>-11.38</v>
      </c>
      <c r="BH106" s="58">
        <f t="shared" si="182"/>
        <v>-10.650000000000006</v>
      </c>
      <c r="BI106" s="59">
        <v>107.71</v>
      </c>
      <c r="BJ106" s="59">
        <v>-118.36</v>
      </c>
      <c r="BK106" s="58">
        <f t="shared" si="183"/>
        <v>2783.3300000000004</v>
      </c>
      <c r="BL106" s="59">
        <v>0</v>
      </c>
      <c r="BM106" s="59">
        <v>79.3</v>
      </c>
      <c r="BN106" s="59">
        <v>0</v>
      </c>
      <c r="BO106" s="59">
        <v>1018.83</v>
      </c>
      <c r="BP106" s="59">
        <v>1238.3900000000001</v>
      </c>
      <c r="BQ106" s="59">
        <v>0</v>
      </c>
      <c r="BR106" s="59">
        <v>363</v>
      </c>
      <c r="BS106" s="59">
        <v>83.81</v>
      </c>
      <c r="BT106" s="58">
        <f t="shared" si="184"/>
        <v>873.93</v>
      </c>
      <c r="BU106" s="59">
        <v>0</v>
      </c>
      <c r="BV106" s="59">
        <v>12.18</v>
      </c>
      <c r="BW106" s="59">
        <v>0</v>
      </c>
      <c r="BX106" s="59">
        <v>0</v>
      </c>
      <c r="BY106" s="59">
        <v>150.22999999999999</v>
      </c>
      <c r="BZ106" s="59">
        <v>0</v>
      </c>
      <c r="CA106" s="59">
        <v>711.52</v>
      </c>
      <c r="CB106" s="58">
        <f>'Quarter final consumption'!B106</f>
        <v>38119.219999999994</v>
      </c>
      <c r="CC106" s="58">
        <f>'Quarter final consumption'!C106</f>
        <v>264.29999999999995</v>
      </c>
      <c r="CD106" s="58">
        <f>'Quarter final consumption'!D106</f>
        <v>115.36000000000001</v>
      </c>
      <c r="CE106" s="58">
        <f>'Quarter final consumption'!E106</f>
        <v>14750.130000000001</v>
      </c>
      <c r="CF106" s="58">
        <f>'Quarter final consumption'!F106</f>
        <v>14009.049999999997</v>
      </c>
      <c r="CG106" s="58">
        <f>'Quarter final consumption'!G106</f>
        <v>2287.52</v>
      </c>
      <c r="CH106" s="58">
        <f>'Quarter final consumption'!H106</f>
        <v>6282.69</v>
      </c>
      <c r="CI106" s="71">
        <f>'Quarter final consumption'!I106</f>
        <v>410.17</v>
      </c>
    </row>
    <row r="107" spans="1:87" ht="15.5" x14ac:dyDescent="0.35">
      <c r="A107" s="50" t="s">
        <v>504</v>
      </c>
      <c r="B107" s="58">
        <f t="shared" ref="B107" si="225">SUM(C107:J107)</f>
        <v>38730.589999999997</v>
      </c>
      <c r="C107" s="58">
        <f t="shared" ref="C107" si="226">-L107-U107+BL107+BU107+CC107</f>
        <v>669.44</v>
      </c>
      <c r="D107" s="58">
        <f t="shared" ref="D107" si="227">-M107-V107+BM107+BV107+CD107</f>
        <v>387.28999999999996</v>
      </c>
      <c r="E107" s="58">
        <f t="shared" ref="E107" si="228">-N107-W107+BN107+BW107</f>
        <v>13967.859999999999</v>
      </c>
      <c r="F107" s="58">
        <f t="shared" ref="F107" si="229">-O107-X107+BO107+BX107+CE107</f>
        <v>2749.2799999999988</v>
      </c>
      <c r="G107" s="58">
        <f t="shared" ref="G107" si="230">-P107-Y107+BP107+BY107+CF107</f>
        <v>12309.05</v>
      </c>
      <c r="H107" s="58">
        <f t="shared" ref="H107" si="231">-Q107-Z107+BQ107+BZ107+CG107</f>
        <v>4081.04</v>
      </c>
      <c r="I107" s="58">
        <f t="shared" ref="I107" si="232">-R107-AA107</f>
        <v>3928.4300000000003</v>
      </c>
      <c r="J107" s="58">
        <f t="shared" ref="J107" si="233">-S107-AB107+BR107+CA107+CH107</f>
        <v>638.20000000000073</v>
      </c>
      <c r="K107" s="58">
        <f t="shared" ref="K107" si="234">SUM(L107:S107)</f>
        <v>-141.18000000000006</v>
      </c>
      <c r="L107" s="59">
        <v>0</v>
      </c>
      <c r="M107" s="59">
        <v>0.62</v>
      </c>
      <c r="N107" s="59">
        <v>-14.24</v>
      </c>
      <c r="O107" s="59">
        <v>-123.13</v>
      </c>
      <c r="P107" s="59">
        <v>156.91</v>
      </c>
      <c r="Q107" s="59">
        <v>-161.34</v>
      </c>
      <c r="R107" s="59">
        <v>-1735.72</v>
      </c>
      <c r="S107" s="59">
        <v>1735.72</v>
      </c>
      <c r="T107" s="58">
        <f t="shared" ref="T107" si="235">SUM(U107:AC107)</f>
        <v>-6371.0199999999977</v>
      </c>
      <c r="U107" s="58">
        <f t="shared" ref="U107" si="236">AE107+AM107+AW107+BA107+BE107</f>
        <v>-484.59000000000003</v>
      </c>
      <c r="V107" s="58">
        <f t="shared" ref="V107" si="237">AF107+AN107+AX107+BB107+BF107</f>
        <v>-173.83999999999997</v>
      </c>
      <c r="W107" s="58">
        <f t="shared" ref="W107" si="238">AT107+BI107</f>
        <v>-13953.619999999999</v>
      </c>
      <c r="X107" s="58">
        <f t="shared" ref="X107" si="239">AG107+AO107+AU107+AY107+BC107+BG107+BJ107</f>
        <v>13571.570000000002</v>
      </c>
      <c r="Y107" s="58">
        <f t="shared" ref="Y107" si="240">AH107+AP107</f>
        <v>-5026.91</v>
      </c>
      <c r="Z107" s="58">
        <f t="shared" ref="Z107" si="241">AI107+AQ107</f>
        <v>-2392.23</v>
      </c>
      <c r="AA107" s="58">
        <f t="shared" ref="AA107" si="242">AJ107</f>
        <v>-2192.71</v>
      </c>
      <c r="AB107" s="58">
        <f t="shared" ref="AB107" si="243">AK107</f>
        <v>3946.46</v>
      </c>
      <c r="AC107" s="58">
        <f t="shared" ref="AC107" si="244">AR107</f>
        <v>334.85</v>
      </c>
      <c r="AD107" s="58">
        <f t="shared" ref="AD107:AD108" si="245">SUM(AE107:AK107)</f>
        <v>-5428.0800000000008</v>
      </c>
      <c r="AE107" s="59">
        <v>-80.12</v>
      </c>
      <c r="AF107" s="59">
        <v>-107.65</v>
      </c>
      <c r="AG107" s="59">
        <v>-126.45</v>
      </c>
      <c r="AH107" s="59">
        <v>-4529.99</v>
      </c>
      <c r="AI107" s="59">
        <v>-2337.62</v>
      </c>
      <c r="AJ107" s="59">
        <v>-2192.71</v>
      </c>
      <c r="AK107" s="59">
        <v>3946.46</v>
      </c>
      <c r="AL107" s="58">
        <f t="shared" si="177"/>
        <v>-230.73000000000002</v>
      </c>
      <c r="AM107" s="59">
        <v>0</v>
      </c>
      <c r="AN107" s="59">
        <v>0</v>
      </c>
      <c r="AO107" s="59">
        <v>-14.05</v>
      </c>
      <c r="AP107" s="59">
        <v>-496.92</v>
      </c>
      <c r="AQ107" s="59">
        <v>-54.61</v>
      </c>
      <c r="AR107" s="59">
        <v>334.85</v>
      </c>
      <c r="AS107" s="58">
        <f t="shared" si="178"/>
        <v>-226.35999999999876</v>
      </c>
      <c r="AT107" s="59">
        <v>-14019.22</v>
      </c>
      <c r="AU107" s="59">
        <v>13792.86</v>
      </c>
      <c r="AV107" s="58">
        <f t="shared" si="179"/>
        <v>-13.379999999999995</v>
      </c>
      <c r="AW107" s="59">
        <v>-208.69</v>
      </c>
      <c r="AX107" s="59">
        <v>195.31</v>
      </c>
      <c r="AY107" s="59">
        <v>0</v>
      </c>
      <c r="AZ107" s="58">
        <f t="shared" si="180"/>
        <v>-454.04999999999995</v>
      </c>
      <c r="BA107" s="59">
        <v>-170.9</v>
      </c>
      <c r="BB107" s="59">
        <v>-283.14999999999998</v>
      </c>
      <c r="BC107" s="59">
        <v>0</v>
      </c>
      <c r="BD107" s="58">
        <f t="shared" si="181"/>
        <v>-12.110000000000001</v>
      </c>
      <c r="BE107" s="59">
        <v>-24.88</v>
      </c>
      <c r="BF107" s="59">
        <v>21.65</v>
      </c>
      <c r="BG107" s="59">
        <v>-8.8800000000000008</v>
      </c>
      <c r="BH107" s="58">
        <f t="shared" si="182"/>
        <v>-6.3100000000000023</v>
      </c>
      <c r="BI107" s="59">
        <v>65.599999999999994</v>
      </c>
      <c r="BJ107" s="59">
        <v>-71.91</v>
      </c>
      <c r="BK107" s="58">
        <f t="shared" si="183"/>
        <v>2559.92</v>
      </c>
      <c r="BL107" s="59">
        <v>0</v>
      </c>
      <c r="BM107" s="59">
        <v>82.82</v>
      </c>
      <c r="BN107" s="59">
        <v>0</v>
      </c>
      <c r="BO107" s="59">
        <v>905.93</v>
      </c>
      <c r="BP107" s="59">
        <v>1148.06</v>
      </c>
      <c r="BQ107" s="59">
        <v>0</v>
      </c>
      <c r="BR107" s="59">
        <v>339.3</v>
      </c>
      <c r="BS107" s="59">
        <v>83.81</v>
      </c>
      <c r="BT107" s="58">
        <f t="shared" si="184"/>
        <v>594.29999999999995</v>
      </c>
      <c r="BU107" s="59">
        <v>0</v>
      </c>
      <c r="BV107" s="59">
        <v>20.04</v>
      </c>
      <c r="BW107" s="59">
        <v>0</v>
      </c>
      <c r="BX107" s="59">
        <v>0</v>
      </c>
      <c r="BY107" s="59">
        <v>84.83</v>
      </c>
      <c r="BZ107" s="59">
        <v>0</v>
      </c>
      <c r="CA107" s="59">
        <v>489.43</v>
      </c>
      <c r="CB107" s="58">
        <f>'Quarter final consumption'!B107</f>
        <v>29052.410000000003</v>
      </c>
      <c r="CC107" s="58">
        <f>'Quarter final consumption'!C107</f>
        <v>184.85</v>
      </c>
      <c r="CD107" s="58">
        <f>'Quarter final consumption'!D107</f>
        <v>111.21</v>
      </c>
      <c r="CE107" s="58">
        <f>'Quarter final consumption'!E107</f>
        <v>15291.79</v>
      </c>
      <c r="CF107" s="58">
        <f>'Quarter final consumption'!F107</f>
        <v>6206.16</v>
      </c>
      <c r="CG107" s="58">
        <f>'Quarter final consumption'!G107</f>
        <v>1527.47</v>
      </c>
      <c r="CH107" s="58">
        <f>'Quarter final consumption'!H107</f>
        <v>5491.6500000000005</v>
      </c>
      <c r="CI107" s="71">
        <f>'Quarter final consumption'!I107</f>
        <v>239.28</v>
      </c>
    </row>
    <row r="108" spans="1:87" ht="15.5" x14ac:dyDescent="0.35">
      <c r="A108" s="50" t="s">
        <v>507</v>
      </c>
      <c r="B108" s="58">
        <f t="shared" ref="B108" si="246">SUM(C108:J108)</f>
        <v>35564.35</v>
      </c>
      <c r="C108" s="58">
        <f t="shared" ref="C108" si="247">-L108-U108+BL108+BU108+CC108</f>
        <v>675.44999999999993</v>
      </c>
      <c r="D108" s="58">
        <f t="shared" ref="D108" si="248">-M108-V108+BM108+BV108+CD108</f>
        <v>387.59</v>
      </c>
      <c r="E108" s="58">
        <f t="shared" ref="E108" si="249">-N108-W108+BN108+BW108</f>
        <v>13941.81</v>
      </c>
      <c r="F108" s="58">
        <f t="shared" ref="F108" si="250">-O108-X108+BO108+BX108+CE108</f>
        <v>2449.8000000000029</v>
      </c>
      <c r="G108" s="58">
        <f t="shared" ref="G108" si="251">-P108-Y108+BP108+BY108+CF108</f>
        <v>9539.119999999999</v>
      </c>
      <c r="H108" s="58">
        <f t="shared" ref="H108" si="252">-Q108-Z108+BQ108+BZ108+CG108</f>
        <v>4027.46</v>
      </c>
      <c r="I108" s="58">
        <f t="shared" ref="I108" si="253">-R108-AA108</f>
        <v>4219.67</v>
      </c>
      <c r="J108" s="58">
        <f t="shared" ref="J108" si="254">-S108-AB108+BR108+CA108+CH108</f>
        <v>323.44999999999891</v>
      </c>
      <c r="K108" s="58">
        <f t="shared" ref="K108" si="255">SUM(L108:S108)</f>
        <v>101.42000000000007</v>
      </c>
      <c r="L108" s="59">
        <v>0</v>
      </c>
      <c r="M108" s="59">
        <v>4.29</v>
      </c>
      <c r="N108" s="59">
        <v>-72.58</v>
      </c>
      <c r="O108" s="59">
        <v>177.2</v>
      </c>
      <c r="P108" s="59">
        <v>155.62</v>
      </c>
      <c r="Q108" s="59">
        <v>-163.11000000000001</v>
      </c>
      <c r="R108" s="59">
        <v>-1949.08</v>
      </c>
      <c r="S108" s="59">
        <v>1949.08</v>
      </c>
      <c r="T108" s="58">
        <f t="shared" ref="T108" si="256">SUM(U108:AC108)</f>
        <v>-6193.76</v>
      </c>
      <c r="U108" s="58">
        <f t="shared" ref="U108" si="257">AE108+AM108+AW108+BA108+BE108</f>
        <v>-504.77</v>
      </c>
      <c r="V108" s="58">
        <f t="shared" ref="V108" si="258">AF108+AN108+AX108+BB108+BF108</f>
        <v>-194.98000000000002</v>
      </c>
      <c r="W108" s="58">
        <f t="shared" ref="W108" si="259">AT108+BI108</f>
        <v>-13869.23</v>
      </c>
      <c r="X108" s="58">
        <f t="shared" ref="X108" si="260">AG108+AO108+AU108+AY108+BC108+BG108+BJ108</f>
        <v>13716.869999999999</v>
      </c>
      <c r="Y108" s="58">
        <f t="shared" ref="Y108" si="261">AH108+AP108</f>
        <v>-4750.8599999999997</v>
      </c>
      <c r="Z108" s="58">
        <f t="shared" ref="Z108" si="262">AI108+AQ108</f>
        <v>-2514.23</v>
      </c>
      <c r="AA108" s="58">
        <f t="shared" ref="AA108" si="263">AJ108</f>
        <v>-2270.59</v>
      </c>
      <c r="AB108" s="58">
        <f t="shared" ref="AB108" si="264">AK108</f>
        <v>3906.53</v>
      </c>
      <c r="AC108" s="58">
        <f t="shared" ref="AC108" si="265">AR108</f>
        <v>287.5</v>
      </c>
      <c r="AD108" s="58">
        <f t="shared" si="245"/>
        <v>-5578.6099999999988</v>
      </c>
      <c r="AE108" s="59">
        <v>-213.56</v>
      </c>
      <c r="AF108" s="59">
        <v>-88.1</v>
      </c>
      <c r="AG108" s="59">
        <v>-119.37</v>
      </c>
      <c r="AH108" s="59">
        <v>-4327.8999999999996</v>
      </c>
      <c r="AI108" s="59">
        <v>-2465.62</v>
      </c>
      <c r="AJ108" s="59">
        <v>-2270.59</v>
      </c>
      <c r="AK108" s="59">
        <v>3906.53</v>
      </c>
      <c r="AL108" s="58">
        <f t="shared" si="177"/>
        <v>-198.11</v>
      </c>
      <c r="AM108" s="59">
        <v>0</v>
      </c>
      <c r="AN108" s="59">
        <v>0</v>
      </c>
      <c r="AO108" s="59">
        <v>-14.04</v>
      </c>
      <c r="AP108" s="59">
        <v>-422.96</v>
      </c>
      <c r="AQ108" s="59">
        <v>-48.61</v>
      </c>
      <c r="AR108" s="59">
        <v>287.5</v>
      </c>
      <c r="AS108" s="58">
        <f t="shared" si="178"/>
        <v>-7.7600000000002183</v>
      </c>
      <c r="AT108" s="59">
        <v>-13945.89</v>
      </c>
      <c r="AU108" s="59">
        <v>13938.13</v>
      </c>
      <c r="AV108" s="58">
        <f t="shared" si="179"/>
        <v>-6.519999999999996</v>
      </c>
      <c r="AW108" s="59">
        <v>-115.46</v>
      </c>
      <c r="AX108" s="59">
        <v>108.94</v>
      </c>
      <c r="AY108" s="59">
        <v>0</v>
      </c>
      <c r="AZ108" s="58">
        <f t="shared" si="180"/>
        <v>-395.9</v>
      </c>
      <c r="BA108" s="59">
        <v>-150.69</v>
      </c>
      <c r="BB108" s="59">
        <v>-245.21</v>
      </c>
      <c r="BC108" s="59">
        <v>0</v>
      </c>
      <c r="BD108" s="58">
        <f t="shared" si="181"/>
        <v>-6.2299999999999986</v>
      </c>
      <c r="BE108" s="59">
        <v>-25.06</v>
      </c>
      <c r="BF108" s="59">
        <v>29.39</v>
      </c>
      <c r="BG108" s="59">
        <v>-10.56</v>
      </c>
      <c r="BH108" s="58">
        <f t="shared" si="182"/>
        <v>-0.63000000000000966</v>
      </c>
      <c r="BI108" s="59">
        <v>76.66</v>
      </c>
      <c r="BJ108" s="59">
        <v>-77.290000000000006</v>
      </c>
      <c r="BK108" s="58">
        <f t="shared" si="183"/>
        <v>2294.5499999999997</v>
      </c>
      <c r="BL108" s="59">
        <v>0</v>
      </c>
      <c r="BM108" s="59">
        <v>70.55</v>
      </c>
      <c r="BN108" s="59">
        <v>0</v>
      </c>
      <c r="BO108" s="59">
        <v>876.12</v>
      </c>
      <c r="BP108" s="59">
        <v>936.42</v>
      </c>
      <c r="BQ108" s="59">
        <v>0</v>
      </c>
      <c r="BR108" s="59">
        <v>327.64999999999998</v>
      </c>
      <c r="BS108" s="59">
        <v>83.81</v>
      </c>
      <c r="BT108" s="58">
        <f t="shared" si="184"/>
        <v>583.54999999999995</v>
      </c>
      <c r="BU108" s="59">
        <v>0</v>
      </c>
      <c r="BV108" s="59">
        <v>18.149999999999999</v>
      </c>
      <c r="BW108" s="59">
        <v>0</v>
      </c>
      <c r="BX108" s="59">
        <v>0</v>
      </c>
      <c r="BY108" s="59">
        <v>38.590000000000003</v>
      </c>
      <c r="BZ108" s="59">
        <v>0</v>
      </c>
      <c r="CA108" s="59">
        <v>526.80999999999995</v>
      </c>
      <c r="CB108" s="58">
        <f>'Quarter final consumption'!B108</f>
        <v>26580.560000000001</v>
      </c>
      <c r="CC108" s="58">
        <f>'Quarter final consumption'!C108</f>
        <v>170.67999999999998</v>
      </c>
      <c r="CD108" s="58">
        <f>'Quarter final consumption'!D108</f>
        <v>108.2</v>
      </c>
      <c r="CE108" s="58">
        <f>'Quarter final consumption'!E108</f>
        <v>15467.750000000002</v>
      </c>
      <c r="CF108" s="58">
        <f>'Quarter final consumption'!F108</f>
        <v>3968.87</v>
      </c>
      <c r="CG108" s="58">
        <f>'Quarter final consumption'!G108</f>
        <v>1350.12</v>
      </c>
      <c r="CH108" s="58">
        <f>'Quarter final consumption'!H108</f>
        <v>5324.6</v>
      </c>
      <c r="CI108" s="71">
        <f>'Quarter final consumption'!I108</f>
        <v>190.34</v>
      </c>
    </row>
    <row r="109" spans="1:87" ht="15.5" x14ac:dyDescent="0.35">
      <c r="A109" s="50" t="s">
        <v>508</v>
      </c>
      <c r="B109" s="58">
        <f t="shared" ref="B109" si="266">SUM(C109:J109)</f>
        <v>45538.239999999998</v>
      </c>
      <c r="C109" s="58">
        <f t="shared" ref="C109" si="267">-L109-U109+BL109+BU109+CC109</f>
        <v>805.01</v>
      </c>
      <c r="D109" s="58">
        <f t="shared" ref="D109" si="268">-M109-V109+BM109+BV109+CD109</f>
        <v>383.28</v>
      </c>
      <c r="E109" s="58">
        <f t="shared" ref="E109" si="269">-N109-W109+BN109+BW109</f>
        <v>12949.01</v>
      </c>
      <c r="F109" s="58">
        <f t="shared" ref="F109" si="270">-O109-X109+BO109+BX109+CE109</f>
        <v>3534.58</v>
      </c>
      <c r="G109" s="58">
        <f t="shared" ref="G109" si="271">-P109-Y109+BP109+BY109+CF109</f>
        <v>17407.52</v>
      </c>
      <c r="H109" s="58">
        <f t="shared" ref="H109" si="272">-Q109-Z109+BQ109+BZ109+CG109</f>
        <v>5207.2199999999993</v>
      </c>
      <c r="I109" s="58">
        <f t="shared" ref="I109" si="273">-R109-AA109</f>
        <v>4826.08</v>
      </c>
      <c r="J109" s="58">
        <f t="shared" ref="J109" si="274">-S109-AB109+BR109+CA109+CH109</f>
        <v>425.53999999999996</v>
      </c>
      <c r="K109" s="58">
        <f t="shared" ref="K109" si="275">SUM(L109:S109)</f>
        <v>-67.860000000000127</v>
      </c>
      <c r="L109" s="59">
        <v>0</v>
      </c>
      <c r="M109" s="59">
        <v>5.01</v>
      </c>
      <c r="N109" s="59">
        <v>-36.85</v>
      </c>
      <c r="O109" s="59">
        <v>-28.53</v>
      </c>
      <c r="P109" s="59">
        <v>155.62</v>
      </c>
      <c r="Q109" s="59">
        <v>-163.11000000000001</v>
      </c>
      <c r="R109" s="59">
        <v>-2612.48</v>
      </c>
      <c r="S109" s="59">
        <v>2612.48</v>
      </c>
      <c r="T109" s="58">
        <f t="shared" ref="T109" si="276">SUM(U109:AC109)</f>
        <v>-6853.3999999999987</v>
      </c>
      <c r="U109" s="58">
        <f t="shared" ref="U109" si="277">AE109+AM109+AW109+BA109+BE109</f>
        <v>-593.26</v>
      </c>
      <c r="V109" s="58">
        <f t="shared" ref="V109" si="278">AF109+AN109+AX109+BB109+BF109</f>
        <v>-203.51999999999998</v>
      </c>
      <c r="W109" s="58">
        <f t="shared" ref="W109" si="279">AT109+BI109</f>
        <v>-12912.16</v>
      </c>
      <c r="X109" s="58">
        <f t="shared" ref="X109" si="280">AG109+AO109+AU109+AY109+BC109+BG109+BJ109</f>
        <v>12623.050000000001</v>
      </c>
      <c r="Y109" s="58">
        <f t="shared" ref="Y109" si="281">AH109+AP109</f>
        <v>-5051.7899999999991</v>
      </c>
      <c r="Z109" s="58">
        <f t="shared" ref="Z109" si="282">AI109+AQ109</f>
        <v>-3072.58</v>
      </c>
      <c r="AA109" s="58">
        <f t="shared" ref="AA109" si="283">AJ109</f>
        <v>-2213.6</v>
      </c>
      <c r="AB109" s="58">
        <f t="shared" ref="AB109" si="284">AK109</f>
        <v>4143.18</v>
      </c>
      <c r="AC109" s="58">
        <f t="shared" ref="AC109" si="285">AR109</f>
        <v>427.28</v>
      </c>
      <c r="AD109" s="58">
        <f t="shared" ref="AD109:AD111" si="286">SUM(AE109:AK109)</f>
        <v>-6026.1899999999987</v>
      </c>
      <c r="AE109" s="59">
        <v>-333.79</v>
      </c>
      <c r="AF109" s="59">
        <v>-78.81</v>
      </c>
      <c r="AG109" s="59">
        <v>-126.45</v>
      </c>
      <c r="AH109" s="59">
        <v>-4410.4799999999996</v>
      </c>
      <c r="AI109" s="59">
        <v>-3006.24</v>
      </c>
      <c r="AJ109" s="59">
        <v>-2213.6</v>
      </c>
      <c r="AK109" s="59">
        <v>4143.18</v>
      </c>
      <c r="AL109" s="58">
        <f t="shared" si="177"/>
        <v>-294.42999999999995</v>
      </c>
      <c r="AM109" s="59">
        <v>0</v>
      </c>
      <c r="AN109" s="59">
        <v>0</v>
      </c>
      <c r="AO109" s="59">
        <v>-14.06</v>
      </c>
      <c r="AP109" s="59">
        <v>-641.30999999999995</v>
      </c>
      <c r="AQ109" s="59">
        <v>-66.34</v>
      </c>
      <c r="AR109" s="59">
        <v>427.28</v>
      </c>
      <c r="AS109" s="58">
        <f t="shared" si="178"/>
        <v>-123.38999999999942</v>
      </c>
      <c r="AT109" s="59">
        <v>-13000.93</v>
      </c>
      <c r="AU109" s="59">
        <v>12877.54</v>
      </c>
      <c r="AV109" s="58">
        <f t="shared" si="179"/>
        <v>-18.930000000000007</v>
      </c>
      <c r="AW109" s="59">
        <v>-101.01</v>
      </c>
      <c r="AX109" s="59">
        <v>82.08</v>
      </c>
      <c r="AY109" s="59">
        <v>0</v>
      </c>
      <c r="AZ109" s="58">
        <f t="shared" si="180"/>
        <v>-386.25</v>
      </c>
      <c r="BA109" s="59">
        <v>-133.53</v>
      </c>
      <c r="BB109" s="59">
        <v>-252.72</v>
      </c>
      <c r="BC109" s="59">
        <v>0</v>
      </c>
      <c r="BD109" s="58">
        <f t="shared" si="181"/>
        <v>5.65</v>
      </c>
      <c r="BE109" s="59">
        <v>-24.93</v>
      </c>
      <c r="BF109" s="59">
        <v>45.93</v>
      </c>
      <c r="BG109" s="59">
        <v>-15.35</v>
      </c>
      <c r="BH109" s="58">
        <f t="shared" si="182"/>
        <v>-9.86</v>
      </c>
      <c r="BI109" s="59">
        <v>88.77</v>
      </c>
      <c r="BJ109" s="59">
        <v>-98.63</v>
      </c>
      <c r="BK109" s="58">
        <f t="shared" si="183"/>
        <v>2249.4299999999998</v>
      </c>
      <c r="BL109" s="59">
        <v>0</v>
      </c>
      <c r="BM109" s="59">
        <v>59.91</v>
      </c>
      <c r="BN109" s="59">
        <v>0</v>
      </c>
      <c r="BO109" s="59">
        <v>793</v>
      </c>
      <c r="BP109" s="59">
        <v>968.57</v>
      </c>
      <c r="BQ109" s="59">
        <v>0</v>
      </c>
      <c r="BR109" s="59">
        <v>344.14</v>
      </c>
      <c r="BS109" s="59">
        <v>83.81</v>
      </c>
      <c r="BT109" s="58">
        <f t="shared" si="184"/>
        <v>848.47</v>
      </c>
      <c r="BU109" s="59">
        <v>0</v>
      </c>
      <c r="BV109" s="59">
        <v>11.69</v>
      </c>
      <c r="BW109" s="59">
        <v>0</v>
      </c>
      <c r="BX109" s="59">
        <v>0</v>
      </c>
      <c r="BY109" s="59">
        <v>131.13</v>
      </c>
      <c r="BZ109" s="59">
        <v>0</v>
      </c>
      <c r="CA109" s="59">
        <v>705.65</v>
      </c>
      <c r="CB109" s="58">
        <f>'Quarter final consumption'!B109</f>
        <v>35530.47</v>
      </c>
      <c r="CC109" s="58">
        <f>'Quarter final consumption'!C109</f>
        <v>211.75</v>
      </c>
      <c r="CD109" s="58">
        <f>'Quarter final consumption'!D109</f>
        <v>113.17</v>
      </c>
      <c r="CE109" s="58">
        <f>'Quarter final consumption'!E109</f>
        <v>15336.1</v>
      </c>
      <c r="CF109" s="58">
        <f>'Quarter final consumption'!F109</f>
        <v>11411.650000000001</v>
      </c>
      <c r="CG109" s="58">
        <f>'Quarter final consumption'!G109</f>
        <v>1971.5299999999997</v>
      </c>
      <c r="CH109" s="58">
        <f>'Quarter final consumption'!H109</f>
        <v>6131.41</v>
      </c>
      <c r="CI109" s="71">
        <f>'Quarter final consumption'!I109</f>
        <v>354.86</v>
      </c>
    </row>
    <row r="110" spans="1:87" ht="15.5" x14ac:dyDescent="0.35">
      <c r="A110" s="50" t="s">
        <v>510</v>
      </c>
      <c r="B110" s="58">
        <f t="shared" ref="B110" si="287">SUM(C110:J110)</f>
        <v>47941.44999999999</v>
      </c>
      <c r="C110" s="58">
        <f t="shared" ref="C110" si="288">-L110-U110+BL110+BU110+CC110</f>
        <v>659.93999999999994</v>
      </c>
      <c r="D110" s="58">
        <f t="shared" ref="D110" si="289">-M110-V110+BM110+BV110+CD110</f>
        <v>351.26</v>
      </c>
      <c r="E110" s="58">
        <f t="shared" ref="E110" si="290">-N110-W110+BN110+BW110</f>
        <v>13896.22</v>
      </c>
      <c r="F110" s="58">
        <f t="shared" ref="F110" si="291">-O110-X110+BO110+BX110+CE110</f>
        <v>2279.3899999999994</v>
      </c>
      <c r="G110" s="58">
        <f t="shared" ref="G110" si="292">-P110-Y110+BP110+BY110+CF110</f>
        <v>20177.169999999998</v>
      </c>
      <c r="H110" s="58">
        <f t="shared" ref="H110" si="293">-Q110-Z110+BQ110+BZ110+CG110</f>
        <v>5424.3799999999992</v>
      </c>
      <c r="I110" s="58">
        <f t="shared" ref="I110" si="294">-R110-AA110</f>
        <v>4389.71</v>
      </c>
      <c r="J110" s="58">
        <f t="shared" ref="J110" si="295">-S110-AB110+BR110+CA110+CH110</f>
        <v>763.38000000000011</v>
      </c>
      <c r="K110" s="58">
        <f t="shared" ref="K110" si="296">SUM(L110:S110)</f>
        <v>-115</v>
      </c>
      <c r="L110" s="59">
        <v>0</v>
      </c>
      <c r="M110" s="59">
        <v>6.93</v>
      </c>
      <c r="N110" s="59">
        <v>-22.39</v>
      </c>
      <c r="O110" s="59">
        <v>-92.25</v>
      </c>
      <c r="P110" s="59">
        <v>161.41</v>
      </c>
      <c r="Q110" s="59">
        <v>-168.7</v>
      </c>
      <c r="R110" s="59">
        <v>-2592.75</v>
      </c>
      <c r="S110" s="59">
        <v>2592.75</v>
      </c>
      <c r="T110" s="58">
        <f t="shared" ref="T110" si="297">SUM(U110:AC110)</f>
        <v>-6397.6799999999985</v>
      </c>
      <c r="U110" s="58">
        <f t="shared" ref="U110" si="298">AE110+AM110+AW110+BA110+BE110</f>
        <v>-515.53</v>
      </c>
      <c r="V110" s="58">
        <f t="shared" ref="V110" si="299">AF110+AN110+AX110+BB110+BF110</f>
        <v>-197.33999999999997</v>
      </c>
      <c r="W110" s="58">
        <f t="shared" ref="W110" si="300">AT110+BI110</f>
        <v>-13873.83</v>
      </c>
      <c r="X110" s="58">
        <f t="shared" ref="X110" si="301">AG110+AO110+AU110+AY110+BC110+BG110+BJ110</f>
        <v>13699.880000000001</v>
      </c>
      <c r="Y110" s="58">
        <f t="shared" ref="Y110" si="302">AH110+AP110</f>
        <v>-5212.09</v>
      </c>
      <c r="Z110" s="58">
        <f t="shared" ref="Z110" si="303">AI110+AQ110</f>
        <v>-3070.91</v>
      </c>
      <c r="AA110" s="58">
        <f t="shared" ref="AA110" si="304">AJ110</f>
        <v>-1796.96</v>
      </c>
      <c r="AB110" s="58">
        <f t="shared" ref="AB110" si="305">AK110</f>
        <v>4095.18</v>
      </c>
      <c r="AC110" s="58">
        <f t="shared" ref="AC110" si="306">AR110</f>
        <v>473.92</v>
      </c>
      <c r="AD110" s="58">
        <f t="shared" si="286"/>
        <v>-5659.2799999999988</v>
      </c>
      <c r="AE110" s="59">
        <v>-270.81</v>
      </c>
      <c r="AF110" s="59">
        <v>-88.73</v>
      </c>
      <c r="AG110" s="59">
        <v>-98.12</v>
      </c>
      <c r="AH110" s="59">
        <v>-4501.91</v>
      </c>
      <c r="AI110" s="59">
        <v>-2997.93</v>
      </c>
      <c r="AJ110" s="59">
        <v>-1796.96</v>
      </c>
      <c r="AK110" s="59">
        <v>4095.18</v>
      </c>
      <c r="AL110" s="58">
        <f t="shared" si="177"/>
        <v>-321.93</v>
      </c>
      <c r="AM110" s="59">
        <v>0</v>
      </c>
      <c r="AN110" s="59">
        <v>0</v>
      </c>
      <c r="AO110" s="59">
        <v>-12.69</v>
      </c>
      <c r="AP110" s="59">
        <v>-710.18</v>
      </c>
      <c r="AQ110" s="59">
        <v>-72.98</v>
      </c>
      <c r="AR110" s="59">
        <v>473.92</v>
      </c>
      <c r="AS110" s="58">
        <f t="shared" si="178"/>
        <v>-30.859999999998763</v>
      </c>
      <c r="AT110" s="59">
        <v>-13964.15</v>
      </c>
      <c r="AU110" s="59">
        <v>13933.29</v>
      </c>
      <c r="AV110" s="58">
        <f t="shared" si="179"/>
        <v>-14.910000000000011</v>
      </c>
      <c r="AW110" s="59">
        <v>-102.51</v>
      </c>
      <c r="AX110" s="59">
        <v>87.6</v>
      </c>
      <c r="AY110" s="59">
        <v>0</v>
      </c>
      <c r="AZ110" s="58">
        <f t="shared" si="180"/>
        <v>-348.76</v>
      </c>
      <c r="BA110" s="59">
        <v>-118.31</v>
      </c>
      <c r="BB110" s="59">
        <v>-230.45</v>
      </c>
      <c r="BC110" s="59">
        <v>0</v>
      </c>
      <c r="BD110" s="58">
        <f t="shared" si="181"/>
        <v>-13.269999999999996</v>
      </c>
      <c r="BE110" s="59">
        <v>-23.9</v>
      </c>
      <c r="BF110" s="59">
        <v>34.24</v>
      </c>
      <c r="BG110" s="59">
        <v>-23.61</v>
      </c>
      <c r="BH110" s="58">
        <f t="shared" si="182"/>
        <v>-8.6700000000000017</v>
      </c>
      <c r="BI110" s="59">
        <v>90.32</v>
      </c>
      <c r="BJ110" s="59">
        <v>-98.99</v>
      </c>
      <c r="BK110" s="58">
        <f t="shared" si="183"/>
        <v>2426.06</v>
      </c>
      <c r="BL110" s="59">
        <v>0</v>
      </c>
      <c r="BM110" s="59">
        <v>52.51</v>
      </c>
      <c r="BN110" s="59">
        <v>0</v>
      </c>
      <c r="BO110" s="59">
        <v>877.94</v>
      </c>
      <c r="BP110" s="59">
        <v>1033.7</v>
      </c>
      <c r="BQ110" s="59">
        <v>0</v>
      </c>
      <c r="BR110" s="59">
        <v>381.12</v>
      </c>
      <c r="BS110" s="59">
        <v>80.790000000000006</v>
      </c>
      <c r="BT110" s="58">
        <f t="shared" si="184"/>
        <v>852.31999999999994</v>
      </c>
      <c r="BU110" s="59">
        <v>0</v>
      </c>
      <c r="BV110" s="59">
        <v>8.91</v>
      </c>
      <c r="BW110" s="59">
        <v>0</v>
      </c>
      <c r="BX110" s="59">
        <v>0</v>
      </c>
      <c r="BY110" s="59">
        <v>134.52000000000001</v>
      </c>
      <c r="BZ110" s="59">
        <v>0</v>
      </c>
      <c r="CA110" s="59">
        <v>708.89</v>
      </c>
      <c r="CB110" s="58">
        <f>'Quarter final consumption'!B110</f>
        <v>38159.61</v>
      </c>
      <c r="CC110" s="58">
        <f>'Quarter final consumption'!C110</f>
        <v>144.40999999999997</v>
      </c>
      <c r="CD110" s="58">
        <f>'Quarter final consumption'!D110</f>
        <v>99.43</v>
      </c>
      <c r="CE110" s="58">
        <f>'Quarter final consumption'!E110</f>
        <v>15009.08</v>
      </c>
      <c r="CF110" s="58">
        <f>'Quarter final consumption'!F110</f>
        <v>13958.269999999999</v>
      </c>
      <c r="CG110" s="58">
        <f>'Quarter final consumption'!G110</f>
        <v>2184.77</v>
      </c>
      <c r="CH110" s="58">
        <f>'Quarter final consumption'!H110</f>
        <v>6361.3</v>
      </c>
      <c r="CI110" s="71">
        <f>'Quarter final consumption'!I110</f>
        <v>402.35</v>
      </c>
    </row>
    <row r="111" spans="1:87" ht="15.5" x14ac:dyDescent="0.35">
      <c r="A111" s="50" t="s">
        <v>511</v>
      </c>
      <c r="B111" s="58">
        <f t="shared" ref="B111" si="307">SUM(C111:J111)</f>
        <v>38766.800000000003</v>
      </c>
      <c r="C111" s="58">
        <f t="shared" ref="C111" si="308">-L111-U111+BL111+BU111+CC111</f>
        <v>339.18000000000006</v>
      </c>
      <c r="D111" s="58">
        <f t="shared" ref="D111" si="309">-M111-V111+BM111+BV111+CD111</f>
        <v>402.19</v>
      </c>
      <c r="E111" s="58">
        <f t="shared" ref="E111" si="310">-N111-W111+BN111+BW111</f>
        <v>13837.660000000002</v>
      </c>
      <c r="F111" s="58">
        <f t="shared" ref="F111" si="311">-O111-X111+BO111+BX111+CE111</f>
        <v>3330.01</v>
      </c>
      <c r="G111" s="58">
        <f t="shared" ref="G111" si="312">-P111-Y111+BP111+BY111+CF111</f>
        <v>10858.68</v>
      </c>
      <c r="H111" s="58">
        <f t="shared" ref="H111" si="313">-Q111-Z111+BQ111+BZ111+CG111</f>
        <v>4667.32</v>
      </c>
      <c r="I111" s="58">
        <f t="shared" ref="I111" si="314">-R111-AA111</f>
        <v>4531.7800000000007</v>
      </c>
      <c r="J111" s="58">
        <f t="shared" ref="J111" si="315">-S111-AB111+BR111+CA111+CH111</f>
        <v>799.97999999999956</v>
      </c>
      <c r="K111" s="58">
        <f t="shared" ref="K111" si="316">SUM(L111:S111)</f>
        <v>-91.710000000000036</v>
      </c>
      <c r="L111" s="59">
        <v>0</v>
      </c>
      <c r="M111" s="59">
        <v>7.69</v>
      </c>
      <c r="N111" s="59">
        <v>-26.53</v>
      </c>
      <c r="O111" s="59">
        <v>-64.290000000000006</v>
      </c>
      <c r="P111" s="59">
        <v>160.12</v>
      </c>
      <c r="Q111" s="59">
        <v>-168.7</v>
      </c>
      <c r="R111" s="59">
        <v>-2063.86</v>
      </c>
      <c r="S111" s="59">
        <v>2063.86</v>
      </c>
      <c r="T111" s="58">
        <f t="shared" ref="T111" si="317">SUM(U111:AC111)</f>
        <v>-5937.5499999999984</v>
      </c>
      <c r="U111" s="58">
        <f t="shared" ref="U111" si="318">AE111+AM111+AW111+BA111+BE111</f>
        <v>-224.85000000000002</v>
      </c>
      <c r="V111" s="58">
        <f t="shared" ref="V111" si="319">AF111+AN111+AX111+BB111+BF111</f>
        <v>-246.98</v>
      </c>
      <c r="W111" s="58">
        <f t="shared" ref="W111" si="320">AT111+BI111</f>
        <v>-13811.130000000001</v>
      </c>
      <c r="X111" s="58">
        <f t="shared" ref="X111" si="321">AG111+AO111+AU111+AY111+BC111+BG111+BJ111</f>
        <v>13411.250000000002</v>
      </c>
      <c r="Y111" s="58">
        <f t="shared" ref="Y111" si="322">AH111+AP111</f>
        <v>-3455.56</v>
      </c>
      <c r="Z111" s="58">
        <f t="shared" ref="Z111" si="323">AI111+AQ111</f>
        <v>-2920.2700000000004</v>
      </c>
      <c r="AA111" s="58">
        <f t="shared" ref="AA111" si="324">AJ111</f>
        <v>-2467.92</v>
      </c>
      <c r="AB111" s="58">
        <f t="shared" ref="AB111" si="325">AK111</f>
        <v>3440.36</v>
      </c>
      <c r="AC111" s="58">
        <f t="shared" ref="AC111" si="326">AR111</f>
        <v>337.55</v>
      </c>
      <c r="AD111" s="58">
        <f t="shared" si="286"/>
        <v>-5126.3099999999995</v>
      </c>
      <c r="AE111" s="59">
        <v>-85.34</v>
      </c>
      <c r="AF111" s="59">
        <v>-99.61</v>
      </c>
      <c r="AG111" s="59">
        <v>-92.16</v>
      </c>
      <c r="AH111" s="59">
        <v>-2956.38</v>
      </c>
      <c r="AI111" s="59">
        <v>-2865.26</v>
      </c>
      <c r="AJ111" s="59">
        <v>-2467.92</v>
      </c>
      <c r="AK111" s="59">
        <v>3440.36</v>
      </c>
      <c r="AL111" s="58">
        <f t="shared" si="177"/>
        <v>-229.3</v>
      </c>
      <c r="AM111" s="59">
        <v>0</v>
      </c>
      <c r="AN111" s="59">
        <v>0</v>
      </c>
      <c r="AO111" s="59">
        <v>-12.66</v>
      </c>
      <c r="AP111" s="59">
        <v>-499.18</v>
      </c>
      <c r="AQ111" s="59">
        <v>-55.01</v>
      </c>
      <c r="AR111" s="59">
        <v>337.55</v>
      </c>
      <c r="AS111" s="58">
        <f t="shared" si="178"/>
        <v>-276.06999999999971</v>
      </c>
      <c r="AT111" s="59">
        <v>-13901.44</v>
      </c>
      <c r="AU111" s="59">
        <v>13625.37</v>
      </c>
      <c r="AV111" s="58">
        <f t="shared" si="179"/>
        <v>11.26</v>
      </c>
      <c r="AW111" s="59">
        <v>-0.36</v>
      </c>
      <c r="AX111" s="59">
        <v>11.62</v>
      </c>
      <c r="AY111" s="59">
        <v>0</v>
      </c>
      <c r="AZ111" s="58">
        <f t="shared" si="180"/>
        <v>-302.48</v>
      </c>
      <c r="BA111" s="59">
        <v>-115.09</v>
      </c>
      <c r="BB111" s="59">
        <v>-187.39</v>
      </c>
      <c r="BC111" s="59">
        <v>0</v>
      </c>
      <c r="BD111" s="58">
        <f t="shared" si="181"/>
        <v>-5.8800000000000008</v>
      </c>
      <c r="BE111" s="59">
        <v>-24.06</v>
      </c>
      <c r="BF111" s="59">
        <v>28.4</v>
      </c>
      <c r="BG111" s="59">
        <v>-10.220000000000001</v>
      </c>
      <c r="BH111" s="58">
        <f t="shared" si="182"/>
        <v>-8.769999999999996</v>
      </c>
      <c r="BI111" s="59">
        <v>90.31</v>
      </c>
      <c r="BJ111" s="59">
        <v>-99.08</v>
      </c>
      <c r="BK111" s="58">
        <f t="shared" si="183"/>
        <v>2210.1</v>
      </c>
      <c r="BL111" s="59">
        <v>0</v>
      </c>
      <c r="BM111" s="59">
        <v>44.47</v>
      </c>
      <c r="BN111" s="59">
        <v>0</v>
      </c>
      <c r="BO111" s="59">
        <v>784.59</v>
      </c>
      <c r="BP111" s="59">
        <v>953.46</v>
      </c>
      <c r="BQ111" s="59">
        <v>0</v>
      </c>
      <c r="BR111" s="59">
        <v>346.79</v>
      </c>
      <c r="BS111" s="59">
        <v>80.790000000000006</v>
      </c>
      <c r="BT111" s="58">
        <f t="shared" si="184"/>
        <v>608.9</v>
      </c>
      <c r="BU111" s="59">
        <v>0</v>
      </c>
      <c r="BV111" s="59">
        <v>17.39</v>
      </c>
      <c r="BW111" s="59">
        <v>0</v>
      </c>
      <c r="BX111" s="59">
        <v>0</v>
      </c>
      <c r="BY111" s="59">
        <v>79.680000000000007</v>
      </c>
      <c r="BZ111" s="59">
        <v>0</v>
      </c>
      <c r="CA111" s="59">
        <v>511.83</v>
      </c>
      <c r="CB111" s="58">
        <f>'Quarter final consumption'!B111</f>
        <v>29912.44</v>
      </c>
      <c r="CC111" s="58">
        <f>'Quarter final consumption'!C111</f>
        <v>114.33000000000001</v>
      </c>
      <c r="CD111" s="58">
        <f>'Quarter final consumption'!D111</f>
        <v>101.04</v>
      </c>
      <c r="CE111" s="58">
        <f>'Quarter final consumption'!E111</f>
        <v>15892.380000000001</v>
      </c>
      <c r="CF111" s="58">
        <f>'Quarter final consumption'!F111</f>
        <v>6530.1</v>
      </c>
      <c r="CG111" s="58">
        <f>'Quarter final consumption'!G111</f>
        <v>1578.35</v>
      </c>
      <c r="CH111" s="58">
        <f>'Quarter final consumption'!H111</f>
        <v>5445.58</v>
      </c>
      <c r="CI111" s="71">
        <f>'Quarter final consumption'!I111</f>
        <v>250.65999999999997</v>
      </c>
    </row>
    <row r="112" spans="1:87" ht="15.5" x14ac:dyDescent="0.35">
      <c r="A112" s="50" t="s">
        <v>512</v>
      </c>
      <c r="B112" s="58">
        <f t="shared" ref="B112" si="327">SUM(C112:J112)</f>
        <v>35899.97</v>
      </c>
      <c r="C112" s="58">
        <f t="shared" ref="C112" si="328">-L112-U112+BL112+BU112+CC112</f>
        <v>268.45000000000005</v>
      </c>
      <c r="D112" s="58">
        <f t="shared" ref="D112" si="329">-M112-V112+BM112+BV112+CD112</f>
        <v>245.46</v>
      </c>
      <c r="E112" s="58">
        <f t="shared" ref="E112" si="330">-N112-W112+BN112+BW112</f>
        <v>13566.570000000002</v>
      </c>
      <c r="F112" s="58">
        <f t="shared" ref="F112" si="331">-O112-X112+BO112+BX112+CE112</f>
        <v>3339.3700000000008</v>
      </c>
      <c r="G112" s="58">
        <f t="shared" ref="G112" si="332">-P112-Y112+BP112+BY112+CF112</f>
        <v>8772</v>
      </c>
      <c r="H112" s="58">
        <f t="shared" ref="H112" si="333">-Q112-Z112+BQ112+BZ112+CG112</f>
        <v>4558.1400000000003</v>
      </c>
      <c r="I112" s="58">
        <f t="shared" ref="I112" si="334">-R112-AA112</f>
        <v>4459.38</v>
      </c>
      <c r="J112" s="58">
        <f t="shared" ref="J112" si="335">-S112-AB112+BR112+CA112+CH112</f>
        <v>690.59999999999945</v>
      </c>
      <c r="K112" s="58">
        <f t="shared" ref="K112" si="336">SUM(L112:S112)</f>
        <v>168.51</v>
      </c>
      <c r="L112" s="59">
        <v>0</v>
      </c>
      <c r="M112" s="59">
        <v>-0.97</v>
      </c>
      <c r="N112" s="59">
        <v>121.63</v>
      </c>
      <c r="O112" s="59">
        <v>57.41</v>
      </c>
      <c r="P112" s="59">
        <v>160.99</v>
      </c>
      <c r="Q112" s="59">
        <v>-170.55</v>
      </c>
      <c r="R112" s="59">
        <v>-1999.49</v>
      </c>
      <c r="S112" s="59">
        <v>1999.49</v>
      </c>
      <c r="T112" s="58">
        <f t="shared" ref="T112" si="337">SUM(U112:AC112)</f>
        <v>-5678.550000000002</v>
      </c>
      <c r="U112" s="58">
        <f t="shared" ref="U112" si="338">AE112+AM112+AW112+BA112+BE112</f>
        <v>-154.01000000000002</v>
      </c>
      <c r="V112" s="58">
        <f t="shared" ref="V112" si="339">AF112+AN112+AX112+BB112+BF112</f>
        <v>-142.27000000000001</v>
      </c>
      <c r="W112" s="58">
        <f t="shared" ref="W112" si="340">AT112+BI112</f>
        <v>-13688.2</v>
      </c>
      <c r="X112" s="58">
        <f t="shared" ref="X112" si="341">AG112+AO112+AU112+AY112+BC112+BG112+BJ112</f>
        <v>13468.54</v>
      </c>
      <c r="Y112" s="58">
        <f t="shared" ref="Y112" si="342">AH112+AP112</f>
        <v>-3513.11</v>
      </c>
      <c r="Z112" s="58">
        <f t="shared" ref="Z112" si="343">AI112+AQ112</f>
        <v>-3003.19</v>
      </c>
      <c r="AA112" s="58">
        <f t="shared" ref="AA112" si="344">AJ112</f>
        <v>-2459.89</v>
      </c>
      <c r="AB112" s="58">
        <f t="shared" ref="AB112" si="345">AK112</f>
        <v>3515.89</v>
      </c>
      <c r="AC112" s="58">
        <f t="shared" ref="AC112" si="346">AR112</f>
        <v>297.69</v>
      </c>
      <c r="AD112" s="58">
        <f t="shared" ref="AD112:AD117" si="347">SUM(AE112:AK112)</f>
        <v>-5190.5400000000009</v>
      </c>
      <c r="AE112" s="59">
        <v>-59.13</v>
      </c>
      <c r="AF112" s="59">
        <v>-59.95</v>
      </c>
      <c r="AG112" s="59">
        <v>-98.4</v>
      </c>
      <c r="AH112" s="59">
        <v>-3075.63</v>
      </c>
      <c r="AI112" s="59">
        <v>-2953.43</v>
      </c>
      <c r="AJ112" s="59">
        <v>-2459.89</v>
      </c>
      <c r="AK112" s="59">
        <v>3515.89</v>
      </c>
      <c r="AL112" s="58">
        <f t="shared" si="177"/>
        <v>-202.2</v>
      </c>
      <c r="AM112" s="59">
        <v>0</v>
      </c>
      <c r="AN112" s="59">
        <v>0</v>
      </c>
      <c r="AO112" s="59">
        <v>-12.65</v>
      </c>
      <c r="AP112" s="59">
        <v>-437.48</v>
      </c>
      <c r="AQ112" s="59">
        <v>-49.76</v>
      </c>
      <c r="AR112" s="59">
        <v>297.69</v>
      </c>
      <c r="AS112" s="58">
        <f t="shared" si="178"/>
        <v>-86.170000000000073</v>
      </c>
      <c r="AT112" s="59">
        <v>-13765.66</v>
      </c>
      <c r="AU112" s="59">
        <v>13679.49</v>
      </c>
      <c r="AV112" s="58">
        <f t="shared" si="179"/>
        <v>2.0000000000000018E-2</v>
      </c>
      <c r="AW112" s="59">
        <v>-0.3</v>
      </c>
      <c r="AX112" s="59">
        <v>0.32</v>
      </c>
      <c r="AY112" s="59">
        <v>0</v>
      </c>
      <c r="AZ112" s="58">
        <f t="shared" si="180"/>
        <v>-187.98000000000002</v>
      </c>
      <c r="BA112" s="59">
        <v>-71.03</v>
      </c>
      <c r="BB112" s="59">
        <v>-116.95</v>
      </c>
      <c r="BC112" s="59">
        <v>0</v>
      </c>
      <c r="BD112" s="58">
        <f t="shared" si="181"/>
        <v>-7.5499999999999972</v>
      </c>
      <c r="BE112" s="59">
        <v>-23.55</v>
      </c>
      <c r="BF112" s="59">
        <v>34.31</v>
      </c>
      <c r="BG112" s="59">
        <v>-18.309999999999999</v>
      </c>
      <c r="BH112" s="58">
        <f t="shared" si="182"/>
        <v>-4.1300000000000097</v>
      </c>
      <c r="BI112" s="59">
        <v>77.459999999999994</v>
      </c>
      <c r="BJ112" s="59">
        <v>-81.59</v>
      </c>
      <c r="BK112" s="58">
        <f t="shared" si="183"/>
        <v>2189.46</v>
      </c>
      <c r="BL112" s="59">
        <v>0</v>
      </c>
      <c r="BM112" s="59">
        <v>24.58</v>
      </c>
      <c r="BN112" s="59">
        <v>0</v>
      </c>
      <c r="BO112" s="59">
        <v>820.44</v>
      </c>
      <c r="BP112" s="59">
        <v>908.77</v>
      </c>
      <c r="BQ112" s="59">
        <v>0</v>
      </c>
      <c r="BR112" s="59">
        <v>354.88</v>
      </c>
      <c r="BS112" s="59">
        <v>80.790000000000006</v>
      </c>
      <c r="BT112" s="58">
        <f t="shared" si="184"/>
        <v>587.15</v>
      </c>
      <c r="BU112" s="59">
        <v>0</v>
      </c>
      <c r="BV112" s="59">
        <v>5.83</v>
      </c>
      <c r="BW112" s="59">
        <v>0</v>
      </c>
      <c r="BX112" s="59">
        <v>0</v>
      </c>
      <c r="BY112" s="59">
        <v>85.42</v>
      </c>
      <c r="BZ112" s="59">
        <v>0</v>
      </c>
      <c r="CA112" s="59">
        <v>495.9</v>
      </c>
      <c r="CB112" s="58">
        <f>'Quarter final consumption'!B112</f>
        <v>27603.22</v>
      </c>
      <c r="CC112" s="58">
        <f>'Quarter final consumption'!C112</f>
        <v>114.44</v>
      </c>
      <c r="CD112" s="58">
        <f>'Quarter final consumption'!D112</f>
        <v>71.81</v>
      </c>
      <c r="CE112" s="58">
        <f>'Quarter final consumption'!E112</f>
        <v>16044.880000000001</v>
      </c>
      <c r="CF112" s="58">
        <f>'Quarter final consumption'!F112</f>
        <v>4425.6900000000005</v>
      </c>
      <c r="CG112" s="58">
        <f>'Quarter final consumption'!G112</f>
        <v>1384.3999999999999</v>
      </c>
      <c r="CH112" s="58">
        <f>'Quarter final consumption'!H112</f>
        <v>5355.2</v>
      </c>
      <c r="CI112" s="71">
        <f>'Quarter final consumption'!I112</f>
        <v>206.79999999999998</v>
      </c>
    </row>
    <row r="113" spans="1:87" ht="15.5" x14ac:dyDescent="0.35">
      <c r="A113" s="50" t="s">
        <v>514</v>
      </c>
      <c r="B113" s="58">
        <f t="shared" ref="B113" si="348">SUM(C113:J113)</f>
        <v>46092.1</v>
      </c>
      <c r="C113" s="58">
        <f t="shared" ref="C113" si="349">-L113-U113+BL113+BU113+CC113</f>
        <v>178.47999999999996</v>
      </c>
      <c r="D113" s="58">
        <f t="shared" ref="D113" si="350">-M113-V113+BM113+BV113+CD113</f>
        <v>97.97999999999999</v>
      </c>
      <c r="E113" s="58">
        <f t="shared" ref="E113" si="351">-N113-W113+BN113+BW113</f>
        <v>14112.06</v>
      </c>
      <c r="F113" s="58">
        <f t="shared" ref="F113" si="352">-O113-X113+BO113+BX113+CE113</f>
        <v>2691.4600000000009</v>
      </c>
      <c r="G113" s="58">
        <f t="shared" ref="G113" si="353">-P113-Y113+BP113+BY113+CF113</f>
        <v>18484.77</v>
      </c>
      <c r="H113" s="58">
        <f t="shared" ref="H113" si="354">-Q113-Z113+BQ113+BZ113+CG113</f>
        <v>5528.56</v>
      </c>
      <c r="I113" s="58">
        <f t="shared" ref="I113" si="355">-R113-AA113</f>
        <v>4385.21</v>
      </c>
      <c r="J113" s="58">
        <f t="shared" ref="J113" si="356">-S113-AB113+BR113+CA113+CH113</f>
        <v>613.57999999999993</v>
      </c>
      <c r="K113" s="58">
        <f t="shared" ref="K113" si="357">SUM(L113:S113)</f>
        <v>121.23000000000002</v>
      </c>
      <c r="L113" s="59">
        <v>0</v>
      </c>
      <c r="M113" s="59">
        <v>-0.6</v>
      </c>
      <c r="N113" s="59">
        <v>573.44000000000005</v>
      </c>
      <c r="O113" s="59">
        <v>-443.71</v>
      </c>
      <c r="P113" s="59">
        <v>162.65</v>
      </c>
      <c r="Q113" s="59">
        <v>-170.55</v>
      </c>
      <c r="R113" s="59">
        <v>-2292.9</v>
      </c>
      <c r="S113" s="59">
        <v>2292.9</v>
      </c>
      <c r="T113" s="58">
        <f t="shared" ref="T113" si="358">SUM(U113:AC113)</f>
        <v>-6555.07</v>
      </c>
      <c r="U113" s="58">
        <f t="shared" ref="U113" si="359">AE113+AM113+AW113+BA113+BE113</f>
        <v>-45.58</v>
      </c>
      <c r="V113" s="58">
        <f t="shared" ref="V113" si="360">AF113+AN113+AX113+BB113+BF113</f>
        <v>-26.689999999999991</v>
      </c>
      <c r="W113" s="58">
        <f t="shared" ref="W113" si="361">AT113+BI113</f>
        <v>-14685.5</v>
      </c>
      <c r="X113" s="58">
        <f t="shared" ref="X113" si="362">AG113+AO113+AU113+AY113+BC113+BG113+BJ113</f>
        <v>14330.49</v>
      </c>
      <c r="Y113" s="58">
        <f t="shared" ref="Y113" si="363">AH113+AP113</f>
        <v>-5572.67</v>
      </c>
      <c r="Z113" s="58">
        <f t="shared" ref="Z113" si="364">AI113+AQ113</f>
        <v>-3179.4100000000003</v>
      </c>
      <c r="AA113" s="58">
        <f t="shared" ref="AA113" si="365">AJ113</f>
        <v>-2092.31</v>
      </c>
      <c r="AB113" s="58">
        <f t="shared" ref="AB113" si="366">AK113</f>
        <v>4279.7700000000004</v>
      </c>
      <c r="AC113" s="58">
        <f t="shared" ref="AC113" si="367">AR113</f>
        <v>436.83</v>
      </c>
      <c r="AD113" s="58">
        <f t="shared" si="347"/>
        <v>-5965.4</v>
      </c>
      <c r="AE113" s="59">
        <v>-0.05</v>
      </c>
      <c r="AF113" s="59">
        <v>-24.31</v>
      </c>
      <c r="AG113" s="59">
        <v>-97.3</v>
      </c>
      <c r="AH113" s="59">
        <v>-4919.88</v>
      </c>
      <c r="AI113" s="59">
        <v>-3111.32</v>
      </c>
      <c r="AJ113" s="59">
        <v>-2092.31</v>
      </c>
      <c r="AK113" s="59">
        <v>4279.7700000000004</v>
      </c>
      <c r="AL113" s="58">
        <f t="shared" si="177"/>
        <v>-296.74000000000007</v>
      </c>
      <c r="AM113" s="59">
        <v>0</v>
      </c>
      <c r="AN113" s="59">
        <v>0</v>
      </c>
      <c r="AO113" s="59">
        <v>-12.69</v>
      </c>
      <c r="AP113" s="59">
        <v>-652.79</v>
      </c>
      <c r="AQ113" s="59">
        <v>-68.09</v>
      </c>
      <c r="AR113" s="59">
        <v>436.83</v>
      </c>
      <c r="AS113" s="58">
        <f t="shared" si="178"/>
        <v>-225.92000000000007</v>
      </c>
      <c r="AT113" s="59">
        <v>-14723.84</v>
      </c>
      <c r="AU113" s="59">
        <v>14497.92</v>
      </c>
      <c r="AV113" s="58">
        <f t="shared" si="179"/>
        <v>-0.25</v>
      </c>
      <c r="AW113" s="59">
        <v>-0.25</v>
      </c>
      <c r="AX113" s="59">
        <v>0</v>
      </c>
      <c r="AY113" s="59">
        <v>0</v>
      </c>
      <c r="AZ113" s="58">
        <f t="shared" si="180"/>
        <v>-66.36</v>
      </c>
      <c r="BA113" s="59">
        <v>-23.88</v>
      </c>
      <c r="BB113" s="59">
        <v>-42.48</v>
      </c>
      <c r="BC113" s="59">
        <v>0</v>
      </c>
      <c r="BD113" s="58">
        <f t="shared" si="181"/>
        <v>3.2600000000000033</v>
      </c>
      <c r="BE113" s="59">
        <v>-21.4</v>
      </c>
      <c r="BF113" s="59">
        <v>40.1</v>
      </c>
      <c r="BG113" s="59">
        <v>-15.44</v>
      </c>
      <c r="BH113" s="58">
        <f t="shared" si="182"/>
        <v>-3.6599999999999966</v>
      </c>
      <c r="BI113" s="59">
        <v>38.340000000000003</v>
      </c>
      <c r="BJ113" s="59">
        <v>-42</v>
      </c>
      <c r="BK113" s="58">
        <f t="shared" si="183"/>
        <v>2343.09</v>
      </c>
      <c r="BL113" s="59">
        <v>0</v>
      </c>
      <c r="BM113" s="59">
        <v>12.21</v>
      </c>
      <c r="BN113" s="59">
        <v>0</v>
      </c>
      <c r="BO113" s="59">
        <v>826.76</v>
      </c>
      <c r="BP113" s="59">
        <v>1066.17</v>
      </c>
      <c r="BQ113" s="59">
        <v>0</v>
      </c>
      <c r="BR113" s="59">
        <v>357.16</v>
      </c>
      <c r="BS113" s="59">
        <v>80.790000000000006</v>
      </c>
      <c r="BT113" s="58">
        <f t="shared" si="184"/>
        <v>817.16</v>
      </c>
      <c r="BU113" s="59">
        <v>0</v>
      </c>
      <c r="BV113" s="59">
        <v>1.92</v>
      </c>
      <c r="BW113" s="59">
        <v>0</v>
      </c>
      <c r="BX113" s="59">
        <v>0</v>
      </c>
      <c r="BY113" s="59">
        <v>114.25</v>
      </c>
      <c r="BZ113" s="59">
        <v>0</v>
      </c>
      <c r="CA113" s="59">
        <v>700.99</v>
      </c>
      <c r="CB113" s="58">
        <f>'Quarter final consumption'!B113</f>
        <v>36504.980000000003</v>
      </c>
      <c r="CC113" s="58">
        <f>'Quarter final consumption'!C113</f>
        <v>132.89999999999998</v>
      </c>
      <c r="CD113" s="58">
        <f>'Quarter final consumption'!D113</f>
        <v>56.56</v>
      </c>
      <c r="CE113" s="58">
        <f>'Quarter final consumption'!E113</f>
        <v>15751.480000000001</v>
      </c>
      <c r="CF113" s="58">
        <f>'Quarter final consumption'!F113</f>
        <v>11894.33</v>
      </c>
      <c r="CG113" s="58">
        <f>'Quarter final consumption'!G113</f>
        <v>2178.6</v>
      </c>
      <c r="CH113" s="58">
        <f>'Quarter final consumption'!H113</f>
        <v>6128.1</v>
      </c>
      <c r="CI113" s="71">
        <f>'Quarter final consumption'!I113</f>
        <v>363.01</v>
      </c>
    </row>
    <row r="114" spans="1:87" ht="15.5" x14ac:dyDescent="0.35">
      <c r="A114" s="50" t="s">
        <v>517</v>
      </c>
      <c r="B114" s="58">
        <f t="shared" ref="B114" si="368">SUM(C114:J114)</f>
        <v>48638.86</v>
      </c>
      <c r="C114" s="58">
        <f t="shared" ref="C114" si="369">-L114-U114+BL114+BU114+CC114</f>
        <v>188.55</v>
      </c>
      <c r="D114" s="58">
        <f t="shared" ref="D114" si="370">-M114-V114+BM114+BV114+CD114</f>
        <v>158.76</v>
      </c>
      <c r="E114" s="58">
        <f t="shared" ref="E114" si="371">-N114-W114+BN114+BW114</f>
        <v>12603.359999999999</v>
      </c>
      <c r="F114" s="58">
        <f t="shared" ref="F114" si="372">-O114-X114+BO114+BX114+CE114</f>
        <v>3411.2699999999986</v>
      </c>
      <c r="G114" s="58">
        <f t="shared" ref="G114" si="373">-P114-Y114+BP114+BY114+CF114</f>
        <v>21651.14</v>
      </c>
      <c r="H114" s="58">
        <f t="shared" ref="H114" si="374">-Q114-Z114+BQ114+BZ114+CG114</f>
        <v>5563.7199999999993</v>
      </c>
      <c r="I114" s="58">
        <f t="shared" ref="I114" si="375">-R114-AA114</f>
        <v>4399.7199999999993</v>
      </c>
      <c r="J114" s="58">
        <f t="shared" ref="J114" si="376">-S114-AB114+BR114+CA114+CH114</f>
        <v>662.34000000000015</v>
      </c>
      <c r="K114" s="58">
        <f t="shared" ref="K114" si="377">SUM(L114:S114)</f>
        <v>144.11999999999989</v>
      </c>
      <c r="L114" s="59">
        <v>0</v>
      </c>
      <c r="M114" s="59">
        <v>-2.56</v>
      </c>
      <c r="N114" s="59">
        <v>307.75</v>
      </c>
      <c r="O114" s="59">
        <v>-153.32</v>
      </c>
      <c r="P114" s="59">
        <v>159.09</v>
      </c>
      <c r="Q114" s="59">
        <v>-166.84</v>
      </c>
      <c r="R114" s="59">
        <v>-2333.85</v>
      </c>
      <c r="S114" s="59">
        <v>2333.85</v>
      </c>
      <c r="T114" s="58">
        <f t="shared" ref="T114" si="378">SUM(U114:AC114)</f>
        <v>-6742.6099999999988</v>
      </c>
      <c r="U114" s="58">
        <f t="shared" ref="U114" si="379">AE114+AM114+AW114+BA114+BE114</f>
        <v>-62.83</v>
      </c>
      <c r="V114" s="58">
        <f t="shared" ref="V114" si="380">AF114+AN114+AX114+BB114+BF114</f>
        <v>-79.300000000000011</v>
      </c>
      <c r="W114" s="58">
        <f t="shared" ref="W114" si="381">AT114+BI114</f>
        <v>-12911.109999999999</v>
      </c>
      <c r="X114" s="58">
        <f t="shared" ref="X114" si="382">AG114+AO114+AU114+AY114+BC114+BG114+BJ114</f>
        <v>12651.09</v>
      </c>
      <c r="Y114" s="58">
        <f t="shared" ref="Y114" si="383">AH114+AP114</f>
        <v>-6196.85</v>
      </c>
      <c r="Z114" s="58">
        <f t="shared" ref="Z114" si="384">AI114+AQ114</f>
        <v>-3082.64</v>
      </c>
      <c r="AA114" s="58">
        <f t="shared" ref="AA114" si="385">AJ114</f>
        <v>-2065.87</v>
      </c>
      <c r="AB114" s="58">
        <f t="shared" ref="AB114" si="386">AK114</f>
        <v>4530.9799999999996</v>
      </c>
      <c r="AC114" s="58">
        <f t="shared" ref="AC114" si="387">AR114</f>
        <v>473.92</v>
      </c>
      <c r="AD114" s="58">
        <f t="shared" si="347"/>
        <v>-6166.510000000002</v>
      </c>
      <c r="AE114" s="59">
        <v>0</v>
      </c>
      <c r="AF114" s="59">
        <v>-37.15</v>
      </c>
      <c r="AG114" s="59">
        <v>-98.12</v>
      </c>
      <c r="AH114" s="59">
        <v>-5486.67</v>
      </c>
      <c r="AI114" s="59">
        <v>-3009.68</v>
      </c>
      <c r="AJ114" s="59">
        <v>-2065.87</v>
      </c>
      <c r="AK114" s="59">
        <v>4530.9799999999996</v>
      </c>
      <c r="AL114" s="58">
        <f t="shared" si="177"/>
        <v>-321.91000000000003</v>
      </c>
      <c r="AM114" s="59">
        <v>0</v>
      </c>
      <c r="AN114" s="59">
        <v>0</v>
      </c>
      <c r="AO114" s="59">
        <v>-12.69</v>
      </c>
      <c r="AP114" s="59">
        <v>-710.18</v>
      </c>
      <c r="AQ114" s="59">
        <v>-72.959999999999994</v>
      </c>
      <c r="AR114" s="59">
        <v>473.92</v>
      </c>
      <c r="AS114" s="58">
        <f t="shared" si="178"/>
        <v>-117.81999999999971</v>
      </c>
      <c r="AT114" s="59">
        <v>-12986.97</v>
      </c>
      <c r="AU114" s="59">
        <v>12869.15</v>
      </c>
      <c r="AV114" s="58">
        <f t="shared" si="179"/>
        <v>0</v>
      </c>
      <c r="AW114" s="59">
        <v>0</v>
      </c>
      <c r="AX114" s="59">
        <v>0</v>
      </c>
      <c r="AY114" s="59">
        <v>0</v>
      </c>
      <c r="AZ114" s="58">
        <f t="shared" si="180"/>
        <v>-117.53</v>
      </c>
      <c r="BA114" s="59">
        <v>-45.78</v>
      </c>
      <c r="BB114" s="59">
        <v>-71.75</v>
      </c>
      <c r="BC114" s="59">
        <v>0</v>
      </c>
      <c r="BD114" s="58">
        <f t="shared" si="181"/>
        <v>-11.7</v>
      </c>
      <c r="BE114" s="59">
        <v>-17.05</v>
      </c>
      <c r="BF114" s="59">
        <v>29.6</v>
      </c>
      <c r="BG114" s="59">
        <v>-24.25</v>
      </c>
      <c r="BH114" s="58">
        <f t="shared" si="182"/>
        <v>-7.1400000000000006</v>
      </c>
      <c r="BI114" s="59">
        <v>75.86</v>
      </c>
      <c r="BJ114" s="59">
        <v>-83</v>
      </c>
      <c r="BK114" s="58">
        <f t="shared" si="183"/>
        <v>2252.88</v>
      </c>
      <c r="BL114" s="59">
        <v>0</v>
      </c>
      <c r="BM114" s="59">
        <v>18.489999999999998</v>
      </c>
      <c r="BN114" s="59">
        <v>0</v>
      </c>
      <c r="BO114" s="59">
        <v>758.65</v>
      </c>
      <c r="BP114" s="59">
        <v>1042.48</v>
      </c>
      <c r="BQ114" s="59">
        <v>0</v>
      </c>
      <c r="BR114" s="59">
        <v>352.47</v>
      </c>
      <c r="BS114" s="59">
        <v>80.790000000000006</v>
      </c>
      <c r="BT114" s="58">
        <f t="shared" si="184"/>
        <v>817.35</v>
      </c>
      <c r="BU114" s="59">
        <v>0</v>
      </c>
      <c r="BV114" s="59">
        <v>3.77</v>
      </c>
      <c r="BW114" s="59">
        <v>0</v>
      </c>
      <c r="BX114" s="59">
        <v>0</v>
      </c>
      <c r="BY114" s="59">
        <v>100.18</v>
      </c>
      <c r="BZ114" s="59">
        <v>0</v>
      </c>
      <c r="CA114" s="59">
        <v>713.4</v>
      </c>
      <c r="CB114" s="58">
        <f>'Quarter final consumption'!B114</f>
        <v>38979.360000000001</v>
      </c>
      <c r="CC114" s="58">
        <f>'Quarter final consumption'!C114</f>
        <v>125.72</v>
      </c>
      <c r="CD114" s="58">
        <f>'Quarter final consumption'!D114</f>
        <v>54.64</v>
      </c>
      <c r="CE114" s="58">
        <f>'Quarter final consumption'!E114</f>
        <v>15150.39</v>
      </c>
      <c r="CF114" s="58">
        <f>'Quarter final consumption'!F114</f>
        <v>14470.72</v>
      </c>
      <c r="CG114" s="58">
        <f>'Quarter final consumption'!G114</f>
        <v>2314.2399999999998</v>
      </c>
      <c r="CH114" s="58">
        <f>'Quarter final consumption'!H114</f>
        <v>6461.3</v>
      </c>
      <c r="CI114" s="71">
        <f>'Quarter final consumption'!I114</f>
        <v>402.35</v>
      </c>
    </row>
    <row r="115" spans="1:87" ht="15.5" x14ac:dyDescent="0.35">
      <c r="A115" s="50" t="s">
        <v>520</v>
      </c>
      <c r="B115" s="58">
        <f t="shared" ref="B115:B116" si="388">SUM(C115:J115)</f>
        <v>36970.9</v>
      </c>
      <c r="C115" s="58">
        <f t="shared" ref="C115:C116" si="389">-L115-U115+BL115+BU115+CC115</f>
        <v>166.72</v>
      </c>
      <c r="D115" s="58">
        <f t="shared" ref="D115:D116" si="390">-M115-V115+BM115+BV115+CD115</f>
        <v>149.66000000000003</v>
      </c>
      <c r="E115" s="58">
        <f t="shared" ref="E115:E116" si="391">-N115-W115+BN115+BW115</f>
        <v>13596.09</v>
      </c>
      <c r="F115" s="58">
        <f t="shared" ref="F115:F116" si="392">-O115-X115+BO115+BX115+CE115</f>
        <v>3343.1099999999988</v>
      </c>
      <c r="G115" s="58">
        <f t="shared" ref="G115:G116" si="393">-P115-Y115+BP115+BY115+CF115</f>
        <v>9957.5300000000007</v>
      </c>
      <c r="H115" s="58">
        <f t="shared" ref="H115:H116" si="394">-Q115-Z115+BQ115+BZ115+CG115</f>
        <v>4694.74</v>
      </c>
      <c r="I115" s="58">
        <f t="shared" ref="I115:I116" si="395">-R115-AA115</f>
        <v>4421</v>
      </c>
      <c r="J115" s="58">
        <f t="shared" ref="J115:J116" si="396">-S115-AB115+BR115+CA115+CH115</f>
        <v>642.05000000000018</v>
      </c>
      <c r="K115" s="58">
        <f t="shared" ref="K115:K116" si="397">SUM(L115:S115)</f>
        <v>-23.550000000000182</v>
      </c>
      <c r="L115" s="59">
        <v>0</v>
      </c>
      <c r="M115" s="59">
        <v>-3.18</v>
      </c>
      <c r="N115" s="59">
        <v>506.7</v>
      </c>
      <c r="O115" s="59">
        <v>-518.09</v>
      </c>
      <c r="P115" s="59">
        <v>159.72</v>
      </c>
      <c r="Q115" s="59">
        <v>-168.7</v>
      </c>
      <c r="R115" s="59">
        <v>-2279.1999999999998</v>
      </c>
      <c r="S115" s="59">
        <v>2279.1999999999998</v>
      </c>
      <c r="T115" s="58">
        <f t="shared" ref="T115" si="398">SUM(U115:AC115)</f>
        <v>-5371.9300000000021</v>
      </c>
      <c r="U115" s="58">
        <f t="shared" ref="U115" si="399">AE115+AM115+AW115+BA115+BE115</f>
        <v>-60.78</v>
      </c>
      <c r="V115" s="58">
        <f t="shared" ref="V115" si="400">AF115+AN115+AX115+BB115+BF115</f>
        <v>-78.69</v>
      </c>
      <c r="W115" s="58">
        <f t="shared" ref="W115" si="401">AT115+BI115</f>
        <v>-14102.79</v>
      </c>
      <c r="X115" s="58">
        <f t="shared" ref="X115" si="402">AG115+AO115+AU115+AY115+BC115+BG115+BJ115</f>
        <v>13911.699999999999</v>
      </c>
      <c r="Y115" s="58">
        <f t="shared" ref="Y115" si="403">AH115+AP115</f>
        <v>-3604.7799999999997</v>
      </c>
      <c r="Z115" s="58">
        <f t="shared" ref="Z115" si="404">AI115+AQ115</f>
        <v>-2963.2999999999997</v>
      </c>
      <c r="AA115" s="58">
        <f t="shared" ref="AA115" si="405">AJ115</f>
        <v>-2141.8000000000002</v>
      </c>
      <c r="AB115" s="58">
        <f t="shared" ref="AB115" si="406">AK115</f>
        <v>3330.96</v>
      </c>
      <c r="AC115" s="58">
        <f t="shared" ref="AC115" si="407">AR115</f>
        <v>337.55</v>
      </c>
      <c r="AD115" s="58">
        <f t="shared" si="347"/>
        <v>-4954.2699999999995</v>
      </c>
      <c r="AE115" s="59">
        <v>0</v>
      </c>
      <c r="AF115" s="59">
        <v>-37.36</v>
      </c>
      <c r="AG115" s="59">
        <v>-92.16</v>
      </c>
      <c r="AH115" s="59">
        <v>-3105.6</v>
      </c>
      <c r="AI115" s="59">
        <v>-2908.31</v>
      </c>
      <c r="AJ115" s="59">
        <v>-2141.8000000000002</v>
      </c>
      <c r="AK115" s="59">
        <v>3330.96</v>
      </c>
      <c r="AL115" s="58">
        <f t="shared" si="177"/>
        <v>-229.28000000000003</v>
      </c>
      <c r="AM115" s="59">
        <v>0</v>
      </c>
      <c r="AN115" s="59">
        <v>0</v>
      </c>
      <c r="AO115" s="59">
        <v>-12.66</v>
      </c>
      <c r="AP115" s="59">
        <v>-499.18</v>
      </c>
      <c r="AQ115" s="59">
        <v>-54.99</v>
      </c>
      <c r="AR115" s="59">
        <v>337.55</v>
      </c>
      <c r="AS115" s="58">
        <f t="shared" si="178"/>
        <v>-67.740000000001601</v>
      </c>
      <c r="AT115" s="59">
        <v>-14136.12</v>
      </c>
      <c r="AU115" s="59">
        <v>14068.38</v>
      </c>
      <c r="AV115" s="58">
        <f t="shared" si="179"/>
        <v>0</v>
      </c>
      <c r="AW115" s="59">
        <v>0</v>
      </c>
      <c r="AX115" s="59">
        <v>0</v>
      </c>
      <c r="AY115" s="59">
        <v>0</v>
      </c>
      <c r="AZ115" s="58">
        <f t="shared" si="180"/>
        <v>-113.62</v>
      </c>
      <c r="BA115" s="59">
        <v>-51.36</v>
      </c>
      <c r="BB115" s="59">
        <v>-62.26</v>
      </c>
      <c r="BC115" s="59">
        <v>0</v>
      </c>
      <c r="BD115" s="58">
        <f t="shared" si="181"/>
        <v>-3.9399999999999995</v>
      </c>
      <c r="BE115" s="59">
        <v>-9.42</v>
      </c>
      <c r="BF115" s="59">
        <v>20.93</v>
      </c>
      <c r="BG115" s="59">
        <v>-15.45</v>
      </c>
      <c r="BH115" s="58">
        <f t="shared" si="182"/>
        <v>-3.0799999999999983</v>
      </c>
      <c r="BI115" s="59">
        <v>33.33</v>
      </c>
      <c r="BJ115" s="59">
        <v>-36.409999999999997</v>
      </c>
      <c r="BK115" s="58">
        <f t="shared" si="183"/>
        <v>2092.19</v>
      </c>
      <c r="BL115" s="59">
        <v>0</v>
      </c>
      <c r="BM115" s="59">
        <v>19.059999999999999</v>
      </c>
      <c r="BN115" s="59">
        <v>0</v>
      </c>
      <c r="BO115" s="59">
        <v>756.98</v>
      </c>
      <c r="BP115" s="59">
        <v>919.11</v>
      </c>
      <c r="BQ115" s="59">
        <v>0</v>
      </c>
      <c r="BR115" s="59">
        <v>316.25</v>
      </c>
      <c r="BS115" s="59">
        <v>80.790000000000006</v>
      </c>
      <c r="BT115" s="58">
        <f t="shared" si="184"/>
        <v>530</v>
      </c>
      <c r="BU115" s="59">
        <v>0</v>
      </c>
      <c r="BV115" s="59">
        <v>3.62</v>
      </c>
      <c r="BW115" s="59">
        <v>0</v>
      </c>
      <c r="BX115" s="59">
        <v>0</v>
      </c>
      <c r="BY115" s="59">
        <v>47.79</v>
      </c>
      <c r="BZ115" s="59">
        <v>0</v>
      </c>
      <c r="CA115" s="59">
        <v>478.59</v>
      </c>
      <c r="CB115" s="58">
        <f>'Quarter final consumption'!B115</f>
        <v>28947.129999999997</v>
      </c>
      <c r="CC115" s="58">
        <f>'Quarter final consumption'!C115</f>
        <v>105.94</v>
      </c>
      <c r="CD115" s="58">
        <f>'Quarter final consumption'!D115</f>
        <v>45.11</v>
      </c>
      <c r="CE115" s="58">
        <f>'Quarter final consumption'!E115</f>
        <v>15979.739999999998</v>
      </c>
      <c r="CF115" s="58">
        <f>'Quarter final consumption'!F115</f>
        <v>5545.5700000000006</v>
      </c>
      <c r="CG115" s="58">
        <f>'Quarter final consumption'!G115</f>
        <v>1562.74</v>
      </c>
      <c r="CH115" s="58">
        <f>'Quarter final consumption'!H115</f>
        <v>5457.37</v>
      </c>
      <c r="CI115" s="71">
        <f>'Quarter final consumption'!I115</f>
        <v>250.65999999999997</v>
      </c>
    </row>
    <row r="116" spans="1:87" ht="15.5" x14ac:dyDescent="0.35">
      <c r="A116" s="50" t="s">
        <v>522</v>
      </c>
      <c r="B116" s="58">
        <f t="shared" si="388"/>
        <v>35493.569999999992</v>
      </c>
      <c r="C116" s="58">
        <f t="shared" si="389"/>
        <v>145.26999999999998</v>
      </c>
      <c r="D116" s="58">
        <f t="shared" si="390"/>
        <v>132.69999999999999</v>
      </c>
      <c r="E116" s="58">
        <f t="shared" si="391"/>
        <v>12784.14</v>
      </c>
      <c r="F116" s="58">
        <f t="shared" si="392"/>
        <v>4499.279999999997</v>
      </c>
      <c r="G116" s="58">
        <f t="shared" si="393"/>
        <v>8608.91</v>
      </c>
      <c r="H116" s="58">
        <f t="shared" si="394"/>
        <v>4646.25</v>
      </c>
      <c r="I116" s="58">
        <f t="shared" si="395"/>
        <v>3989.16</v>
      </c>
      <c r="J116" s="58">
        <f t="shared" si="396"/>
        <v>687.85999999999967</v>
      </c>
      <c r="K116" s="58">
        <f t="shared" si="397"/>
        <v>-102.21000000000004</v>
      </c>
      <c r="L116" s="59">
        <v>0</v>
      </c>
      <c r="M116" s="59">
        <v>-2.76</v>
      </c>
      <c r="N116" s="59">
        <v>340.62</v>
      </c>
      <c r="O116" s="59">
        <v>-431.84</v>
      </c>
      <c r="P116" s="59">
        <v>162.32</v>
      </c>
      <c r="Q116" s="59">
        <v>-170.55</v>
      </c>
      <c r="R116" s="59">
        <v>-2219.46</v>
      </c>
      <c r="S116" s="59">
        <v>2219.46</v>
      </c>
      <c r="T116" s="58">
        <f t="shared" ref="T116" si="408">SUM(U116:AC116)</f>
        <v>-5386.7899999999991</v>
      </c>
      <c r="U116" s="58">
        <f t="shared" ref="U116" si="409">AE116+AM116+AW116+BA116+BE116</f>
        <v>-41.2</v>
      </c>
      <c r="V116" s="58">
        <f t="shared" ref="V116" si="410">AF116+AN116+AX116+BB116+BF116</f>
        <v>-74.38</v>
      </c>
      <c r="W116" s="58">
        <f t="shared" ref="W116" si="411">AT116+BI116</f>
        <v>-13124.76</v>
      </c>
      <c r="X116" s="58">
        <f t="shared" ref="X116" si="412">AG116+AO116+AU116+AY116+BC116+BG116+BJ116</f>
        <v>12827.270000000002</v>
      </c>
      <c r="Y116" s="58">
        <f t="shared" ref="Y116" si="413">AH116+AP116</f>
        <v>-3748.2400000000002</v>
      </c>
      <c r="Z116" s="58">
        <f t="shared" ref="Z116" si="414">AI116+AQ116</f>
        <v>-3082.77</v>
      </c>
      <c r="AA116" s="58">
        <f t="shared" ref="AA116" si="415">AJ116</f>
        <v>-1769.7</v>
      </c>
      <c r="AB116" s="58">
        <f t="shared" ref="AB116" si="416">AK116</f>
        <v>3329.3</v>
      </c>
      <c r="AC116" s="58">
        <f t="shared" ref="AC116" si="417">AR116</f>
        <v>297.69</v>
      </c>
      <c r="AD116" s="58">
        <f t="shared" si="347"/>
        <v>-4909.79</v>
      </c>
      <c r="AE116" s="59">
        <v>0</v>
      </c>
      <c r="AF116" s="59">
        <v>-27.21</v>
      </c>
      <c r="AG116" s="59">
        <v>-98.4</v>
      </c>
      <c r="AH116" s="59">
        <v>-3310.76</v>
      </c>
      <c r="AI116" s="59">
        <v>-3033.02</v>
      </c>
      <c r="AJ116" s="59">
        <v>-1769.7</v>
      </c>
      <c r="AK116" s="59">
        <v>3329.3</v>
      </c>
      <c r="AL116" s="58">
        <f t="shared" si="177"/>
        <v>-202.19</v>
      </c>
      <c r="AM116" s="59">
        <v>0</v>
      </c>
      <c r="AN116" s="59">
        <v>0</v>
      </c>
      <c r="AO116" s="59">
        <v>-12.65</v>
      </c>
      <c r="AP116" s="59">
        <v>-437.48</v>
      </c>
      <c r="AQ116" s="59">
        <v>-49.75</v>
      </c>
      <c r="AR116" s="59">
        <v>297.69</v>
      </c>
      <c r="AS116" s="58">
        <f t="shared" si="178"/>
        <v>-168.77999999999884</v>
      </c>
      <c r="AT116" s="59">
        <v>-13184.22</v>
      </c>
      <c r="AU116" s="59">
        <v>13015.44</v>
      </c>
      <c r="AV116" s="58">
        <f t="shared" si="179"/>
        <v>0</v>
      </c>
      <c r="AW116" s="59">
        <v>0</v>
      </c>
      <c r="AX116" s="59">
        <v>0</v>
      </c>
      <c r="AY116" s="59">
        <v>0</v>
      </c>
      <c r="AZ116" s="58">
        <f t="shared" si="180"/>
        <v>-106.55</v>
      </c>
      <c r="BA116" s="59">
        <v>-31.91</v>
      </c>
      <c r="BB116" s="59">
        <v>-74.64</v>
      </c>
      <c r="BC116" s="59">
        <v>0</v>
      </c>
      <c r="BD116" s="58">
        <f t="shared" si="181"/>
        <v>3.6199999999999992</v>
      </c>
      <c r="BE116" s="59">
        <v>-9.2899999999999991</v>
      </c>
      <c r="BF116" s="59">
        <v>27.47</v>
      </c>
      <c r="BG116" s="59">
        <v>-14.56</v>
      </c>
      <c r="BH116" s="58">
        <f t="shared" si="182"/>
        <v>-3.1000000000000014</v>
      </c>
      <c r="BI116" s="59">
        <v>59.46</v>
      </c>
      <c r="BJ116" s="59">
        <v>-62.56</v>
      </c>
      <c r="BK116" s="58">
        <f t="shared" si="183"/>
        <v>1972.43</v>
      </c>
      <c r="BL116" s="59">
        <v>0</v>
      </c>
      <c r="BM116" s="59">
        <v>15.18</v>
      </c>
      <c r="BN116" s="59">
        <v>0</v>
      </c>
      <c r="BO116" s="59">
        <v>738.36</v>
      </c>
      <c r="BP116" s="59">
        <v>826.11</v>
      </c>
      <c r="BQ116" s="59">
        <v>0</v>
      </c>
      <c r="BR116" s="59">
        <v>311.99</v>
      </c>
      <c r="BS116" s="59">
        <v>80.790000000000006</v>
      </c>
      <c r="BT116" s="58">
        <f t="shared" si="184"/>
        <v>546.03</v>
      </c>
      <c r="BU116" s="59">
        <v>0</v>
      </c>
      <c r="BV116" s="59">
        <v>4.58</v>
      </c>
      <c r="BW116" s="59">
        <v>0</v>
      </c>
      <c r="BX116" s="59">
        <v>0</v>
      </c>
      <c r="BY116" s="59">
        <v>63.59</v>
      </c>
      <c r="BZ116" s="59">
        <v>0</v>
      </c>
      <c r="CA116" s="59">
        <v>477.86</v>
      </c>
      <c r="CB116" s="58">
        <f>'Quarter final consumption'!B116</f>
        <v>27476.01</v>
      </c>
      <c r="CC116" s="58">
        <f>'Quarter final consumption'!C116</f>
        <v>104.07</v>
      </c>
      <c r="CD116" s="58">
        <f>'Quarter final consumption'!D116</f>
        <v>35.799999999999997</v>
      </c>
      <c r="CE116" s="58">
        <f>'Quarter final consumption'!E116</f>
        <v>16156.349999999999</v>
      </c>
      <c r="CF116" s="58">
        <f>'Quarter final consumption'!F116</f>
        <v>4133.29</v>
      </c>
      <c r="CG116" s="58">
        <f>'Quarter final consumption'!G116</f>
        <v>1392.93</v>
      </c>
      <c r="CH116" s="58">
        <f>'Quarter final consumption'!H116</f>
        <v>5446.77</v>
      </c>
      <c r="CI116" s="71">
        <f>'Quarter final consumption'!I116</f>
        <v>206.79999999999998</v>
      </c>
    </row>
    <row r="117" spans="1:87" ht="15.5" x14ac:dyDescent="0.35">
      <c r="A117" s="50" t="s">
        <v>523</v>
      </c>
      <c r="B117" s="58">
        <f t="shared" ref="B117" si="418">SUM(C117:J117)</f>
        <v>45203.259999999995</v>
      </c>
      <c r="C117" s="58">
        <f t="shared" ref="C117" si="419">-L117-U117+BL117+BU117+CC117</f>
        <v>142.17000000000002</v>
      </c>
      <c r="D117" s="58">
        <f t="shared" ref="D117" si="420">-M117-V117+BM117+BV117+CD117</f>
        <v>142.98000000000002</v>
      </c>
      <c r="E117" s="58">
        <f t="shared" ref="E117" si="421">-N117-W117+BN117+BW117</f>
        <v>13115.39</v>
      </c>
      <c r="F117" s="58">
        <f t="shared" ref="F117" si="422">-O117-X117+BO117+BX117+CE117</f>
        <v>3826.5499999999993</v>
      </c>
      <c r="G117" s="58">
        <f t="shared" ref="G117" si="423">-P117-Y117+BP117+BY117+CF117</f>
        <v>17572.440000000002</v>
      </c>
      <c r="H117" s="58">
        <f t="shared" ref="H117" si="424">-Q117-Z117+BQ117+BZ117+CG117</f>
        <v>5220.6200000000008</v>
      </c>
      <c r="I117" s="58">
        <f t="shared" ref="I117" si="425">-R117-AA117</f>
        <v>4625.0200000000004</v>
      </c>
      <c r="J117" s="58">
        <f t="shared" ref="J117" si="426">-S117-AB117+BR117+CA117+CH117</f>
        <v>558.09000000000015</v>
      </c>
      <c r="K117" s="58">
        <f t="shared" ref="K117" si="427">SUM(L117:S117)</f>
        <v>-52.960000000000036</v>
      </c>
      <c r="L117" s="59">
        <v>0</v>
      </c>
      <c r="M117" s="59">
        <v>-1.45</v>
      </c>
      <c r="N117" s="59">
        <v>3.39</v>
      </c>
      <c r="O117" s="59">
        <v>-45.92</v>
      </c>
      <c r="P117" s="59">
        <v>161.57</v>
      </c>
      <c r="Q117" s="59">
        <v>-170.55</v>
      </c>
      <c r="R117" s="59">
        <v>-2814.36</v>
      </c>
      <c r="S117" s="59">
        <v>2814.36</v>
      </c>
      <c r="T117" s="58">
        <f t="shared" ref="T117" si="428">SUM(U117:AC117)</f>
        <v>-5858.7799999999988</v>
      </c>
      <c r="U117" s="58">
        <f t="shared" ref="U117" si="429">AE117+AM117+AW117+BA117+BE117</f>
        <v>-31.37</v>
      </c>
      <c r="V117" s="58">
        <f t="shared" ref="V117" si="430">AF117+AN117+AX117+BB117+BF117</f>
        <v>-90.580000000000013</v>
      </c>
      <c r="W117" s="58">
        <f t="shared" ref="W117" si="431">AT117+BI117</f>
        <v>-13118.779999999999</v>
      </c>
      <c r="X117" s="58">
        <f t="shared" ref="X117" si="432">AG117+AO117+AU117+AY117+BC117+BG117+BJ117</f>
        <v>12887.1</v>
      </c>
      <c r="Y117" s="58">
        <f t="shared" ref="Y117" si="433">AH117+AP117</f>
        <v>-4996.1000000000004</v>
      </c>
      <c r="Z117" s="58">
        <f t="shared" ref="Z117" si="434">AI117+AQ117</f>
        <v>-2997.8300000000004</v>
      </c>
      <c r="AA117" s="58">
        <f t="shared" ref="AA117" si="435">AJ117</f>
        <v>-1810.66</v>
      </c>
      <c r="AB117" s="58">
        <f t="shared" ref="AB117" si="436">AK117</f>
        <v>3862.61</v>
      </c>
      <c r="AC117" s="58">
        <f t="shared" ref="AC117" si="437">AR117</f>
        <v>436.83</v>
      </c>
      <c r="AD117" s="58">
        <f t="shared" si="347"/>
        <v>-5345.5400000000009</v>
      </c>
      <c r="AE117" s="59">
        <v>0</v>
      </c>
      <c r="AF117" s="59">
        <v>-27.12</v>
      </c>
      <c r="AG117" s="59">
        <v>-97.3</v>
      </c>
      <c r="AH117" s="59">
        <v>-4343.3100000000004</v>
      </c>
      <c r="AI117" s="59">
        <v>-2929.76</v>
      </c>
      <c r="AJ117" s="59">
        <v>-1810.66</v>
      </c>
      <c r="AK117" s="59">
        <v>3862.61</v>
      </c>
      <c r="AL117" s="58">
        <f t="shared" si="177"/>
        <v>-296.71999999999997</v>
      </c>
      <c r="AM117" s="59">
        <v>0</v>
      </c>
      <c r="AN117" s="59">
        <v>0</v>
      </c>
      <c r="AO117" s="59">
        <v>-12.69</v>
      </c>
      <c r="AP117" s="59">
        <v>-652.79</v>
      </c>
      <c r="AQ117" s="59">
        <v>-68.069999999999993</v>
      </c>
      <c r="AR117" s="59">
        <v>436.83</v>
      </c>
      <c r="AS117" s="58">
        <f t="shared" si="178"/>
        <v>-102.90999999999985</v>
      </c>
      <c r="AT117" s="59">
        <v>-13198.23</v>
      </c>
      <c r="AU117" s="59">
        <v>13095.32</v>
      </c>
      <c r="AV117" s="58">
        <f t="shared" si="179"/>
        <v>0</v>
      </c>
      <c r="AW117" s="59">
        <v>0</v>
      </c>
      <c r="AX117" s="59">
        <v>0</v>
      </c>
      <c r="AY117" s="59">
        <v>0</v>
      </c>
      <c r="AZ117" s="58">
        <f t="shared" si="180"/>
        <v>-114.58</v>
      </c>
      <c r="BA117" s="59">
        <v>-22.94</v>
      </c>
      <c r="BB117" s="59">
        <v>-91.64</v>
      </c>
      <c r="BC117" s="59">
        <v>0</v>
      </c>
      <c r="BD117" s="58">
        <f t="shared" si="181"/>
        <v>8.57</v>
      </c>
      <c r="BE117" s="59">
        <v>-8.43</v>
      </c>
      <c r="BF117" s="59">
        <v>28.18</v>
      </c>
      <c r="BG117" s="59">
        <v>-11.18</v>
      </c>
      <c r="BH117" s="58">
        <f t="shared" si="182"/>
        <v>-7.5999999999999943</v>
      </c>
      <c r="BI117" s="59">
        <v>79.45</v>
      </c>
      <c r="BJ117" s="59">
        <v>-87.05</v>
      </c>
      <c r="BK117" s="58">
        <f t="shared" si="183"/>
        <v>2156.7199999999998</v>
      </c>
      <c r="BL117" s="59">
        <v>0</v>
      </c>
      <c r="BM117" s="59">
        <v>14.84</v>
      </c>
      <c r="BN117" s="59">
        <v>0</v>
      </c>
      <c r="BO117" s="59">
        <v>789.9</v>
      </c>
      <c r="BP117" s="59">
        <v>942.82</v>
      </c>
      <c r="BQ117" s="59">
        <v>0</v>
      </c>
      <c r="BR117" s="59">
        <v>328.37</v>
      </c>
      <c r="BS117" s="59">
        <v>80.790000000000006</v>
      </c>
      <c r="BT117" s="58">
        <f t="shared" si="184"/>
        <v>864.18</v>
      </c>
      <c r="BU117" s="59">
        <v>0</v>
      </c>
      <c r="BV117" s="59">
        <v>3.22</v>
      </c>
      <c r="BW117" s="59">
        <v>0</v>
      </c>
      <c r="BX117" s="59">
        <v>0</v>
      </c>
      <c r="BY117" s="59">
        <v>130.91</v>
      </c>
      <c r="BZ117" s="59">
        <v>0</v>
      </c>
      <c r="CA117" s="59">
        <v>730.05</v>
      </c>
      <c r="CB117" s="58">
        <f>'Quarter final consumption'!B117</f>
        <v>36277.590000000004</v>
      </c>
      <c r="CC117" s="58">
        <f>'Quarter final consumption'!C117</f>
        <v>110.80000000000001</v>
      </c>
      <c r="CD117" s="58">
        <f>'Quarter final consumption'!D117</f>
        <v>32.89</v>
      </c>
      <c r="CE117" s="58">
        <f>'Quarter final consumption'!E117</f>
        <v>15877.83</v>
      </c>
      <c r="CF117" s="58">
        <f>'Quarter final consumption'!F117</f>
        <v>11664.18</v>
      </c>
      <c r="CG117" s="58">
        <f>'Quarter final consumption'!G117</f>
        <v>2052.2399999999998</v>
      </c>
      <c r="CH117" s="58">
        <f>'Quarter final consumption'!H117</f>
        <v>6176.64</v>
      </c>
      <c r="CI117" s="71">
        <f>'Quarter final consumption'!I117</f>
        <v>363.01</v>
      </c>
    </row>
  </sheetData>
  <phoneticPr fontId="17" type="noConversion"/>
  <pageMargins left="0.75" right="0.75" top="1" bottom="1" header="0.5" footer="0.5"/>
  <pageSetup paperSize="9" orientation="portrait" r:id="rId1"/>
  <headerFooter alignWithMargins="0"/>
  <ignoredErrors>
    <ignoredError sqref="K100:K101" formula="1"/>
  </ignoredError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61A18-BB6A-434D-BB02-4CCB91BF4736}">
  <dimension ref="A1:CF117"/>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5.5" x14ac:dyDescent="0.35"/>
  <cols>
    <col min="1" max="1" width="28.81640625" style="39" customWidth="1"/>
    <col min="2" max="2" width="21" style="39" bestFit="1" customWidth="1"/>
    <col min="3" max="3" width="7.54296875" style="39" customWidth="1"/>
    <col min="4" max="4" width="17.1796875" style="39" customWidth="1"/>
    <col min="5" max="5" width="17.81640625" style="39" bestFit="1" customWidth="1"/>
    <col min="6" max="6" width="14.81640625" style="39" customWidth="1"/>
    <col min="7" max="7" width="17.7265625" style="39" customWidth="1"/>
    <col min="8" max="8" width="10.54296875" style="39" customWidth="1"/>
    <col min="9" max="9" width="8.7265625" style="39" bestFit="1" customWidth="1"/>
    <col min="10" max="10" width="15.453125" style="39" bestFit="1" customWidth="1"/>
    <col min="11" max="11" width="7" style="39" customWidth="1"/>
    <col min="12" max="12" width="17.54296875" style="39" bestFit="1" customWidth="1"/>
    <col min="13" max="13" width="17.81640625" style="39" bestFit="1" customWidth="1"/>
    <col min="14" max="14" width="10.453125" style="39" bestFit="1" customWidth="1"/>
    <col min="15" max="15" width="18.54296875" style="39" bestFit="1" customWidth="1"/>
    <col min="16" max="16" width="10.453125" style="39" customWidth="1"/>
    <col min="17" max="17" width="8.7265625" style="39" bestFit="1" customWidth="1"/>
    <col min="18" max="18" width="19.1796875" style="39" bestFit="1" customWidth="1"/>
    <col min="19" max="19" width="6.26953125" style="39" customWidth="1"/>
    <col min="20" max="20" width="17.54296875" style="39" bestFit="1" customWidth="1"/>
    <col min="21" max="21" width="17.81640625" style="39" bestFit="1" customWidth="1"/>
    <col min="22" max="22" width="10.453125" style="39" bestFit="1" customWidth="1"/>
    <col min="23" max="23" width="18.54296875" style="39" bestFit="1" customWidth="1"/>
    <col min="24" max="24" width="11.1796875" style="39" customWidth="1"/>
    <col min="25" max="25" width="8.7265625" style="39" bestFit="1" customWidth="1"/>
    <col min="26" max="26" width="13.54296875" style="39" bestFit="1" customWidth="1"/>
    <col min="27" max="27" width="5.7265625" style="39" customWidth="1"/>
    <col min="28" max="28" width="17.81640625" style="39" bestFit="1" customWidth="1"/>
    <col min="29" max="29" width="10.453125" style="39" bestFit="1" customWidth="1"/>
    <col min="30" max="30" width="18.54296875" style="39" bestFit="1" customWidth="1"/>
    <col min="31" max="31" width="10" style="39" customWidth="1"/>
    <col min="32" max="32" width="13.453125" style="39" bestFit="1" customWidth="1"/>
    <col min="33" max="33" width="6.1796875" style="39" customWidth="1"/>
    <col min="34" max="34" width="17.54296875" style="39" bestFit="1" customWidth="1"/>
    <col min="35" max="35" width="17.81640625" style="39" bestFit="1" customWidth="1"/>
    <col min="36" max="36" width="10.453125" style="39" bestFit="1" customWidth="1"/>
    <col min="37" max="37" width="18.54296875" style="39" bestFit="1" customWidth="1"/>
    <col min="38" max="38" width="10.1796875" style="39" customWidth="1"/>
    <col min="39" max="39" width="8.7265625" style="39" bestFit="1" customWidth="1"/>
    <col min="40" max="40" width="19.453125" style="39" bestFit="1" customWidth="1"/>
    <col min="41" max="41" width="5.81640625" style="39" customWidth="1"/>
    <col min="42" max="42" width="17.54296875" style="39" bestFit="1" customWidth="1"/>
    <col min="43" max="43" width="17.81640625" style="39" bestFit="1" customWidth="1"/>
    <col min="44" max="44" width="10.453125" style="39" bestFit="1" customWidth="1"/>
    <col min="45" max="45" width="18.54296875" style="39" bestFit="1" customWidth="1"/>
    <col min="46" max="46" width="10.1796875" style="39" customWidth="1"/>
    <col min="47" max="47" width="8.7265625" style="39" bestFit="1" customWidth="1"/>
    <col min="48" max="48" width="16.1796875" style="39" customWidth="1"/>
    <col min="49" max="49" width="6.1796875" style="39" customWidth="1"/>
    <col min="50" max="50" width="17.54296875" style="39" bestFit="1" customWidth="1"/>
    <col min="51" max="51" width="17.81640625" style="39" bestFit="1" customWidth="1"/>
    <col min="52" max="52" width="10.453125" style="39" bestFit="1" customWidth="1"/>
    <col min="53" max="53" width="18.54296875" style="39" bestFit="1" customWidth="1"/>
    <col min="54" max="54" width="10.1796875" style="39" customWidth="1"/>
    <col min="55" max="55" width="8.7265625" style="39" bestFit="1" customWidth="1"/>
    <col min="56" max="56" width="15.54296875" style="39" bestFit="1" customWidth="1"/>
    <col min="57" max="57" width="5.453125" style="39" customWidth="1"/>
    <col min="58" max="58" width="17.54296875" style="39" bestFit="1" customWidth="1"/>
    <col min="59" max="59" width="17.81640625" style="39" bestFit="1" customWidth="1"/>
    <col min="60" max="60" width="10.453125" style="39" bestFit="1" customWidth="1"/>
    <col min="61" max="61" width="18.54296875" style="39" bestFit="1" customWidth="1"/>
    <col min="62" max="62" width="9.81640625" style="39" customWidth="1"/>
    <col min="63" max="63" width="8.7265625" style="39" bestFit="1" customWidth="1"/>
    <col min="64" max="64" width="14.81640625" style="39" bestFit="1" customWidth="1"/>
    <col min="65" max="65" width="6.26953125" style="39" customWidth="1"/>
    <col min="66" max="66" width="17.54296875" style="39" bestFit="1" customWidth="1"/>
    <col min="67" max="67" width="17.81640625" style="39" bestFit="1" customWidth="1"/>
    <col min="68" max="68" width="10.453125" style="39" bestFit="1" customWidth="1"/>
    <col min="69" max="69" width="18.54296875" style="39" bestFit="1" customWidth="1"/>
    <col min="70" max="70" width="9.81640625" style="39" customWidth="1"/>
    <col min="71" max="71" width="8.7265625" style="39" bestFit="1" customWidth="1"/>
    <col min="72" max="72" width="17.54296875" style="39" bestFit="1" customWidth="1"/>
    <col min="73" max="73" width="6.54296875" style="39" customWidth="1"/>
    <col min="74" max="74" width="17.54296875" style="39" bestFit="1" customWidth="1"/>
    <col min="75" max="75" width="17.81640625" style="39" bestFit="1" customWidth="1"/>
    <col min="76" max="76" width="10.453125" style="39" bestFit="1" customWidth="1"/>
    <col min="77" max="77" width="18.54296875" style="39" bestFit="1" customWidth="1"/>
    <col min="78" max="78" width="11" style="39" customWidth="1"/>
    <col min="79" max="79" width="8.7265625" style="39" bestFit="1" customWidth="1"/>
    <col min="80" max="80" width="18.7265625" style="39" bestFit="1" customWidth="1"/>
    <col min="81" max="81" width="17.54296875" style="39" bestFit="1" customWidth="1"/>
    <col min="82" max="82" width="17.81640625" style="39" bestFit="1" customWidth="1"/>
    <col min="83" max="83" width="10.453125" style="39" bestFit="1" customWidth="1"/>
    <col min="85" max="241" width="8.7265625" style="39"/>
    <col min="242" max="242" width="7.453125" style="39" customWidth="1"/>
    <col min="243" max="243" width="6.26953125" style="39" customWidth="1"/>
    <col min="244" max="244" width="3.26953125" style="39" customWidth="1"/>
    <col min="245" max="252" width="8.7265625" style="39"/>
    <col min="253" max="253" width="3.26953125" style="39" customWidth="1"/>
    <col min="254" max="261" width="8.7265625" style="39"/>
    <col min="262" max="262" width="3.26953125" style="39" customWidth="1"/>
    <col min="263" max="270" width="8.7265625" style="39"/>
    <col min="271" max="271" width="2.54296875" style="39" customWidth="1"/>
    <col min="272" max="272" width="10.26953125" style="39" bestFit="1" customWidth="1"/>
    <col min="273" max="273" width="10.26953125" style="39" customWidth="1"/>
    <col min="274" max="276" width="8.7265625" style="39"/>
    <col min="277" max="277" width="11" style="39" customWidth="1"/>
    <col min="278" max="285" width="8.7265625" style="39"/>
    <col min="286" max="286" width="3.26953125" style="39" customWidth="1"/>
    <col min="287" max="294" width="8.7265625" style="39"/>
    <col min="295" max="295" width="3.1796875" style="39" customWidth="1"/>
    <col min="296" max="303" width="8.7265625" style="39"/>
    <col min="304" max="304" width="3.26953125" style="39" customWidth="1"/>
    <col min="305" max="312" width="8.7265625" style="39"/>
    <col min="313" max="313" width="3.54296875" style="39" customWidth="1"/>
    <col min="314" max="321" width="8.7265625" style="39"/>
    <col min="322" max="322" width="3" style="39" customWidth="1"/>
    <col min="323" max="330" width="8.7265625" style="39"/>
    <col min="331" max="331" width="3.54296875" style="39" customWidth="1"/>
    <col min="332" max="497" width="8.7265625" style="39"/>
    <col min="498" max="498" width="7.453125" style="39" customWidth="1"/>
    <col min="499" max="499" width="6.26953125" style="39" customWidth="1"/>
    <col min="500" max="500" width="3.26953125" style="39" customWidth="1"/>
    <col min="501" max="508" width="8.7265625" style="39"/>
    <col min="509" max="509" width="3.26953125" style="39" customWidth="1"/>
    <col min="510" max="517" width="8.7265625" style="39"/>
    <col min="518" max="518" width="3.26953125" style="39" customWidth="1"/>
    <col min="519" max="526" width="8.7265625" style="39"/>
    <col min="527" max="527" width="2.54296875" style="39" customWidth="1"/>
    <col min="528" max="528" width="10.26953125" style="39" bestFit="1" customWidth="1"/>
    <col min="529" max="529" width="10.26953125" style="39" customWidth="1"/>
    <col min="530" max="532" width="8.7265625" style="39"/>
    <col min="533" max="533" width="11" style="39" customWidth="1"/>
    <col min="534" max="541" width="8.7265625" style="39"/>
    <col min="542" max="542" width="3.26953125" style="39" customWidth="1"/>
    <col min="543" max="550" width="8.7265625" style="39"/>
    <col min="551" max="551" width="3.1796875" style="39" customWidth="1"/>
    <col min="552" max="559" width="8.7265625" style="39"/>
    <col min="560" max="560" width="3.26953125" style="39" customWidth="1"/>
    <col min="561" max="568" width="8.7265625" style="39"/>
    <col min="569" max="569" width="3.54296875" style="39" customWidth="1"/>
    <col min="570" max="577" width="8.7265625" style="39"/>
    <col min="578" max="578" width="3" style="39" customWidth="1"/>
    <col min="579" max="586" width="8.7265625" style="39"/>
    <col min="587" max="587" width="3.54296875" style="39" customWidth="1"/>
    <col min="588" max="753" width="8.7265625" style="39"/>
    <col min="754" max="754" width="7.453125" style="39" customWidth="1"/>
    <col min="755" max="755" width="6.26953125" style="39" customWidth="1"/>
    <col min="756" max="756" width="3.26953125" style="39" customWidth="1"/>
    <col min="757" max="764" width="8.7265625" style="39"/>
    <col min="765" max="765" width="3.26953125" style="39" customWidth="1"/>
    <col min="766" max="773" width="8.7265625" style="39"/>
    <col min="774" max="774" width="3.26953125" style="39" customWidth="1"/>
    <col min="775" max="782" width="8.7265625" style="39"/>
    <col min="783" max="783" width="2.54296875" style="39" customWidth="1"/>
    <col min="784" max="784" width="10.26953125" style="39" bestFit="1" customWidth="1"/>
    <col min="785" max="785" width="10.26953125" style="39" customWidth="1"/>
    <col min="786" max="788" width="8.7265625" style="39"/>
    <col min="789" max="789" width="11" style="39" customWidth="1"/>
    <col min="790" max="797" width="8.7265625" style="39"/>
    <col min="798" max="798" width="3.26953125" style="39" customWidth="1"/>
    <col min="799" max="806" width="8.7265625" style="39"/>
    <col min="807" max="807" width="3.1796875" style="39" customWidth="1"/>
    <col min="808" max="815" width="8.7265625" style="39"/>
    <col min="816" max="816" width="3.26953125" style="39" customWidth="1"/>
    <col min="817" max="824" width="8.7265625" style="39"/>
    <col min="825" max="825" width="3.54296875" style="39" customWidth="1"/>
    <col min="826" max="833" width="8.7265625" style="39"/>
    <col min="834" max="834" width="3" style="39" customWidth="1"/>
    <col min="835" max="842" width="8.7265625" style="39"/>
    <col min="843" max="843" width="3.54296875" style="39" customWidth="1"/>
    <col min="844" max="1009" width="8.7265625" style="39"/>
    <col min="1010" max="1010" width="7.453125" style="39" customWidth="1"/>
    <col min="1011" max="1011" width="6.26953125" style="39" customWidth="1"/>
    <col min="1012" max="1012" width="3.26953125" style="39" customWidth="1"/>
    <col min="1013" max="1020" width="8.7265625" style="39"/>
    <col min="1021" max="1021" width="3.26953125" style="39" customWidth="1"/>
    <col min="1022" max="1029" width="8.7265625" style="39"/>
    <col min="1030" max="1030" width="3.26953125" style="39" customWidth="1"/>
    <col min="1031" max="1038" width="8.7265625" style="39"/>
    <col min="1039" max="1039" width="2.54296875" style="39" customWidth="1"/>
    <col min="1040" max="1040" width="10.26953125" style="39" bestFit="1" customWidth="1"/>
    <col min="1041" max="1041" width="10.26953125" style="39" customWidth="1"/>
    <col min="1042" max="1044" width="8.7265625" style="39"/>
    <col min="1045" max="1045" width="11" style="39" customWidth="1"/>
    <col min="1046" max="1053" width="8.7265625" style="39"/>
    <col min="1054" max="1054" width="3.26953125" style="39" customWidth="1"/>
    <col min="1055" max="1062" width="8.7265625" style="39"/>
    <col min="1063" max="1063" width="3.1796875" style="39" customWidth="1"/>
    <col min="1064" max="1071" width="8.7265625" style="39"/>
    <col min="1072" max="1072" width="3.26953125" style="39" customWidth="1"/>
    <col min="1073" max="1080" width="8.7265625" style="39"/>
    <col min="1081" max="1081" width="3.54296875" style="39" customWidth="1"/>
    <col min="1082" max="1089" width="8.7265625" style="39"/>
    <col min="1090" max="1090" width="3" style="39" customWidth="1"/>
    <col min="1091" max="1098" width="8.7265625" style="39"/>
    <col min="1099" max="1099" width="3.54296875" style="39" customWidth="1"/>
    <col min="1100" max="1265" width="8.7265625" style="39"/>
    <col min="1266" max="1266" width="7.453125" style="39" customWidth="1"/>
    <col min="1267" max="1267" width="6.26953125" style="39" customWidth="1"/>
    <col min="1268" max="1268" width="3.26953125" style="39" customWidth="1"/>
    <col min="1269" max="1276" width="8.7265625" style="39"/>
    <col min="1277" max="1277" width="3.26953125" style="39" customWidth="1"/>
    <col min="1278" max="1285" width="8.7265625" style="39"/>
    <col min="1286" max="1286" width="3.26953125" style="39" customWidth="1"/>
    <col min="1287" max="1294" width="8.7265625" style="39"/>
    <col min="1295" max="1295" width="2.54296875" style="39" customWidth="1"/>
    <col min="1296" max="1296" width="10.26953125" style="39" bestFit="1" customWidth="1"/>
    <col min="1297" max="1297" width="10.26953125" style="39" customWidth="1"/>
    <col min="1298" max="1300" width="8.7265625" style="39"/>
    <col min="1301" max="1301" width="11" style="39" customWidth="1"/>
    <col min="1302" max="1309" width="8.7265625" style="39"/>
    <col min="1310" max="1310" width="3.26953125" style="39" customWidth="1"/>
    <col min="1311" max="1318" width="8.7265625" style="39"/>
    <col min="1319" max="1319" width="3.1796875" style="39" customWidth="1"/>
    <col min="1320" max="1327" width="8.7265625" style="39"/>
    <col min="1328" max="1328" width="3.26953125" style="39" customWidth="1"/>
    <col min="1329" max="1336" width="8.7265625" style="39"/>
    <col min="1337" max="1337" width="3.54296875" style="39" customWidth="1"/>
    <col min="1338" max="1345" width="8.7265625" style="39"/>
    <col min="1346" max="1346" width="3" style="39" customWidth="1"/>
    <col min="1347" max="1354" width="8.7265625" style="39"/>
    <col min="1355" max="1355" width="3.54296875" style="39" customWidth="1"/>
    <col min="1356" max="1521" width="8.7265625" style="39"/>
    <col min="1522" max="1522" width="7.453125" style="39" customWidth="1"/>
    <col min="1523" max="1523" width="6.26953125" style="39" customWidth="1"/>
    <col min="1524" max="1524" width="3.26953125" style="39" customWidth="1"/>
    <col min="1525" max="1532" width="8.7265625" style="39"/>
    <col min="1533" max="1533" width="3.26953125" style="39" customWidth="1"/>
    <col min="1534" max="1541" width="8.7265625" style="39"/>
    <col min="1542" max="1542" width="3.26953125" style="39" customWidth="1"/>
    <col min="1543" max="1550" width="8.7265625" style="39"/>
    <col min="1551" max="1551" width="2.54296875" style="39" customWidth="1"/>
    <col min="1552" max="1552" width="10.26953125" style="39" bestFit="1" customWidth="1"/>
    <col min="1553" max="1553" width="10.26953125" style="39" customWidth="1"/>
    <col min="1554" max="1556" width="8.7265625" style="39"/>
    <col min="1557" max="1557" width="11" style="39" customWidth="1"/>
    <col min="1558" max="1565" width="8.7265625" style="39"/>
    <col min="1566" max="1566" width="3.26953125" style="39" customWidth="1"/>
    <col min="1567" max="1574" width="8.7265625" style="39"/>
    <col min="1575" max="1575" width="3.1796875" style="39" customWidth="1"/>
    <col min="1576" max="1583" width="8.7265625" style="39"/>
    <col min="1584" max="1584" width="3.26953125" style="39" customWidth="1"/>
    <col min="1585" max="1592" width="8.7265625" style="39"/>
    <col min="1593" max="1593" width="3.54296875" style="39" customWidth="1"/>
    <col min="1594" max="1601" width="8.7265625" style="39"/>
    <col min="1602" max="1602" width="3" style="39" customWidth="1"/>
    <col min="1603" max="1610" width="8.7265625" style="39"/>
    <col min="1611" max="1611" width="3.54296875" style="39" customWidth="1"/>
    <col min="1612" max="1777" width="8.7265625" style="39"/>
    <col min="1778" max="1778" width="7.453125" style="39" customWidth="1"/>
    <col min="1779" max="1779" width="6.26953125" style="39" customWidth="1"/>
    <col min="1780" max="1780" width="3.26953125" style="39" customWidth="1"/>
    <col min="1781" max="1788" width="8.7265625" style="39"/>
    <col min="1789" max="1789" width="3.26953125" style="39" customWidth="1"/>
    <col min="1790" max="1797" width="8.7265625" style="39"/>
    <col min="1798" max="1798" width="3.26953125" style="39" customWidth="1"/>
    <col min="1799" max="1806" width="8.7265625" style="39"/>
    <col min="1807" max="1807" width="2.54296875" style="39" customWidth="1"/>
    <col min="1808" max="1808" width="10.26953125" style="39" bestFit="1" customWidth="1"/>
    <col min="1809" max="1809" width="10.26953125" style="39" customWidth="1"/>
    <col min="1810" max="1812" width="8.7265625" style="39"/>
    <col min="1813" max="1813" width="11" style="39" customWidth="1"/>
    <col min="1814" max="1821" width="8.7265625" style="39"/>
    <col min="1822" max="1822" width="3.26953125" style="39" customWidth="1"/>
    <col min="1823" max="1830" width="8.7265625" style="39"/>
    <col min="1831" max="1831" width="3.1796875" style="39" customWidth="1"/>
    <col min="1832" max="1839" width="8.7265625" style="39"/>
    <col min="1840" max="1840" width="3.26953125" style="39" customWidth="1"/>
    <col min="1841" max="1848" width="8.7265625" style="39"/>
    <col min="1849" max="1849" width="3.54296875" style="39" customWidth="1"/>
    <col min="1850" max="1857" width="8.7265625" style="39"/>
    <col min="1858" max="1858" width="3" style="39" customWidth="1"/>
    <col min="1859" max="1866" width="8.7265625" style="39"/>
    <col min="1867" max="1867" width="3.54296875" style="39" customWidth="1"/>
    <col min="1868" max="2033" width="8.7265625" style="39"/>
    <col min="2034" max="2034" width="7.453125" style="39" customWidth="1"/>
    <col min="2035" max="2035" width="6.26953125" style="39" customWidth="1"/>
    <col min="2036" max="2036" width="3.26953125" style="39" customWidth="1"/>
    <col min="2037" max="2044" width="8.7265625" style="39"/>
    <col min="2045" max="2045" width="3.26953125" style="39" customWidth="1"/>
    <col min="2046" max="2053" width="8.7265625" style="39"/>
    <col min="2054" max="2054" width="3.26953125" style="39" customWidth="1"/>
    <col min="2055" max="2062" width="8.7265625" style="39"/>
    <col min="2063" max="2063" width="2.54296875" style="39" customWidth="1"/>
    <col min="2064" max="2064" width="10.26953125" style="39" bestFit="1" customWidth="1"/>
    <col min="2065" max="2065" width="10.26953125" style="39" customWidth="1"/>
    <col min="2066" max="2068" width="8.7265625" style="39"/>
    <col min="2069" max="2069" width="11" style="39" customWidth="1"/>
    <col min="2070" max="2077" width="8.7265625" style="39"/>
    <col min="2078" max="2078" width="3.26953125" style="39" customWidth="1"/>
    <col min="2079" max="2086" width="8.7265625" style="39"/>
    <col min="2087" max="2087" width="3.1796875" style="39" customWidth="1"/>
    <col min="2088" max="2095" width="8.7265625" style="39"/>
    <col min="2096" max="2096" width="3.26953125" style="39" customWidth="1"/>
    <col min="2097" max="2104" width="8.7265625" style="39"/>
    <col min="2105" max="2105" width="3.54296875" style="39" customWidth="1"/>
    <col min="2106" max="2113" width="8.7265625" style="39"/>
    <col min="2114" max="2114" width="3" style="39" customWidth="1"/>
    <col min="2115" max="2122" width="8.7265625" style="39"/>
    <col min="2123" max="2123" width="3.54296875" style="39" customWidth="1"/>
    <col min="2124" max="2289" width="8.7265625" style="39"/>
    <col min="2290" max="2290" width="7.453125" style="39" customWidth="1"/>
    <col min="2291" max="2291" width="6.26953125" style="39" customWidth="1"/>
    <col min="2292" max="2292" width="3.26953125" style="39" customWidth="1"/>
    <col min="2293" max="2300" width="8.7265625" style="39"/>
    <col min="2301" max="2301" width="3.26953125" style="39" customWidth="1"/>
    <col min="2302" max="2309" width="8.7265625" style="39"/>
    <col min="2310" max="2310" width="3.26953125" style="39" customWidth="1"/>
    <col min="2311" max="2318" width="8.7265625" style="39"/>
    <col min="2319" max="2319" width="2.54296875" style="39" customWidth="1"/>
    <col min="2320" max="2320" width="10.26953125" style="39" bestFit="1" customWidth="1"/>
    <col min="2321" max="2321" width="10.26953125" style="39" customWidth="1"/>
    <col min="2322" max="2324" width="8.7265625" style="39"/>
    <col min="2325" max="2325" width="11" style="39" customWidth="1"/>
    <col min="2326" max="2333" width="8.7265625" style="39"/>
    <col min="2334" max="2334" width="3.26953125" style="39" customWidth="1"/>
    <col min="2335" max="2342" width="8.7265625" style="39"/>
    <col min="2343" max="2343" width="3.1796875" style="39" customWidth="1"/>
    <col min="2344" max="2351" width="8.7265625" style="39"/>
    <col min="2352" max="2352" width="3.26953125" style="39" customWidth="1"/>
    <col min="2353" max="2360" width="8.7265625" style="39"/>
    <col min="2361" max="2361" width="3.54296875" style="39" customWidth="1"/>
    <col min="2362" max="2369" width="8.7265625" style="39"/>
    <col min="2370" max="2370" width="3" style="39" customWidth="1"/>
    <col min="2371" max="2378" width="8.7265625" style="39"/>
    <col min="2379" max="2379" width="3.54296875" style="39" customWidth="1"/>
    <col min="2380" max="2545" width="8.7265625" style="39"/>
    <col min="2546" max="2546" width="7.453125" style="39" customWidth="1"/>
    <col min="2547" max="2547" width="6.26953125" style="39" customWidth="1"/>
    <col min="2548" max="2548" width="3.26953125" style="39" customWidth="1"/>
    <col min="2549" max="2556" width="8.7265625" style="39"/>
    <col min="2557" max="2557" width="3.26953125" style="39" customWidth="1"/>
    <col min="2558" max="2565" width="8.7265625" style="39"/>
    <col min="2566" max="2566" width="3.26953125" style="39" customWidth="1"/>
    <col min="2567" max="2574" width="8.7265625" style="39"/>
    <col min="2575" max="2575" width="2.54296875" style="39" customWidth="1"/>
    <col min="2576" max="2576" width="10.26953125" style="39" bestFit="1" customWidth="1"/>
    <col min="2577" max="2577" width="10.26953125" style="39" customWidth="1"/>
    <col min="2578" max="2580" width="8.7265625" style="39"/>
    <col min="2581" max="2581" width="11" style="39" customWidth="1"/>
    <col min="2582" max="2589" width="8.7265625" style="39"/>
    <col min="2590" max="2590" width="3.26953125" style="39" customWidth="1"/>
    <col min="2591" max="2598" width="8.7265625" style="39"/>
    <col min="2599" max="2599" width="3.1796875" style="39" customWidth="1"/>
    <col min="2600" max="2607" width="8.7265625" style="39"/>
    <col min="2608" max="2608" width="3.26953125" style="39" customWidth="1"/>
    <col min="2609" max="2616" width="8.7265625" style="39"/>
    <col min="2617" max="2617" width="3.54296875" style="39" customWidth="1"/>
    <col min="2618" max="2625" width="8.7265625" style="39"/>
    <col min="2626" max="2626" width="3" style="39" customWidth="1"/>
    <col min="2627" max="2634" width="8.7265625" style="39"/>
    <col min="2635" max="2635" width="3.54296875" style="39" customWidth="1"/>
    <col min="2636" max="2801" width="8.7265625" style="39"/>
    <col min="2802" max="2802" width="7.453125" style="39" customWidth="1"/>
    <col min="2803" max="2803" width="6.26953125" style="39" customWidth="1"/>
    <col min="2804" max="2804" width="3.26953125" style="39" customWidth="1"/>
    <col min="2805" max="2812" width="8.7265625" style="39"/>
    <col min="2813" max="2813" width="3.26953125" style="39" customWidth="1"/>
    <col min="2814" max="2821" width="8.7265625" style="39"/>
    <col min="2822" max="2822" width="3.26953125" style="39" customWidth="1"/>
    <col min="2823" max="2830" width="8.7265625" style="39"/>
    <col min="2831" max="2831" width="2.54296875" style="39" customWidth="1"/>
    <col min="2832" max="2832" width="10.26953125" style="39" bestFit="1" customWidth="1"/>
    <col min="2833" max="2833" width="10.26953125" style="39" customWidth="1"/>
    <col min="2834" max="2836" width="8.7265625" style="39"/>
    <col min="2837" max="2837" width="11" style="39" customWidth="1"/>
    <col min="2838" max="2845" width="8.7265625" style="39"/>
    <col min="2846" max="2846" width="3.26953125" style="39" customWidth="1"/>
    <col min="2847" max="2854" width="8.7265625" style="39"/>
    <col min="2855" max="2855" width="3.1796875" style="39" customWidth="1"/>
    <col min="2856" max="2863" width="8.7265625" style="39"/>
    <col min="2864" max="2864" width="3.26953125" style="39" customWidth="1"/>
    <col min="2865" max="2872" width="8.7265625" style="39"/>
    <col min="2873" max="2873" width="3.54296875" style="39" customWidth="1"/>
    <col min="2874" max="2881" width="8.7265625" style="39"/>
    <col min="2882" max="2882" width="3" style="39" customWidth="1"/>
    <col min="2883" max="2890" width="8.7265625" style="39"/>
    <col min="2891" max="2891" width="3.54296875" style="39" customWidth="1"/>
    <col min="2892" max="3057" width="8.7265625" style="39"/>
    <col min="3058" max="3058" width="7.453125" style="39" customWidth="1"/>
    <col min="3059" max="3059" width="6.26953125" style="39" customWidth="1"/>
    <col min="3060" max="3060" width="3.26953125" style="39" customWidth="1"/>
    <col min="3061" max="3068" width="8.7265625" style="39"/>
    <col min="3069" max="3069" width="3.26953125" style="39" customWidth="1"/>
    <col min="3070" max="3077" width="8.7265625" style="39"/>
    <col min="3078" max="3078" width="3.26953125" style="39" customWidth="1"/>
    <col min="3079" max="3086" width="8.7265625" style="39"/>
    <col min="3087" max="3087" width="2.54296875" style="39" customWidth="1"/>
    <col min="3088" max="3088" width="10.26953125" style="39" bestFit="1" customWidth="1"/>
    <col min="3089" max="3089" width="10.26953125" style="39" customWidth="1"/>
    <col min="3090" max="3092" width="8.7265625" style="39"/>
    <col min="3093" max="3093" width="11" style="39" customWidth="1"/>
    <col min="3094" max="3101" width="8.7265625" style="39"/>
    <col min="3102" max="3102" width="3.26953125" style="39" customWidth="1"/>
    <col min="3103" max="3110" width="8.7265625" style="39"/>
    <col min="3111" max="3111" width="3.1796875" style="39" customWidth="1"/>
    <col min="3112" max="3119" width="8.7265625" style="39"/>
    <col min="3120" max="3120" width="3.26953125" style="39" customWidth="1"/>
    <col min="3121" max="3128" width="8.7265625" style="39"/>
    <col min="3129" max="3129" width="3.54296875" style="39" customWidth="1"/>
    <col min="3130" max="3137" width="8.7265625" style="39"/>
    <col min="3138" max="3138" width="3" style="39" customWidth="1"/>
    <col min="3139" max="3146" width="8.7265625" style="39"/>
    <col min="3147" max="3147" width="3.54296875" style="39" customWidth="1"/>
    <col min="3148" max="3313" width="8.7265625" style="39"/>
    <col min="3314" max="3314" width="7.453125" style="39" customWidth="1"/>
    <col min="3315" max="3315" width="6.26953125" style="39" customWidth="1"/>
    <col min="3316" max="3316" width="3.26953125" style="39" customWidth="1"/>
    <col min="3317" max="3324" width="8.7265625" style="39"/>
    <col min="3325" max="3325" width="3.26953125" style="39" customWidth="1"/>
    <col min="3326" max="3333" width="8.7265625" style="39"/>
    <col min="3334" max="3334" width="3.26953125" style="39" customWidth="1"/>
    <col min="3335" max="3342" width="8.7265625" style="39"/>
    <col min="3343" max="3343" width="2.54296875" style="39" customWidth="1"/>
    <col min="3344" max="3344" width="10.26953125" style="39" bestFit="1" customWidth="1"/>
    <col min="3345" max="3345" width="10.26953125" style="39" customWidth="1"/>
    <col min="3346" max="3348" width="8.7265625" style="39"/>
    <col min="3349" max="3349" width="11" style="39" customWidth="1"/>
    <col min="3350" max="3357" width="8.7265625" style="39"/>
    <col min="3358" max="3358" width="3.26953125" style="39" customWidth="1"/>
    <col min="3359" max="3366" width="8.7265625" style="39"/>
    <col min="3367" max="3367" width="3.1796875" style="39" customWidth="1"/>
    <col min="3368" max="3375" width="8.7265625" style="39"/>
    <col min="3376" max="3376" width="3.26953125" style="39" customWidth="1"/>
    <col min="3377" max="3384" width="8.7265625" style="39"/>
    <col min="3385" max="3385" width="3.54296875" style="39" customWidth="1"/>
    <col min="3386" max="3393" width="8.7265625" style="39"/>
    <col min="3394" max="3394" width="3" style="39" customWidth="1"/>
    <col min="3395" max="3402" width="8.7265625" style="39"/>
    <col min="3403" max="3403" width="3.54296875" style="39" customWidth="1"/>
    <col min="3404" max="3569" width="8.7265625" style="39"/>
    <col min="3570" max="3570" width="7.453125" style="39" customWidth="1"/>
    <col min="3571" max="3571" width="6.26953125" style="39" customWidth="1"/>
    <col min="3572" max="3572" width="3.26953125" style="39" customWidth="1"/>
    <col min="3573" max="3580" width="8.7265625" style="39"/>
    <col min="3581" max="3581" width="3.26953125" style="39" customWidth="1"/>
    <col min="3582" max="3589" width="8.7265625" style="39"/>
    <col min="3590" max="3590" width="3.26953125" style="39" customWidth="1"/>
    <col min="3591" max="3598" width="8.7265625" style="39"/>
    <col min="3599" max="3599" width="2.54296875" style="39" customWidth="1"/>
    <col min="3600" max="3600" width="10.26953125" style="39" bestFit="1" customWidth="1"/>
    <col min="3601" max="3601" width="10.26953125" style="39" customWidth="1"/>
    <col min="3602" max="3604" width="8.7265625" style="39"/>
    <col min="3605" max="3605" width="11" style="39" customWidth="1"/>
    <col min="3606" max="3613" width="8.7265625" style="39"/>
    <col min="3614" max="3614" width="3.26953125" style="39" customWidth="1"/>
    <col min="3615" max="3622" width="8.7265625" style="39"/>
    <col min="3623" max="3623" width="3.1796875" style="39" customWidth="1"/>
    <col min="3624" max="3631" width="8.7265625" style="39"/>
    <col min="3632" max="3632" width="3.26953125" style="39" customWidth="1"/>
    <col min="3633" max="3640" width="8.7265625" style="39"/>
    <col min="3641" max="3641" width="3.54296875" style="39" customWidth="1"/>
    <col min="3642" max="3649" width="8.7265625" style="39"/>
    <col min="3650" max="3650" width="3" style="39" customWidth="1"/>
    <col min="3651" max="3658" width="8.7265625" style="39"/>
    <col min="3659" max="3659" width="3.54296875" style="39" customWidth="1"/>
    <col min="3660" max="3825" width="8.7265625" style="39"/>
    <col min="3826" max="3826" width="7.453125" style="39" customWidth="1"/>
    <col min="3827" max="3827" width="6.26953125" style="39" customWidth="1"/>
    <col min="3828" max="3828" width="3.26953125" style="39" customWidth="1"/>
    <col min="3829" max="3836" width="8.7265625" style="39"/>
    <col min="3837" max="3837" width="3.26953125" style="39" customWidth="1"/>
    <col min="3838" max="3845" width="8.7265625" style="39"/>
    <col min="3846" max="3846" width="3.26953125" style="39" customWidth="1"/>
    <col min="3847" max="3854" width="8.7265625" style="39"/>
    <col min="3855" max="3855" width="2.54296875" style="39" customWidth="1"/>
    <col min="3856" max="3856" width="10.26953125" style="39" bestFit="1" customWidth="1"/>
    <col min="3857" max="3857" width="10.26953125" style="39" customWidth="1"/>
    <col min="3858" max="3860" width="8.7265625" style="39"/>
    <col min="3861" max="3861" width="11" style="39" customWidth="1"/>
    <col min="3862" max="3869" width="8.7265625" style="39"/>
    <col min="3870" max="3870" width="3.26953125" style="39" customWidth="1"/>
    <col min="3871" max="3878" width="8.7265625" style="39"/>
    <col min="3879" max="3879" width="3.1796875" style="39" customWidth="1"/>
    <col min="3880" max="3887" width="8.7265625" style="39"/>
    <col min="3888" max="3888" width="3.26953125" style="39" customWidth="1"/>
    <col min="3889" max="3896" width="8.7265625" style="39"/>
    <col min="3897" max="3897" width="3.54296875" style="39" customWidth="1"/>
    <col min="3898" max="3905" width="8.7265625" style="39"/>
    <col min="3906" max="3906" width="3" style="39" customWidth="1"/>
    <col min="3907" max="3914" width="8.7265625" style="39"/>
    <col min="3915" max="3915" width="3.54296875" style="39" customWidth="1"/>
    <col min="3916" max="4081" width="8.7265625" style="39"/>
    <col min="4082" max="4082" width="7.453125" style="39" customWidth="1"/>
    <col min="4083" max="4083" width="6.26953125" style="39" customWidth="1"/>
    <col min="4084" max="4084" width="3.26953125" style="39" customWidth="1"/>
    <col min="4085" max="4092" width="8.7265625" style="39"/>
    <col min="4093" max="4093" width="3.26953125" style="39" customWidth="1"/>
    <col min="4094" max="4101" width="8.7265625" style="39"/>
    <col min="4102" max="4102" width="3.26953125" style="39" customWidth="1"/>
    <col min="4103" max="4110" width="8.7265625" style="39"/>
    <col min="4111" max="4111" width="2.54296875" style="39" customWidth="1"/>
    <col min="4112" max="4112" width="10.26953125" style="39" bestFit="1" customWidth="1"/>
    <col min="4113" max="4113" width="10.26953125" style="39" customWidth="1"/>
    <col min="4114" max="4116" width="8.7265625" style="39"/>
    <col min="4117" max="4117" width="11" style="39" customWidth="1"/>
    <col min="4118" max="4125" width="8.7265625" style="39"/>
    <col min="4126" max="4126" width="3.26953125" style="39" customWidth="1"/>
    <col min="4127" max="4134" width="8.7265625" style="39"/>
    <col min="4135" max="4135" width="3.1796875" style="39" customWidth="1"/>
    <col min="4136" max="4143" width="8.7265625" style="39"/>
    <col min="4144" max="4144" width="3.26953125" style="39" customWidth="1"/>
    <col min="4145" max="4152" width="8.7265625" style="39"/>
    <col min="4153" max="4153" width="3.54296875" style="39" customWidth="1"/>
    <col min="4154" max="4161" width="8.7265625" style="39"/>
    <col min="4162" max="4162" width="3" style="39" customWidth="1"/>
    <col min="4163" max="4170" width="8.7265625" style="39"/>
    <col min="4171" max="4171" width="3.54296875" style="39" customWidth="1"/>
    <col min="4172" max="4337" width="8.7265625" style="39"/>
    <col min="4338" max="4338" width="7.453125" style="39" customWidth="1"/>
    <col min="4339" max="4339" width="6.26953125" style="39" customWidth="1"/>
    <col min="4340" max="4340" width="3.26953125" style="39" customWidth="1"/>
    <col min="4341" max="4348" width="8.7265625" style="39"/>
    <col min="4349" max="4349" width="3.26953125" style="39" customWidth="1"/>
    <col min="4350" max="4357" width="8.7265625" style="39"/>
    <col min="4358" max="4358" width="3.26953125" style="39" customWidth="1"/>
    <col min="4359" max="4366" width="8.7265625" style="39"/>
    <col min="4367" max="4367" width="2.54296875" style="39" customWidth="1"/>
    <col min="4368" max="4368" width="10.26953125" style="39" bestFit="1" customWidth="1"/>
    <col min="4369" max="4369" width="10.26953125" style="39" customWidth="1"/>
    <col min="4370" max="4372" width="8.7265625" style="39"/>
    <col min="4373" max="4373" width="11" style="39" customWidth="1"/>
    <col min="4374" max="4381" width="8.7265625" style="39"/>
    <col min="4382" max="4382" width="3.26953125" style="39" customWidth="1"/>
    <col min="4383" max="4390" width="8.7265625" style="39"/>
    <col min="4391" max="4391" width="3.1796875" style="39" customWidth="1"/>
    <col min="4392" max="4399" width="8.7265625" style="39"/>
    <col min="4400" max="4400" width="3.26953125" style="39" customWidth="1"/>
    <col min="4401" max="4408" width="8.7265625" style="39"/>
    <col min="4409" max="4409" width="3.54296875" style="39" customWidth="1"/>
    <col min="4410" max="4417" width="8.7265625" style="39"/>
    <col min="4418" max="4418" width="3" style="39" customWidth="1"/>
    <col min="4419" max="4426" width="8.7265625" style="39"/>
    <col min="4427" max="4427" width="3.54296875" style="39" customWidth="1"/>
    <col min="4428" max="4593" width="8.7265625" style="39"/>
    <col min="4594" max="4594" width="7.453125" style="39" customWidth="1"/>
    <col min="4595" max="4595" width="6.26953125" style="39" customWidth="1"/>
    <col min="4596" max="4596" width="3.26953125" style="39" customWidth="1"/>
    <col min="4597" max="4604" width="8.7265625" style="39"/>
    <col min="4605" max="4605" width="3.26953125" style="39" customWidth="1"/>
    <col min="4606" max="4613" width="8.7265625" style="39"/>
    <col min="4614" max="4614" width="3.26953125" style="39" customWidth="1"/>
    <col min="4615" max="4622" width="8.7265625" style="39"/>
    <col min="4623" max="4623" width="2.54296875" style="39" customWidth="1"/>
    <col min="4624" max="4624" width="10.26953125" style="39" bestFit="1" customWidth="1"/>
    <col min="4625" max="4625" width="10.26953125" style="39" customWidth="1"/>
    <col min="4626" max="4628" width="8.7265625" style="39"/>
    <col min="4629" max="4629" width="11" style="39" customWidth="1"/>
    <col min="4630" max="4637" width="8.7265625" style="39"/>
    <col min="4638" max="4638" width="3.26953125" style="39" customWidth="1"/>
    <col min="4639" max="4646" width="8.7265625" style="39"/>
    <col min="4647" max="4647" width="3.1796875" style="39" customWidth="1"/>
    <col min="4648" max="4655" width="8.7265625" style="39"/>
    <col min="4656" max="4656" width="3.26953125" style="39" customWidth="1"/>
    <col min="4657" max="4664" width="8.7265625" style="39"/>
    <col min="4665" max="4665" width="3.54296875" style="39" customWidth="1"/>
    <col min="4666" max="4673" width="8.7265625" style="39"/>
    <col min="4674" max="4674" width="3" style="39" customWidth="1"/>
    <col min="4675" max="4682" width="8.7265625" style="39"/>
    <col min="4683" max="4683" width="3.54296875" style="39" customWidth="1"/>
    <col min="4684" max="4849" width="8.7265625" style="39"/>
    <col min="4850" max="4850" width="7.453125" style="39" customWidth="1"/>
    <col min="4851" max="4851" width="6.26953125" style="39" customWidth="1"/>
    <col min="4852" max="4852" width="3.26953125" style="39" customWidth="1"/>
    <col min="4853" max="4860" width="8.7265625" style="39"/>
    <col min="4861" max="4861" width="3.26953125" style="39" customWidth="1"/>
    <col min="4862" max="4869" width="8.7265625" style="39"/>
    <col min="4870" max="4870" width="3.26953125" style="39" customWidth="1"/>
    <col min="4871" max="4878" width="8.7265625" style="39"/>
    <col min="4879" max="4879" width="2.54296875" style="39" customWidth="1"/>
    <col min="4880" max="4880" width="10.26953125" style="39" bestFit="1" customWidth="1"/>
    <col min="4881" max="4881" width="10.26953125" style="39" customWidth="1"/>
    <col min="4882" max="4884" width="8.7265625" style="39"/>
    <col min="4885" max="4885" width="11" style="39" customWidth="1"/>
    <col min="4886" max="4893" width="8.7265625" style="39"/>
    <col min="4894" max="4894" width="3.26953125" style="39" customWidth="1"/>
    <col min="4895" max="4902" width="8.7265625" style="39"/>
    <col min="4903" max="4903" width="3.1796875" style="39" customWidth="1"/>
    <col min="4904" max="4911" width="8.7265625" style="39"/>
    <col min="4912" max="4912" width="3.26953125" style="39" customWidth="1"/>
    <col min="4913" max="4920" width="8.7265625" style="39"/>
    <col min="4921" max="4921" width="3.54296875" style="39" customWidth="1"/>
    <col min="4922" max="4929" width="8.7265625" style="39"/>
    <col min="4930" max="4930" width="3" style="39" customWidth="1"/>
    <col min="4931" max="4938" width="8.7265625" style="39"/>
    <col min="4939" max="4939" width="3.54296875" style="39" customWidth="1"/>
    <col min="4940" max="5105" width="8.7265625" style="39"/>
    <col min="5106" max="5106" width="7.453125" style="39" customWidth="1"/>
    <col min="5107" max="5107" width="6.26953125" style="39" customWidth="1"/>
    <col min="5108" max="5108" width="3.26953125" style="39" customWidth="1"/>
    <col min="5109" max="5116" width="8.7265625" style="39"/>
    <col min="5117" max="5117" width="3.26953125" style="39" customWidth="1"/>
    <col min="5118" max="5125" width="8.7265625" style="39"/>
    <col min="5126" max="5126" width="3.26953125" style="39" customWidth="1"/>
    <col min="5127" max="5134" width="8.7265625" style="39"/>
    <col min="5135" max="5135" width="2.54296875" style="39" customWidth="1"/>
    <col min="5136" max="5136" width="10.26953125" style="39" bestFit="1" customWidth="1"/>
    <col min="5137" max="5137" width="10.26953125" style="39" customWidth="1"/>
    <col min="5138" max="5140" width="8.7265625" style="39"/>
    <col min="5141" max="5141" width="11" style="39" customWidth="1"/>
    <col min="5142" max="5149" width="8.7265625" style="39"/>
    <col min="5150" max="5150" width="3.26953125" style="39" customWidth="1"/>
    <col min="5151" max="5158" width="8.7265625" style="39"/>
    <col min="5159" max="5159" width="3.1796875" style="39" customWidth="1"/>
    <col min="5160" max="5167" width="8.7265625" style="39"/>
    <col min="5168" max="5168" width="3.26953125" style="39" customWidth="1"/>
    <col min="5169" max="5176" width="8.7265625" style="39"/>
    <col min="5177" max="5177" width="3.54296875" style="39" customWidth="1"/>
    <col min="5178" max="5185" width="8.7265625" style="39"/>
    <col min="5186" max="5186" width="3" style="39" customWidth="1"/>
    <col min="5187" max="5194" width="8.7265625" style="39"/>
    <col min="5195" max="5195" width="3.54296875" style="39" customWidth="1"/>
    <col min="5196" max="5361" width="8.7265625" style="39"/>
    <col min="5362" max="5362" width="7.453125" style="39" customWidth="1"/>
    <col min="5363" max="5363" width="6.26953125" style="39" customWidth="1"/>
    <col min="5364" max="5364" width="3.26953125" style="39" customWidth="1"/>
    <col min="5365" max="5372" width="8.7265625" style="39"/>
    <col min="5373" max="5373" width="3.26953125" style="39" customWidth="1"/>
    <col min="5374" max="5381" width="8.7265625" style="39"/>
    <col min="5382" max="5382" width="3.26953125" style="39" customWidth="1"/>
    <col min="5383" max="5390" width="8.7265625" style="39"/>
    <col min="5391" max="5391" width="2.54296875" style="39" customWidth="1"/>
    <col min="5392" max="5392" width="10.26953125" style="39" bestFit="1" customWidth="1"/>
    <col min="5393" max="5393" width="10.26953125" style="39" customWidth="1"/>
    <col min="5394" max="5396" width="8.7265625" style="39"/>
    <col min="5397" max="5397" width="11" style="39" customWidth="1"/>
    <col min="5398" max="5405" width="8.7265625" style="39"/>
    <col min="5406" max="5406" width="3.26953125" style="39" customWidth="1"/>
    <col min="5407" max="5414" width="8.7265625" style="39"/>
    <col min="5415" max="5415" width="3.1796875" style="39" customWidth="1"/>
    <col min="5416" max="5423" width="8.7265625" style="39"/>
    <col min="5424" max="5424" width="3.26953125" style="39" customWidth="1"/>
    <col min="5425" max="5432" width="8.7265625" style="39"/>
    <col min="5433" max="5433" width="3.54296875" style="39" customWidth="1"/>
    <col min="5434" max="5441" width="8.7265625" style="39"/>
    <col min="5442" max="5442" width="3" style="39" customWidth="1"/>
    <col min="5443" max="5450" width="8.7265625" style="39"/>
    <col min="5451" max="5451" width="3.54296875" style="39" customWidth="1"/>
    <col min="5452" max="5617" width="8.7265625" style="39"/>
    <col min="5618" max="5618" width="7.453125" style="39" customWidth="1"/>
    <col min="5619" max="5619" width="6.26953125" style="39" customWidth="1"/>
    <col min="5620" max="5620" width="3.26953125" style="39" customWidth="1"/>
    <col min="5621" max="5628" width="8.7265625" style="39"/>
    <col min="5629" max="5629" width="3.26953125" style="39" customWidth="1"/>
    <col min="5630" max="5637" width="8.7265625" style="39"/>
    <col min="5638" max="5638" width="3.26953125" style="39" customWidth="1"/>
    <col min="5639" max="5646" width="8.7265625" style="39"/>
    <col min="5647" max="5647" width="2.54296875" style="39" customWidth="1"/>
    <col min="5648" max="5648" width="10.26953125" style="39" bestFit="1" customWidth="1"/>
    <col min="5649" max="5649" width="10.26953125" style="39" customWidth="1"/>
    <col min="5650" max="5652" width="8.7265625" style="39"/>
    <col min="5653" max="5653" width="11" style="39" customWidth="1"/>
    <col min="5654" max="5661" width="8.7265625" style="39"/>
    <col min="5662" max="5662" width="3.26953125" style="39" customWidth="1"/>
    <col min="5663" max="5670" width="8.7265625" style="39"/>
    <col min="5671" max="5671" width="3.1796875" style="39" customWidth="1"/>
    <col min="5672" max="5679" width="8.7265625" style="39"/>
    <col min="5680" max="5680" width="3.26953125" style="39" customWidth="1"/>
    <col min="5681" max="5688" width="8.7265625" style="39"/>
    <col min="5689" max="5689" width="3.54296875" style="39" customWidth="1"/>
    <col min="5690" max="5697" width="8.7265625" style="39"/>
    <col min="5698" max="5698" width="3" style="39" customWidth="1"/>
    <col min="5699" max="5706" width="8.7265625" style="39"/>
    <col min="5707" max="5707" width="3.54296875" style="39" customWidth="1"/>
    <col min="5708" max="5873" width="8.7265625" style="39"/>
    <col min="5874" max="5874" width="7.453125" style="39" customWidth="1"/>
    <col min="5875" max="5875" width="6.26953125" style="39" customWidth="1"/>
    <col min="5876" max="5876" width="3.26953125" style="39" customWidth="1"/>
    <col min="5877" max="5884" width="8.7265625" style="39"/>
    <col min="5885" max="5885" width="3.26953125" style="39" customWidth="1"/>
    <col min="5886" max="5893" width="8.7265625" style="39"/>
    <col min="5894" max="5894" width="3.26953125" style="39" customWidth="1"/>
    <col min="5895" max="5902" width="8.7265625" style="39"/>
    <col min="5903" max="5903" width="2.54296875" style="39" customWidth="1"/>
    <col min="5904" max="5904" width="10.26953125" style="39" bestFit="1" customWidth="1"/>
    <col min="5905" max="5905" width="10.26953125" style="39" customWidth="1"/>
    <col min="5906" max="5908" width="8.7265625" style="39"/>
    <col min="5909" max="5909" width="11" style="39" customWidth="1"/>
    <col min="5910" max="5917" width="8.7265625" style="39"/>
    <col min="5918" max="5918" width="3.26953125" style="39" customWidth="1"/>
    <col min="5919" max="5926" width="8.7265625" style="39"/>
    <col min="5927" max="5927" width="3.1796875" style="39" customWidth="1"/>
    <col min="5928" max="5935" width="8.7265625" style="39"/>
    <col min="5936" max="5936" width="3.26953125" style="39" customWidth="1"/>
    <col min="5937" max="5944" width="8.7265625" style="39"/>
    <col min="5945" max="5945" width="3.54296875" style="39" customWidth="1"/>
    <col min="5946" max="5953" width="8.7265625" style="39"/>
    <col min="5954" max="5954" width="3" style="39" customWidth="1"/>
    <col min="5955" max="5962" width="8.7265625" style="39"/>
    <col min="5963" max="5963" width="3.54296875" style="39" customWidth="1"/>
    <col min="5964" max="6129" width="8.7265625" style="39"/>
    <col min="6130" max="6130" width="7.453125" style="39" customWidth="1"/>
    <col min="6131" max="6131" width="6.26953125" style="39" customWidth="1"/>
    <col min="6132" max="6132" width="3.26953125" style="39" customWidth="1"/>
    <col min="6133" max="6140" width="8.7265625" style="39"/>
    <col min="6141" max="6141" width="3.26953125" style="39" customWidth="1"/>
    <col min="6142" max="6149" width="8.7265625" style="39"/>
    <col min="6150" max="6150" width="3.26953125" style="39" customWidth="1"/>
    <col min="6151" max="6158" width="8.7265625" style="39"/>
    <col min="6159" max="6159" width="2.54296875" style="39" customWidth="1"/>
    <col min="6160" max="6160" width="10.26953125" style="39" bestFit="1" customWidth="1"/>
    <col min="6161" max="6161" width="10.26953125" style="39" customWidth="1"/>
    <col min="6162" max="6164" width="8.7265625" style="39"/>
    <col min="6165" max="6165" width="11" style="39" customWidth="1"/>
    <col min="6166" max="6173" width="8.7265625" style="39"/>
    <col min="6174" max="6174" width="3.26953125" style="39" customWidth="1"/>
    <col min="6175" max="6182" width="8.7265625" style="39"/>
    <col min="6183" max="6183" width="3.1796875" style="39" customWidth="1"/>
    <col min="6184" max="6191" width="8.7265625" style="39"/>
    <col min="6192" max="6192" width="3.26953125" style="39" customWidth="1"/>
    <col min="6193" max="6200" width="8.7265625" style="39"/>
    <col min="6201" max="6201" width="3.54296875" style="39" customWidth="1"/>
    <col min="6202" max="6209" width="8.7265625" style="39"/>
    <col min="6210" max="6210" width="3" style="39" customWidth="1"/>
    <col min="6211" max="6218" width="8.7265625" style="39"/>
    <col min="6219" max="6219" width="3.54296875" style="39" customWidth="1"/>
    <col min="6220" max="6385" width="8.7265625" style="39"/>
    <col min="6386" max="6386" width="7.453125" style="39" customWidth="1"/>
    <col min="6387" max="6387" width="6.26953125" style="39" customWidth="1"/>
    <col min="6388" max="6388" width="3.26953125" style="39" customWidth="1"/>
    <col min="6389" max="6396" width="8.7265625" style="39"/>
    <col min="6397" max="6397" width="3.26953125" style="39" customWidth="1"/>
    <col min="6398" max="6405" width="8.7265625" style="39"/>
    <col min="6406" max="6406" width="3.26953125" style="39" customWidth="1"/>
    <col min="6407" max="6414" width="8.7265625" style="39"/>
    <col min="6415" max="6415" width="2.54296875" style="39" customWidth="1"/>
    <col min="6416" max="6416" width="10.26953125" style="39" bestFit="1" customWidth="1"/>
    <col min="6417" max="6417" width="10.26953125" style="39" customWidth="1"/>
    <col min="6418" max="6420" width="8.7265625" style="39"/>
    <col min="6421" max="6421" width="11" style="39" customWidth="1"/>
    <col min="6422" max="6429" width="8.7265625" style="39"/>
    <col min="6430" max="6430" width="3.26953125" style="39" customWidth="1"/>
    <col min="6431" max="6438" width="8.7265625" style="39"/>
    <col min="6439" max="6439" width="3.1796875" style="39" customWidth="1"/>
    <col min="6440" max="6447" width="8.7265625" style="39"/>
    <col min="6448" max="6448" width="3.26953125" style="39" customWidth="1"/>
    <col min="6449" max="6456" width="8.7265625" style="39"/>
    <col min="6457" max="6457" width="3.54296875" style="39" customWidth="1"/>
    <col min="6458" max="6465" width="8.7265625" style="39"/>
    <col min="6466" max="6466" width="3" style="39" customWidth="1"/>
    <col min="6467" max="6474" width="8.7265625" style="39"/>
    <col min="6475" max="6475" width="3.54296875" style="39" customWidth="1"/>
    <col min="6476" max="6641" width="8.7265625" style="39"/>
    <col min="6642" max="6642" width="7.453125" style="39" customWidth="1"/>
    <col min="6643" max="6643" width="6.26953125" style="39" customWidth="1"/>
    <col min="6644" max="6644" width="3.26953125" style="39" customWidth="1"/>
    <col min="6645" max="6652" width="8.7265625" style="39"/>
    <col min="6653" max="6653" width="3.26953125" style="39" customWidth="1"/>
    <col min="6654" max="6661" width="8.7265625" style="39"/>
    <col min="6662" max="6662" width="3.26953125" style="39" customWidth="1"/>
    <col min="6663" max="6670" width="8.7265625" style="39"/>
    <col min="6671" max="6671" width="2.54296875" style="39" customWidth="1"/>
    <col min="6672" max="6672" width="10.26953125" style="39" bestFit="1" customWidth="1"/>
    <col min="6673" max="6673" width="10.26953125" style="39" customWidth="1"/>
    <col min="6674" max="6676" width="8.7265625" style="39"/>
    <col min="6677" max="6677" width="11" style="39" customWidth="1"/>
    <col min="6678" max="6685" width="8.7265625" style="39"/>
    <col min="6686" max="6686" width="3.26953125" style="39" customWidth="1"/>
    <col min="6687" max="6694" width="8.7265625" style="39"/>
    <col min="6695" max="6695" width="3.1796875" style="39" customWidth="1"/>
    <col min="6696" max="6703" width="8.7265625" style="39"/>
    <col min="6704" max="6704" width="3.26953125" style="39" customWidth="1"/>
    <col min="6705" max="6712" width="8.7265625" style="39"/>
    <col min="6713" max="6713" width="3.54296875" style="39" customWidth="1"/>
    <col min="6714" max="6721" width="8.7265625" style="39"/>
    <col min="6722" max="6722" width="3" style="39" customWidth="1"/>
    <col min="6723" max="6730" width="8.7265625" style="39"/>
    <col min="6731" max="6731" width="3.54296875" style="39" customWidth="1"/>
    <col min="6732" max="6897" width="8.7265625" style="39"/>
    <col min="6898" max="6898" width="7.453125" style="39" customWidth="1"/>
    <col min="6899" max="6899" width="6.26953125" style="39" customWidth="1"/>
    <col min="6900" max="6900" width="3.26953125" style="39" customWidth="1"/>
    <col min="6901" max="6908" width="8.7265625" style="39"/>
    <col min="6909" max="6909" width="3.26953125" style="39" customWidth="1"/>
    <col min="6910" max="6917" width="8.7265625" style="39"/>
    <col min="6918" max="6918" width="3.26953125" style="39" customWidth="1"/>
    <col min="6919" max="6926" width="8.7265625" style="39"/>
    <col min="6927" max="6927" width="2.54296875" style="39" customWidth="1"/>
    <col min="6928" max="6928" width="10.26953125" style="39" bestFit="1" customWidth="1"/>
    <col min="6929" max="6929" width="10.26953125" style="39" customWidth="1"/>
    <col min="6930" max="6932" width="8.7265625" style="39"/>
    <col min="6933" max="6933" width="11" style="39" customWidth="1"/>
    <col min="6934" max="6941" width="8.7265625" style="39"/>
    <col min="6942" max="6942" width="3.26953125" style="39" customWidth="1"/>
    <col min="6943" max="6950" width="8.7265625" style="39"/>
    <col min="6951" max="6951" width="3.1796875" style="39" customWidth="1"/>
    <col min="6952" max="6959" width="8.7265625" style="39"/>
    <col min="6960" max="6960" width="3.26953125" style="39" customWidth="1"/>
    <col min="6961" max="6968" width="8.7265625" style="39"/>
    <col min="6969" max="6969" width="3.54296875" style="39" customWidth="1"/>
    <col min="6970" max="6977" width="8.7265625" style="39"/>
    <col min="6978" max="6978" width="3" style="39" customWidth="1"/>
    <col min="6979" max="6986" width="8.7265625" style="39"/>
    <col min="6987" max="6987" width="3.54296875" style="39" customWidth="1"/>
    <col min="6988" max="7153" width="8.7265625" style="39"/>
    <col min="7154" max="7154" width="7.453125" style="39" customWidth="1"/>
    <col min="7155" max="7155" width="6.26953125" style="39" customWidth="1"/>
    <col min="7156" max="7156" width="3.26953125" style="39" customWidth="1"/>
    <col min="7157" max="7164" width="8.7265625" style="39"/>
    <col min="7165" max="7165" width="3.26953125" style="39" customWidth="1"/>
    <col min="7166" max="7173" width="8.7265625" style="39"/>
    <col min="7174" max="7174" width="3.26953125" style="39" customWidth="1"/>
    <col min="7175" max="7182" width="8.7265625" style="39"/>
    <col min="7183" max="7183" width="2.54296875" style="39" customWidth="1"/>
    <col min="7184" max="7184" width="10.26953125" style="39" bestFit="1" customWidth="1"/>
    <col min="7185" max="7185" width="10.26953125" style="39" customWidth="1"/>
    <col min="7186" max="7188" width="8.7265625" style="39"/>
    <col min="7189" max="7189" width="11" style="39" customWidth="1"/>
    <col min="7190" max="7197" width="8.7265625" style="39"/>
    <col min="7198" max="7198" width="3.26953125" style="39" customWidth="1"/>
    <col min="7199" max="7206" width="8.7265625" style="39"/>
    <col min="7207" max="7207" width="3.1796875" style="39" customWidth="1"/>
    <col min="7208" max="7215" width="8.7265625" style="39"/>
    <col min="7216" max="7216" width="3.26953125" style="39" customWidth="1"/>
    <col min="7217" max="7224" width="8.7265625" style="39"/>
    <col min="7225" max="7225" width="3.54296875" style="39" customWidth="1"/>
    <col min="7226" max="7233" width="8.7265625" style="39"/>
    <col min="7234" max="7234" width="3" style="39" customWidth="1"/>
    <col min="7235" max="7242" width="8.7265625" style="39"/>
    <col min="7243" max="7243" width="3.54296875" style="39" customWidth="1"/>
    <col min="7244" max="7409" width="8.7265625" style="39"/>
    <col min="7410" max="7410" width="7.453125" style="39" customWidth="1"/>
    <col min="7411" max="7411" width="6.26953125" style="39" customWidth="1"/>
    <col min="7412" max="7412" width="3.26953125" style="39" customWidth="1"/>
    <col min="7413" max="7420" width="8.7265625" style="39"/>
    <col min="7421" max="7421" width="3.26953125" style="39" customWidth="1"/>
    <col min="7422" max="7429" width="8.7265625" style="39"/>
    <col min="7430" max="7430" width="3.26953125" style="39" customWidth="1"/>
    <col min="7431" max="7438" width="8.7265625" style="39"/>
    <col min="7439" max="7439" width="2.54296875" style="39" customWidth="1"/>
    <col min="7440" max="7440" width="10.26953125" style="39" bestFit="1" customWidth="1"/>
    <col min="7441" max="7441" width="10.26953125" style="39" customWidth="1"/>
    <col min="7442" max="7444" width="8.7265625" style="39"/>
    <col min="7445" max="7445" width="11" style="39" customWidth="1"/>
    <col min="7446" max="7453" width="8.7265625" style="39"/>
    <col min="7454" max="7454" width="3.26953125" style="39" customWidth="1"/>
    <col min="7455" max="7462" width="8.7265625" style="39"/>
    <col min="7463" max="7463" width="3.1796875" style="39" customWidth="1"/>
    <col min="7464" max="7471" width="8.7265625" style="39"/>
    <col min="7472" max="7472" width="3.26953125" style="39" customWidth="1"/>
    <col min="7473" max="7480" width="8.7265625" style="39"/>
    <col min="7481" max="7481" width="3.54296875" style="39" customWidth="1"/>
    <col min="7482" max="7489" width="8.7265625" style="39"/>
    <col min="7490" max="7490" width="3" style="39" customWidth="1"/>
    <col min="7491" max="7498" width="8.7265625" style="39"/>
    <col min="7499" max="7499" width="3.54296875" style="39" customWidth="1"/>
    <col min="7500" max="7665" width="8.7265625" style="39"/>
    <col min="7666" max="7666" width="7.453125" style="39" customWidth="1"/>
    <col min="7667" max="7667" width="6.26953125" style="39" customWidth="1"/>
    <col min="7668" max="7668" width="3.26953125" style="39" customWidth="1"/>
    <col min="7669" max="7676" width="8.7265625" style="39"/>
    <col min="7677" max="7677" width="3.26953125" style="39" customWidth="1"/>
    <col min="7678" max="7685" width="8.7265625" style="39"/>
    <col min="7686" max="7686" width="3.26953125" style="39" customWidth="1"/>
    <col min="7687" max="7694" width="8.7265625" style="39"/>
    <col min="7695" max="7695" width="2.54296875" style="39" customWidth="1"/>
    <col min="7696" max="7696" width="10.26953125" style="39" bestFit="1" customWidth="1"/>
    <col min="7697" max="7697" width="10.26953125" style="39" customWidth="1"/>
    <col min="7698" max="7700" width="8.7265625" style="39"/>
    <col min="7701" max="7701" width="11" style="39" customWidth="1"/>
    <col min="7702" max="7709" width="8.7265625" style="39"/>
    <col min="7710" max="7710" width="3.26953125" style="39" customWidth="1"/>
    <col min="7711" max="7718" width="8.7265625" style="39"/>
    <col min="7719" max="7719" width="3.1796875" style="39" customWidth="1"/>
    <col min="7720" max="7727" width="8.7265625" style="39"/>
    <col min="7728" max="7728" width="3.26953125" style="39" customWidth="1"/>
    <col min="7729" max="7736" width="8.7265625" style="39"/>
    <col min="7737" max="7737" width="3.54296875" style="39" customWidth="1"/>
    <col min="7738" max="7745" width="8.7265625" style="39"/>
    <col min="7746" max="7746" width="3" style="39" customWidth="1"/>
    <col min="7747" max="7754" width="8.7265625" style="39"/>
    <col min="7755" max="7755" width="3.54296875" style="39" customWidth="1"/>
    <col min="7756" max="7921" width="8.7265625" style="39"/>
    <col min="7922" max="7922" width="7.453125" style="39" customWidth="1"/>
    <col min="7923" max="7923" width="6.26953125" style="39" customWidth="1"/>
    <col min="7924" max="7924" width="3.26953125" style="39" customWidth="1"/>
    <col min="7925" max="7932" width="8.7265625" style="39"/>
    <col min="7933" max="7933" width="3.26953125" style="39" customWidth="1"/>
    <col min="7934" max="7941" width="8.7265625" style="39"/>
    <col min="7942" max="7942" width="3.26953125" style="39" customWidth="1"/>
    <col min="7943" max="7950" width="8.7265625" style="39"/>
    <col min="7951" max="7951" width="2.54296875" style="39" customWidth="1"/>
    <col min="7952" max="7952" width="10.26953125" style="39" bestFit="1" customWidth="1"/>
    <col min="7953" max="7953" width="10.26953125" style="39" customWidth="1"/>
    <col min="7954" max="7956" width="8.7265625" style="39"/>
    <col min="7957" max="7957" width="11" style="39" customWidth="1"/>
    <col min="7958" max="7965" width="8.7265625" style="39"/>
    <col min="7966" max="7966" width="3.26953125" style="39" customWidth="1"/>
    <col min="7967" max="7974" width="8.7265625" style="39"/>
    <col min="7975" max="7975" width="3.1796875" style="39" customWidth="1"/>
    <col min="7976" max="7983" width="8.7265625" style="39"/>
    <col min="7984" max="7984" width="3.26953125" style="39" customWidth="1"/>
    <col min="7985" max="7992" width="8.7265625" style="39"/>
    <col min="7993" max="7993" width="3.54296875" style="39" customWidth="1"/>
    <col min="7994" max="8001" width="8.7265625" style="39"/>
    <col min="8002" max="8002" width="3" style="39" customWidth="1"/>
    <col min="8003" max="8010" width="8.7265625" style="39"/>
    <col min="8011" max="8011" width="3.54296875" style="39" customWidth="1"/>
    <col min="8012" max="8177" width="8.7265625" style="39"/>
    <col min="8178" max="8178" width="7.453125" style="39" customWidth="1"/>
    <col min="8179" max="8179" width="6.26953125" style="39" customWidth="1"/>
    <col min="8180" max="8180" width="3.26953125" style="39" customWidth="1"/>
    <col min="8181" max="8188" width="8.7265625" style="39"/>
    <col min="8189" max="8189" width="3.26953125" style="39" customWidth="1"/>
    <col min="8190" max="8197" width="8.7265625" style="39"/>
    <col min="8198" max="8198" width="3.26953125" style="39" customWidth="1"/>
    <col min="8199" max="8206" width="8.7265625" style="39"/>
    <col min="8207" max="8207" width="2.54296875" style="39" customWidth="1"/>
    <col min="8208" max="8208" width="10.26953125" style="39" bestFit="1" customWidth="1"/>
    <col min="8209" max="8209" width="10.26953125" style="39" customWidth="1"/>
    <col min="8210" max="8212" width="8.7265625" style="39"/>
    <col min="8213" max="8213" width="11" style="39" customWidth="1"/>
    <col min="8214" max="8221" width="8.7265625" style="39"/>
    <col min="8222" max="8222" width="3.26953125" style="39" customWidth="1"/>
    <col min="8223" max="8230" width="8.7265625" style="39"/>
    <col min="8231" max="8231" width="3.1796875" style="39" customWidth="1"/>
    <col min="8232" max="8239" width="8.7265625" style="39"/>
    <col min="8240" max="8240" width="3.26953125" style="39" customWidth="1"/>
    <col min="8241" max="8248" width="8.7265625" style="39"/>
    <col min="8249" max="8249" width="3.54296875" style="39" customWidth="1"/>
    <col min="8250" max="8257" width="8.7265625" style="39"/>
    <col min="8258" max="8258" width="3" style="39" customWidth="1"/>
    <col min="8259" max="8266" width="8.7265625" style="39"/>
    <col min="8267" max="8267" width="3.54296875" style="39" customWidth="1"/>
    <col min="8268" max="8433" width="8.7265625" style="39"/>
    <col min="8434" max="8434" width="7.453125" style="39" customWidth="1"/>
    <col min="8435" max="8435" width="6.26953125" style="39" customWidth="1"/>
    <col min="8436" max="8436" width="3.26953125" style="39" customWidth="1"/>
    <col min="8437" max="8444" width="8.7265625" style="39"/>
    <col min="8445" max="8445" width="3.26953125" style="39" customWidth="1"/>
    <col min="8446" max="8453" width="8.7265625" style="39"/>
    <col min="8454" max="8454" width="3.26953125" style="39" customWidth="1"/>
    <col min="8455" max="8462" width="8.7265625" style="39"/>
    <col min="8463" max="8463" width="2.54296875" style="39" customWidth="1"/>
    <col min="8464" max="8464" width="10.26953125" style="39" bestFit="1" customWidth="1"/>
    <col min="8465" max="8465" width="10.26953125" style="39" customWidth="1"/>
    <col min="8466" max="8468" width="8.7265625" style="39"/>
    <col min="8469" max="8469" width="11" style="39" customWidth="1"/>
    <col min="8470" max="8477" width="8.7265625" style="39"/>
    <col min="8478" max="8478" width="3.26953125" style="39" customWidth="1"/>
    <col min="8479" max="8486" width="8.7265625" style="39"/>
    <col min="8487" max="8487" width="3.1796875" style="39" customWidth="1"/>
    <col min="8488" max="8495" width="8.7265625" style="39"/>
    <col min="8496" max="8496" width="3.26953125" style="39" customWidth="1"/>
    <col min="8497" max="8504" width="8.7265625" style="39"/>
    <col min="8505" max="8505" width="3.54296875" style="39" customWidth="1"/>
    <col min="8506" max="8513" width="8.7265625" style="39"/>
    <col min="8514" max="8514" width="3" style="39" customWidth="1"/>
    <col min="8515" max="8522" width="8.7265625" style="39"/>
    <col min="8523" max="8523" width="3.54296875" style="39" customWidth="1"/>
    <col min="8524" max="8689" width="8.7265625" style="39"/>
    <col min="8690" max="8690" width="7.453125" style="39" customWidth="1"/>
    <col min="8691" max="8691" width="6.26953125" style="39" customWidth="1"/>
    <col min="8692" max="8692" width="3.26953125" style="39" customWidth="1"/>
    <col min="8693" max="8700" width="8.7265625" style="39"/>
    <col min="8701" max="8701" width="3.26953125" style="39" customWidth="1"/>
    <col min="8702" max="8709" width="8.7265625" style="39"/>
    <col min="8710" max="8710" width="3.26953125" style="39" customWidth="1"/>
    <col min="8711" max="8718" width="8.7265625" style="39"/>
    <col min="8719" max="8719" width="2.54296875" style="39" customWidth="1"/>
    <col min="8720" max="8720" width="10.26953125" style="39" bestFit="1" customWidth="1"/>
    <col min="8721" max="8721" width="10.26953125" style="39" customWidth="1"/>
    <col min="8722" max="8724" width="8.7265625" style="39"/>
    <col min="8725" max="8725" width="11" style="39" customWidth="1"/>
    <col min="8726" max="8733" width="8.7265625" style="39"/>
    <col min="8734" max="8734" width="3.26953125" style="39" customWidth="1"/>
    <col min="8735" max="8742" width="8.7265625" style="39"/>
    <col min="8743" max="8743" width="3.1796875" style="39" customWidth="1"/>
    <col min="8744" max="8751" width="8.7265625" style="39"/>
    <col min="8752" max="8752" width="3.26953125" style="39" customWidth="1"/>
    <col min="8753" max="8760" width="8.7265625" style="39"/>
    <col min="8761" max="8761" width="3.54296875" style="39" customWidth="1"/>
    <col min="8762" max="8769" width="8.7265625" style="39"/>
    <col min="8770" max="8770" width="3" style="39" customWidth="1"/>
    <col min="8771" max="8778" width="8.7265625" style="39"/>
    <col min="8779" max="8779" width="3.54296875" style="39" customWidth="1"/>
    <col min="8780" max="8945" width="8.7265625" style="39"/>
    <col min="8946" max="8946" width="7.453125" style="39" customWidth="1"/>
    <col min="8947" max="8947" width="6.26953125" style="39" customWidth="1"/>
    <col min="8948" max="8948" width="3.26953125" style="39" customWidth="1"/>
    <col min="8949" max="8956" width="8.7265625" style="39"/>
    <col min="8957" max="8957" width="3.26953125" style="39" customWidth="1"/>
    <col min="8958" max="8965" width="8.7265625" style="39"/>
    <col min="8966" max="8966" width="3.26953125" style="39" customWidth="1"/>
    <col min="8967" max="8974" width="8.7265625" style="39"/>
    <col min="8975" max="8975" width="2.54296875" style="39" customWidth="1"/>
    <col min="8976" max="8976" width="10.26953125" style="39" bestFit="1" customWidth="1"/>
    <col min="8977" max="8977" width="10.26953125" style="39" customWidth="1"/>
    <col min="8978" max="8980" width="8.7265625" style="39"/>
    <col min="8981" max="8981" width="11" style="39" customWidth="1"/>
    <col min="8982" max="8989" width="8.7265625" style="39"/>
    <col min="8990" max="8990" width="3.26953125" style="39" customWidth="1"/>
    <col min="8991" max="8998" width="8.7265625" style="39"/>
    <col min="8999" max="8999" width="3.1796875" style="39" customWidth="1"/>
    <col min="9000" max="9007" width="8.7265625" style="39"/>
    <col min="9008" max="9008" width="3.26953125" style="39" customWidth="1"/>
    <col min="9009" max="9016" width="8.7265625" style="39"/>
    <col min="9017" max="9017" width="3.54296875" style="39" customWidth="1"/>
    <col min="9018" max="9025" width="8.7265625" style="39"/>
    <col min="9026" max="9026" width="3" style="39" customWidth="1"/>
    <col min="9027" max="9034" width="8.7265625" style="39"/>
    <col min="9035" max="9035" width="3.54296875" style="39" customWidth="1"/>
    <col min="9036" max="9201" width="8.7265625" style="39"/>
    <col min="9202" max="9202" width="7.453125" style="39" customWidth="1"/>
    <col min="9203" max="9203" width="6.26953125" style="39" customWidth="1"/>
    <col min="9204" max="9204" width="3.26953125" style="39" customWidth="1"/>
    <col min="9205" max="9212" width="8.7265625" style="39"/>
    <col min="9213" max="9213" width="3.26953125" style="39" customWidth="1"/>
    <col min="9214" max="9221" width="8.7265625" style="39"/>
    <col min="9222" max="9222" width="3.26953125" style="39" customWidth="1"/>
    <col min="9223" max="9230" width="8.7265625" style="39"/>
    <col min="9231" max="9231" width="2.54296875" style="39" customWidth="1"/>
    <col min="9232" max="9232" width="10.26953125" style="39" bestFit="1" customWidth="1"/>
    <col min="9233" max="9233" width="10.26953125" style="39" customWidth="1"/>
    <col min="9234" max="9236" width="8.7265625" style="39"/>
    <col min="9237" max="9237" width="11" style="39" customWidth="1"/>
    <col min="9238" max="9245" width="8.7265625" style="39"/>
    <col min="9246" max="9246" width="3.26953125" style="39" customWidth="1"/>
    <col min="9247" max="9254" width="8.7265625" style="39"/>
    <col min="9255" max="9255" width="3.1796875" style="39" customWidth="1"/>
    <col min="9256" max="9263" width="8.7265625" style="39"/>
    <col min="9264" max="9264" width="3.26953125" style="39" customWidth="1"/>
    <col min="9265" max="9272" width="8.7265625" style="39"/>
    <col min="9273" max="9273" width="3.54296875" style="39" customWidth="1"/>
    <col min="9274" max="9281" width="8.7265625" style="39"/>
    <col min="9282" max="9282" width="3" style="39" customWidth="1"/>
    <col min="9283" max="9290" width="8.7265625" style="39"/>
    <col min="9291" max="9291" width="3.54296875" style="39" customWidth="1"/>
    <col min="9292" max="9457" width="8.7265625" style="39"/>
    <col min="9458" max="9458" width="7.453125" style="39" customWidth="1"/>
    <col min="9459" max="9459" width="6.26953125" style="39" customWidth="1"/>
    <col min="9460" max="9460" width="3.26953125" style="39" customWidth="1"/>
    <col min="9461" max="9468" width="8.7265625" style="39"/>
    <col min="9469" max="9469" width="3.26953125" style="39" customWidth="1"/>
    <col min="9470" max="9477" width="8.7265625" style="39"/>
    <col min="9478" max="9478" width="3.26953125" style="39" customWidth="1"/>
    <col min="9479" max="9486" width="8.7265625" style="39"/>
    <col min="9487" max="9487" width="2.54296875" style="39" customWidth="1"/>
    <col min="9488" max="9488" width="10.26953125" style="39" bestFit="1" customWidth="1"/>
    <col min="9489" max="9489" width="10.26953125" style="39" customWidth="1"/>
    <col min="9490" max="9492" width="8.7265625" style="39"/>
    <col min="9493" max="9493" width="11" style="39" customWidth="1"/>
    <col min="9494" max="9501" width="8.7265625" style="39"/>
    <col min="9502" max="9502" width="3.26953125" style="39" customWidth="1"/>
    <col min="9503" max="9510" width="8.7265625" style="39"/>
    <col min="9511" max="9511" width="3.1796875" style="39" customWidth="1"/>
    <col min="9512" max="9519" width="8.7265625" style="39"/>
    <col min="9520" max="9520" width="3.26953125" style="39" customWidth="1"/>
    <col min="9521" max="9528" width="8.7265625" style="39"/>
    <col min="9529" max="9529" width="3.54296875" style="39" customWidth="1"/>
    <col min="9530" max="9537" width="8.7265625" style="39"/>
    <col min="9538" max="9538" width="3" style="39" customWidth="1"/>
    <col min="9539" max="9546" width="8.7265625" style="39"/>
    <col min="9547" max="9547" width="3.54296875" style="39" customWidth="1"/>
    <col min="9548" max="9713" width="8.7265625" style="39"/>
    <col min="9714" max="9714" width="7.453125" style="39" customWidth="1"/>
    <col min="9715" max="9715" width="6.26953125" style="39" customWidth="1"/>
    <col min="9716" max="9716" width="3.26953125" style="39" customWidth="1"/>
    <col min="9717" max="9724" width="8.7265625" style="39"/>
    <col min="9725" max="9725" width="3.26953125" style="39" customWidth="1"/>
    <col min="9726" max="9733" width="8.7265625" style="39"/>
    <col min="9734" max="9734" width="3.26953125" style="39" customWidth="1"/>
    <col min="9735" max="9742" width="8.7265625" style="39"/>
    <col min="9743" max="9743" width="2.54296875" style="39" customWidth="1"/>
    <col min="9744" max="9744" width="10.26953125" style="39" bestFit="1" customWidth="1"/>
    <col min="9745" max="9745" width="10.26953125" style="39" customWidth="1"/>
    <col min="9746" max="9748" width="8.7265625" style="39"/>
    <col min="9749" max="9749" width="11" style="39" customWidth="1"/>
    <col min="9750" max="9757" width="8.7265625" style="39"/>
    <col min="9758" max="9758" width="3.26953125" style="39" customWidth="1"/>
    <col min="9759" max="9766" width="8.7265625" style="39"/>
    <col min="9767" max="9767" width="3.1796875" style="39" customWidth="1"/>
    <col min="9768" max="9775" width="8.7265625" style="39"/>
    <col min="9776" max="9776" width="3.26953125" style="39" customWidth="1"/>
    <col min="9777" max="9784" width="8.7265625" style="39"/>
    <col min="9785" max="9785" width="3.54296875" style="39" customWidth="1"/>
    <col min="9786" max="9793" width="8.7265625" style="39"/>
    <col min="9794" max="9794" width="3" style="39" customWidth="1"/>
    <col min="9795" max="9802" width="8.7265625" style="39"/>
    <col min="9803" max="9803" width="3.54296875" style="39" customWidth="1"/>
    <col min="9804" max="9969" width="8.7265625" style="39"/>
    <col min="9970" max="9970" width="7.453125" style="39" customWidth="1"/>
    <col min="9971" max="9971" width="6.26953125" style="39" customWidth="1"/>
    <col min="9972" max="9972" width="3.26953125" style="39" customWidth="1"/>
    <col min="9973" max="9980" width="8.7265625" style="39"/>
    <col min="9981" max="9981" width="3.26953125" style="39" customWidth="1"/>
    <col min="9982" max="9989" width="8.7265625" style="39"/>
    <col min="9990" max="9990" width="3.26953125" style="39" customWidth="1"/>
    <col min="9991" max="9998" width="8.7265625" style="39"/>
    <col min="9999" max="9999" width="2.54296875" style="39" customWidth="1"/>
    <col min="10000" max="10000" width="10.26953125" style="39" bestFit="1" customWidth="1"/>
    <col min="10001" max="10001" width="10.26953125" style="39" customWidth="1"/>
    <col min="10002" max="10004" width="8.7265625" style="39"/>
    <col min="10005" max="10005" width="11" style="39" customWidth="1"/>
    <col min="10006" max="10013" width="8.7265625" style="39"/>
    <col min="10014" max="10014" width="3.26953125" style="39" customWidth="1"/>
    <col min="10015" max="10022" width="8.7265625" style="39"/>
    <col min="10023" max="10023" width="3.1796875" style="39" customWidth="1"/>
    <col min="10024" max="10031" width="8.7265625" style="39"/>
    <col min="10032" max="10032" width="3.26953125" style="39" customWidth="1"/>
    <col min="10033" max="10040" width="8.7265625" style="39"/>
    <col min="10041" max="10041" width="3.54296875" style="39" customWidth="1"/>
    <col min="10042" max="10049" width="8.7265625" style="39"/>
    <col min="10050" max="10050" width="3" style="39" customWidth="1"/>
    <col min="10051" max="10058" width="8.7265625" style="39"/>
    <col min="10059" max="10059" width="3.54296875" style="39" customWidth="1"/>
    <col min="10060" max="10225" width="8.7265625" style="39"/>
    <col min="10226" max="10226" width="7.453125" style="39" customWidth="1"/>
    <col min="10227" max="10227" width="6.26953125" style="39" customWidth="1"/>
    <col min="10228" max="10228" width="3.26953125" style="39" customWidth="1"/>
    <col min="10229" max="10236" width="8.7265625" style="39"/>
    <col min="10237" max="10237" width="3.26953125" style="39" customWidth="1"/>
    <col min="10238" max="10245" width="8.7265625" style="39"/>
    <col min="10246" max="10246" width="3.26953125" style="39" customWidth="1"/>
    <col min="10247" max="10254" width="8.7265625" style="39"/>
    <col min="10255" max="10255" width="2.54296875" style="39" customWidth="1"/>
    <col min="10256" max="10256" width="10.26953125" style="39" bestFit="1" customWidth="1"/>
    <col min="10257" max="10257" width="10.26953125" style="39" customWidth="1"/>
    <col min="10258" max="10260" width="8.7265625" style="39"/>
    <col min="10261" max="10261" width="11" style="39" customWidth="1"/>
    <col min="10262" max="10269" width="8.7265625" style="39"/>
    <col min="10270" max="10270" width="3.26953125" style="39" customWidth="1"/>
    <col min="10271" max="10278" width="8.7265625" style="39"/>
    <col min="10279" max="10279" width="3.1796875" style="39" customWidth="1"/>
    <col min="10280" max="10287" width="8.7265625" style="39"/>
    <col min="10288" max="10288" width="3.26953125" style="39" customWidth="1"/>
    <col min="10289" max="10296" width="8.7265625" style="39"/>
    <col min="10297" max="10297" width="3.54296875" style="39" customWidth="1"/>
    <col min="10298" max="10305" width="8.7265625" style="39"/>
    <col min="10306" max="10306" width="3" style="39" customWidth="1"/>
    <col min="10307" max="10314" width="8.7265625" style="39"/>
    <col min="10315" max="10315" width="3.54296875" style="39" customWidth="1"/>
    <col min="10316" max="10481" width="8.7265625" style="39"/>
    <col min="10482" max="10482" width="7.453125" style="39" customWidth="1"/>
    <col min="10483" max="10483" width="6.26953125" style="39" customWidth="1"/>
    <col min="10484" max="10484" width="3.26953125" style="39" customWidth="1"/>
    <col min="10485" max="10492" width="8.7265625" style="39"/>
    <col min="10493" max="10493" width="3.26953125" style="39" customWidth="1"/>
    <col min="10494" max="10501" width="8.7265625" style="39"/>
    <col min="10502" max="10502" width="3.26953125" style="39" customWidth="1"/>
    <col min="10503" max="10510" width="8.7265625" style="39"/>
    <col min="10511" max="10511" width="2.54296875" style="39" customWidth="1"/>
    <col min="10512" max="10512" width="10.26953125" style="39" bestFit="1" customWidth="1"/>
    <col min="10513" max="10513" width="10.26953125" style="39" customWidth="1"/>
    <col min="10514" max="10516" width="8.7265625" style="39"/>
    <col min="10517" max="10517" width="11" style="39" customWidth="1"/>
    <col min="10518" max="10525" width="8.7265625" style="39"/>
    <col min="10526" max="10526" width="3.26953125" style="39" customWidth="1"/>
    <col min="10527" max="10534" width="8.7265625" style="39"/>
    <col min="10535" max="10535" width="3.1796875" style="39" customWidth="1"/>
    <col min="10536" max="10543" width="8.7265625" style="39"/>
    <col min="10544" max="10544" width="3.26953125" style="39" customWidth="1"/>
    <col min="10545" max="10552" width="8.7265625" style="39"/>
    <col min="10553" max="10553" width="3.54296875" style="39" customWidth="1"/>
    <col min="10554" max="10561" width="8.7265625" style="39"/>
    <col min="10562" max="10562" width="3" style="39" customWidth="1"/>
    <col min="10563" max="10570" width="8.7265625" style="39"/>
    <col min="10571" max="10571" width="3.54296875" style="39" customWidth="1"/>
    <col min="10572" max="10737" width="8.7265625" style="39"/>
    <col min="10738" max="10738" width="7.453125" style="39" customWidth="1"/>
    <col min="10739" max="10739" width="6.26953125" style="39" customWidth="1"/>
    <col min="10740" max="10740" width="3.26953125" style="39" customWidth="1"/>
    <col min="10741" max="10748" width="8.7265625" style="39"/>
    <col min="10749" max="10749" width="3.26953125" style="39" customWidth="1"/>
    <col min="10750" max="10757" width="8.7265625" style="39"/>
    <col min="10758" max="10758" width="3.26953125" style="39" customWidth="1"/>
    <col min="10759" max="10766" width="8.7265625" style="39"/>
    <col min="10767" max="10767" width="2.54296875" style="39" customWidth="1"/>
    <col min="10768" max="10768" width="10.26953125" style="39" bestFit="1" customWidth="1"/>
    <col min="10769" max="10769" width="10.26953125" style="39" customWidth="1"/>
    <col min="10770" max="10772" width="8.7265625" style="39"/>
    <col min="10773" max="10773" width="11" style="39" customWidth="1"/>
    <col min="10774" max="10781" width="8.7265625" style="39"/>
    <col min="10782" max="10782" width="3.26953125" style="39" customWidth="1"/>
    <col min="10783" max="10790" width="8.7265625" style="39"/>
    <col min="10791" max="10791" width="3.1796875" style="39" customWidth="1"/>
    <col min="10792" max="10799" width="8.7265625" style="39"/>
    <col min="10800" max="10800" width="3.26953125" style="39" customWidth="1"/>
    <col min="10801" max="10808" width="8.7265625" style="39"/>
    <col min="10809" max="10809" width="3.54296875" style="39" customWidth="1"/>
    <col min="10810" max="10817" width="8.7265625" style="39"/>
    <col min="10818" max="10818" width="3" style="39" customWidth="1"/>
    <col min="10819" max="10826" width="8.7265625" style="39"/>
    <col min="10827" max="10827" width="3.54296875" style="39" customWidth="1"/>
    <col min="10828" max="10993" width="8.7265625" style="39"/>
    <col min="10994" max="10994" width="7.453125" style="39" customWidth="1"/>
    <col min="10995" max="10995" width="6.26953125" style="39" customWidth="1"/>
    <col min="10996" max="10996" width="3.26953125" style="39" customWidth="1"/>
    <col min="10997" max="11004" width="8.7265625" style="39"/>
    <col min="11005" max="11005" width="3.26953125" style="39" customWidth="1"/>
    <col min="11006" max="11013" width="8.7265625" style="39"/>
    <col min="11014" max="11014" width="3.26953125" style="39" customWidth="1"/>
    <col min="11015" max="11022" width="8.7265625" style="39"/>
    <col min="11023" max="11023" width="2.54296875" style="39" customWidth="1"/>
    <col min="11024" max="11024" width="10.26953125" style="39" bestFit="1" customWidth="1"/>
    <col min="11025" max="11025" width="10.26953125" style="39" customWidth="1"/>
    <col min="11026" max="11028" width="8.7265625" style="39"/>
    <col min="11029" max="11029" width="11" style="39" customWidth="1"/>
    <col min="11030" max="11037" width="8.7265625" style="39"/>
    <col min="11038" max="11038" width="3.26953125" style="39" customWidth="1"/>
    <col min="11039" max="11046" width="8.7265625" style="39"/>
    <col min="11047" max="11047" width="3.1796875" style="39" customWidth="1"/>
    <col min="11048" max="11055" width="8.7265625" style="39"/>
    <col min="11056" max="11056" width="3.26953125" style="39" customWidth="1"/>
    <col min="11057" max="11064" width="8.7265625" style="39"/>
    <col min="11065" max="11065" width="3.54296875" style="39" customWidth="1"/>
    <col min="11066" max="11073" width="8.7265625" style="39"/>
    <col min="11074" max="11074" width="3" style="39" customWidth="1"/>
    <col min="11075" max="11082" width="8.7265625" style="39"/>
    <col min="11083" max="11083" width="3.54296875" style="39" customWidth="1"/>
    <col min="11084" max="11249" width="8.7265625" style="39"/>
    <col min="11250" max="11250" width="7.453125" style="39" customWidth="1"/>
    <col min="11251" max="11251" width="6.26953125" style="39" customWidth="1"/>
    <col min="11252" max="11252" width="3.26953125" style="39" customWidth="1"/>
    <col min="11253" max="11260" width="8.7265625" style="39"/>
    <col min="11261" max="11261" width="3.26953125" style="39" customWidth="1"/>
    <col min="11262" max="11269" width="8.7265625" style="39"/>
    <col min="11270" max="11270" width="3.26953125" style="39" customWidth="1"/>
    <col min="11271" max="11278" width="8.7265625" style="39"/>
    <col min="11279" max="11279" width="2.54296875" style="39" customWidth="1"/>
    <col min="11280" max="11280" width="10.26953125" style="39" bestFit="1" customWidth="1"/>
    <col min="11281" max="11281" width="10.26953125" style="39" customWidth="1"/>
    <col min="11282" max="11284" width="8.7265625" style="39"/>
    <col min="11285" max="11285" width="11" style="39" customWidth="1"/>
    <col min="11286" max="11293" width="8.7265625" style="39"/>
    <col min="11294" max="11294" width="3.26953125" style="39" customWidth="1"/>
    <col min="11295" max="11302" width="8.7265625" style="39"/>
    <col min="11303" max="11303" width="3.1796875" style="39" customWidth="1"/>
    <col min="11304" max="11311" width="8.7265625" style="39"/>
    <col min="11312" max="11312" width="3.26953125" style="39" customWidth="1"/>
    <col min="11313" max="11320" width="8.7265625" style="39"/>
    <col min="11321" max="11321" width="3.54296875" style="39" customWidth="1"/>
    <col min="11322" max="11329" width="8.7265625" style="39"/>
    <col min="11330" max="11330" width="3" style="39" customWidth="1"/>
    <col min="11331" max="11338" width="8.7265625" style="39"/>
    <col min="11339" max="11339" width="3.54296875" style="39" customWidth="1"/>
    <col min="11340" max="11505" width="8.7265625" style="39"/>
    <col min="11506" max="11506" width="7.453125" style="39" customWidth="1"/>
    <col min="11507" max="11507" width="6.26953125" style="39" customWidth="1"/>
    <col min="11508" max="11508" width="3.26953125" style="39" customWidth="1"/>
    <col min="11509" max="11516" width="8.7265625" style="39"/>
    <col min="11517" max="11517" width="3.26953125" style="39" customWidth="1"/>
    <col min="11518" max="11525" width="8.7265625" style="39"/>
    <col min="11526" max="11526" width="3.26953125" style="39" customWidth="1"/>
    <col min="11527" max="11534" width="8.7265625" style="39"/>
    <col min="11535" max="11535" width="2.54296875" style="39" customWidth="1"/>
    <col min="11536" max="11536" width="10.26953125" style="39" bestFit="1" customWidth="1"/>
    <col min="11537" max="11537" width="10.26953125" style="39" customWidth="1"/>
    <col min="11538" max="11540" width="8.7265625" style="39"/>
    <col min="11541" max="11541" width="11" style="39" customWidth="1"/>
    <col min="11542" max="11549" width="8.7265625" style="39"/>
    <col min="11550" max="11550" width="3.26953125" style="39" customWidth="1"/>
    <col min="11551" max="11558" width="8.7265625" style="39"/>
    <col min="11559" max="11559" width="3.1796875" style="39" customWidth="1"/>
    <col min="11560" max="11567" width="8.7265625" style="39"/>
    <col min="11568" max="11568" width="3.26953125" style="39" customWidth="1"/>
    <col min="11569" max="11576" width="8.7265625" style="39"/>
    <col min="11577" max="11577" width="3.54296875" style="39" customWidth="1"/>
    <col min="11578" max="11585" width="8.7265625" style="39"/>
    <col min="11586" max="11586" width="3" style="39" customWidth="1"/>
    <col min="11587" max="11594" width="8.7265625" style="39"/>
    <col min="11595" max="11595" width="3.54296875" style="39" customWidth="1"/>
    <col min="11596" max="11761" width="8.7265625" style="39"/>
    <col min="11762" max="11762" width="7.453125" style="39" customWidth="1"/>
    <col min="11763" max="11763" width="6.26953125" style="39" customWidth="1"/>
    <col min="11764" max="11764" width="3.26953125" style="39" customWidth="1"/>
    <col min="11765" max="11772" width="8.7265625" style="39"/>
    <col min="11773" max="11773" width="3.26953125" style="39" customWidth="1"/>
    <col min="11774" max="11781" width="8.7265625" style="39"/>
    <col min="11782" max="11782" width="3.26953125" style="39" customWidth="1"/>
    <col min="11783" max="11790" width="8.7265625" style="39"/>
    <col min="11791" max="11791" width="2.54296875" style="39" customWidth="1"/>
    <col min="11792" max="11792" width="10.26953125" style="39" bestFit="1" customWidth="1"/>
    <col min="11793" max="11793" width="10.26953125" style="39" customWidth="1"/>
    <col min="11794" max="11796" width="8.7265625" style="39"/>
    <col min="11797" max="11797" width="11" style="39" customWidth="1"/>
    <col min="11798" max="11805" width="8.7265625" style="39"/>
    <col min="11806" max="11806" width="3.26953125" style="39" customWidth="1"/>
    <col min="11807" max="11814" width="8.7265625" style="39"/>
    <col min="11815" max="11815" width="3.1796875" style="39" customWidth="1"/>
    <col min="11816" max="11823" width="8.7265625" style="39"/>
    <col min="11824" max="11824" width="3.26953125" style="39" customWidth="1"/>
    <col min="11825" max="11832" width="8.7265625" style="39"/>
    <col min="11833" max="11833" width="3.54296875" style="39" customWidth="1"/>
    <col min="11834" max="11841" width="8.7265625" style="39"/>
    <col min="11842" max="11842" width="3" style="39" customWidth="1"/>
    <col min="11843" max="11850" width="8.7265625" style="39"/>
    <col min="11851" max="11851" width="3.54296875" style="39" customWidth="1"/>
    <col min="11852" max="12017" width="8.7265625" style="39"/>
    <col min="12018" max="12018" width="7.453125" style="39" customWidth="1"/>
    <col min="12019" max="12019" width="6.26953125" style="39" customWidth="1"/>
    <col min="12020" max="12020" width="3.26953125" style="39" customWidth="1"/>
    <col min="12021" max="12028" width="8.7265625" style="39"/>
    <col min="12029" max="12029" width="3.26953125" style="39" customWidth="1"/>
    <col min="12030" max="12037" width="8.7265625" style="39"/>
    <col min="12038" max="12038" width="3.26953125" style="39" customWidth="1"/>
    <col min="12039" max="12046" width="8.7265625" style="39"/>
    <col min="12047" max="12047" width="2.54296875" style="39" customWidth="1"/>
    <col min="12048" max="12048" width="10.26953125" style="39" bestFit="1" customWidth="1"/>
    <col min="12049" max="12049" width="10.26953125" style="39" customWidth="1"/>
    <col min="12050" max="12052" width="8.7265625" style="39"/>
    <col min="12053" max="12053" width="11" style="39" customWidth="1"/>
    <col min="12054" max="12061" width="8.7265625" style="39"/>
    <col min="12062" max="12062" width="3.26953125" style="39" customWidth="1"/>
    <col min="12063" max="12070" width="8.7265625" style="39"/>
    <col min="12071" max="12071" width="3.1796875" style="39" customWidth="1"/>
    <col min="12072" max="12079" width="8.7265625" style="39"/>
    <col min="12080" max="12080" width="3.26953125" style="39" customWidth="1"/>
    <col min="12081" max="12088" width="8.7265625" style="39"/>
    <col min="12089" max="12089" width="3.54296875" style="39" customWidth="1"/>
    <col min="12090" max="12097" width="8.7265625" style="39"/>
    <col min="12098" max="12098" width="3" style="39" customWidth="1"/>
    <col min="12099" max="12106" width="8.7265625" style="39"/>
    <col min="12107" max="12107" width="3.54296875" style="39" customWidth="1"/>
    <col min="12108" max="12273" width="8.7265625" style="39"/>
    <col min="12274" max="12274" width="7.453125" style="39" customWidth="1"/>
    <col min="12275" max="12275" width="6.26953125" style="39" customWidth="1"/>
    <col min="12276" max="12276" width="3.26953125" style="39" customWidth="1"/>
    <col min="12277" max="12284" width="8.7265625" style="39"/>
    <col min="12285" max="12285" width="3.26953125" style="39" customWidth="1"/>
    <col min="12286" max="12293" width="8.7265625" style="39"/>
    <col min="12294" max="12294" width="3.26953125" style="39" customWidth="1"/>
    <col min="12295" max="12302" width="8.7265625" style="39"/>
    <col min="12303" max="12303" width="2.54296875" style="39" customWidth="1"/>
    <col min="12304" max="12304" width="10.26953125" style="39" bestFit="1" customWidth="1"/>
    <col min="12305" max="12305" width="10.26953125" style="39" customWidth="1"/>
    <col min="12306" max="12308" width="8.7265625" style="39"/>
    <col min="12309" max="12309" width="11" style="39" customWidth="1"/>
    <col min="12310" max="12317" width="8.7265625" style="39"/>
    <col min="12318" max="12318" width="3.26953125" style="39" customWidth="1"/>
    <col min="12319" max="12326" width="8.7265625" style="39"/>
    <col min="12327" max="12327" width="3.1796875" style="39" customWidth="1"/>
    <col min="12328" max="12335" width="8.7265625" style="39"/>
    <col min="12336" max="12336" width="3.26953125" style="39" customWidth="1"/>
    <col min="12337" max="12344" width="8.7265625" style="39"/>
    <col min="12345" max="12345" width="3.54296875" style="39" customWidth="1"/>
    <col min="12346" max="12353" width="8.7265625" style="39"/>
    <col min="12354" max="12354" width="3" style="39" customWidth="1"/>
    <col min="12355" max="12362" width="8.7265625" style="39"/>
    <col min="12363" max="12363" width="3.54296875" style="39" customWidth="1"/>
    <col min="12364" max="12529" width="8.7265625" style="39"/>
    <col min="12530" max="12530" width="7.453125" style="39" customWidth="1"/>
    <col min="12531" max="12531" width="6.26953125" style="39" customWidth="1"/>
    <col min="12532" max="12532" width="3.26953125" style="39" customWidth="1"/>
    <col min="12533" max="12540" width="8.7265625" style="39"/>
    <col min="12541" max="12541" width="3.26953125" style="39" customWidth="1"/>
    <col min="12542" max="12549" width="8.7265625" style="39"/>
    <col min="12550" max="12550" width="3.26953125" style="39" customWidth="1"/>
    <col min="12551" max="12558" width="8.7265625" style="39"/>
    <col min="12559" max="12559" width="2.54296875" style="39" customWidth="1"/>
    <col min="12560" max="12560" width="10.26953125" style="39" bestFit="1" customWidth="1"/>
    <col min="12561" max="12561" width="10.26953125" style="39" customWidth="1"/>
    <col min="12562" max="12564" width="8.7265625" style="39"/>
    <col min="12565" max="12565" width="11" style="39" customWidth="1"/>
    <col min="12566" max="12573" width="8.7265625" style="39"/>
    <col min="12574" max="12574" width="3.26953125" style="39" customWidth="1"/>
    <col min="12575" max="12582" width="8.7265625" style="39"/>
    <col min="12583" max="12583" width="3.1796875" style="39" customWidth="1"/>
    <col min="12584" max="12591" width="8.7265625" style="39"/>
    <col min="12592" max="12592" width="3.26953125" style="39" customWidth="1"/>
    <col min="12593" max="12600" width="8.7265625" style="39"/>
    <col min="12601" max="12601" width="3.54296875" style="39" customWidth="1"/>
    <col min="12602" max="12609" width="8.7265625" style="39"/>
    <col min="12610" max="12610" width="3" style="39" customWidth="1"/>
    <col min="12611" max="12618" width="8.7265625" style="39"/>
    <col min="12619" max="12619" width="3.54296875" style="39" customWidth="1"/>
    <col min="12620" max="12785" width="8.7265625" style="39"/>
    <col min="12786" max="12786" width="7.453125" style="39" customWidth="1"/>
    <col min="12787" max="12787" width="6.26953125" style="39" customWidth="1"/>
    <col min="12788" max="12788" width="3.26953125" style="39" customWidth="1"/>
    <col min="12789" max="12796" width="8.7265625" style="39"/>
    <col min="12797" max="12797" width="3.26953125" style="39" customWidth="1"/>
    <col min="12798" max="12805" width="8.7265625" style="39"/>
    <col min="12806" max="12806" width="3.26953125" style="39" customWidth="1"/>
    <col min="12807" max="12814" width="8.7265625" style="39"/>
    <col min="12815" max="12815" width="2.54296875" style="39" customWidth="1"/>
    <col min="12816" max="12816" width="10.26953125" style="39" bestFit="1" customWidth="1"/>
    <col min="12817" max="12817" width="10.26953125" style="39" customWidth="1"/>
    <col min="12818" max="12820" width="8.7265625" style="39"/>
    <col min="12821" max="12821" width="11" style="39" customWidth="1"/>
    <col min="12822" max="12829" width="8.7265625" style="39"/>
    <col min="12830" max="12830" width="3.26953125" style="39" customWidth="1"/>
    <col min="12831" max="12838" width="8.7265625" style="39"/>
    <col min="12839" max="12839" width="3.1796875" style="39" customWidth="1"/>
    <col min="12840" max="12847" width="8.7265625" style="39"/>
    <col min="12848" max="12848" width="3.26953125" style="39" customWidth="1"/>
    <col min="12849" max="12856" width="8.7265625" style="39"/>
    <col min="12857" max="12857" width="3.54296875" style="39" customWidth="1"/>
    <col min="12858" max="12865" width="8.7265625" style="39"/>
    <col min="12866" max="12866" width="3" style="39" customWidth="1"/>
    <col min="12867" max="12874" width="8.7265625" style="39"/>
    <col min="12875" max="12875" width="3.54296875" style="39" customWidth="1"/>
    <col min="12876" max="13041" width="8.7265625" style="39"/>
    <col min="13042" max="13042" width="7.453125" style="39" customWidth="1"/>
    <col min="13043" max="13043" width="6.26953125" style="39" customWidth="1"/>
    <col min="13044" max="13044" width="3.26953125" style="39" customWidth="1"/>
    <col min="13045" max="13052" width="8.7265625" style="39"/>
    <col min="13053" max="13053" width="3.26953125" style="39" customWidth="1"/>
    <col min="13054" max="13061" width="8.7265625" style="39"/>
    <col min="13062" max="13062" width="3.26953125" style="39" customWidth="1"/>
    <col min="13063" max="13070" width="8.7265625" style="39"/>
    <col min="13071" max="13071" width="2.54296875" style="39" customWidth="1"/>
    <col min="13072" max="13072" width="10.26953125" style="39" bestFit="1" customWidth="1"/>
    <col min="13073" max="13073" width="10.26953125" style="39" customWidth="1"/>
    <col min="13074" max="13076" width="8.7265625" style="39"/>
    <col min="13077" max="13077" width="11" style="39" customWidth="1"/>
    <col min="13078" max="13085" width="8.7265625" style="39"/>
    <col min="13086" max="13086" width="3.26953125" style="39" customWidth="1"/>
    <col min="13087" max="13094" width="8.7265625" style="39"/>
    <col min="13095" max="13095" width="3.1796875" style="39" customWidth="1"/>
    <col min="13096" max="13103" width="8.7265625" style="39"/>
    <col min="13104" max="13104" width="3.26953125" style="39" customWidth="1"/>
    <col min="13105" max="13112" width="8.7265625" style="39"/>
    <col min="13113" max="13113" width="3.54296875" style="39" customWidth="1"/>
    <col min="13114" max="13121" width="8.7265625" style="39"/>
    <col min="13122" max="13122" width="3" style="39" customWidth="1"/>
    <col min="13123" max="13130" width="8.7265625" style="39"/>
    <col min="13131" max="13131" width="3.54296875" style="39" customWidth="1"/>
    <col min="13132" max="13297" width="8.7265625" style="39"/>
    <col min="13298" max="13298" width="7.453125" style="39" customWidth="1"/>
    <col min="13299" max="13299" width="6.26953125" style="39" customWidth="1"/>
    <col min="13300" max="13300" width="3.26953125" style="39" customWidth="1"/>
    <col min="13301" max="13308" width="8.7265625" style="39"/>
    <col min="13309" max="13309" width="3.26953125" style="39" customWidth="1"/>
    <col min="13310" max="13317" width="8.7265625" style="39"/>
    <col min="13318" max="13318" width="3.26953125" style="39" customWidth="1"/>
    <col min="13319" max="13326" width="8.7265625" style="39"/>
    <col min="13327" max="13327" width="2.54296875" style="39" customWidth="1"/>
    <col min="13328" max="13328" width="10.26953125" style="39" bestFit="1" customWidth="1"/>
    <col min="13329" max="13329" width="10.26953125" style="39" customWidth="1"/>
    <col min="13330" max="13332" width="8.7265625" style="39"/>
    <col min="13333" max="13333" width="11" style="39" customWidth="1"/>
    <col min="13334" max="13341" width="8.7265625" style="39"/>
    <col min="13342" max="13342" width="3.26953125" style="39" customWidth="1"/>
    <col min="13343" max="13350" width="8.7265625" style="39"/>
    <col min="13351" max="13351" width="3.1796875" style="39" customWidth="1"/>
    <col min="13352" max="13359" width="8.7265625" style="39"/>
    <col min="13360" max="13360" width="3.26953125" style="39" customWidth="1"/>
    <col min="13361" max="13368" width="8.7265625" style="39"/>
    <col min="13369" max="13369" width="3.54296875" style="39" customWidth="1"/>
    <col min="13370" max="13377" width="8.7265625" style="39"/>
    <col min="13378" max="13378" width="3" style="39" customWidth="1"/>
    <col min="13379" max="13386" width="8.7265625" style="39"/>
    <col min="13387" max="13387" width="3.54296875" style="39" customWidth="1"/>
    <col min="13388" max="13553" width="8.7265625" style="39"/>
    <col min="13554" max="13554" width="7.453125" style="39" customWidth="1"/>
    <col min="13555" max="13555" width="6.26953125" style="39" customWidth="1"/>
    <col min="13556" max="13556" width="3.26953125" style="39" customWidth="1"/>
    <col min="13557" max="13564" width="8.7265625" style="39"/>
    <col min="13565" max="13565" width="3.26953125" style="39" customWidth="1"/>
    <col min="13566" max="13573" width="8.7265625" style="39"/>
    <col min="13574" max="13574" width="3.26953125" style="39" customWidth="1"/>
    <col min="13575" max="13582" width="8.7265625" style="39"/>
    <col min="13583" max="13583" width="2.54296875" style="39" customWidth="1"/>
    <col min="13584" max="13584" width="10.26953125" style="39" bestFit="1" customWidth="1"/>
    <col min="13585" max="13585" width="10.26953125" style="39" customWidth="1"/>
    <col min="13586" max="13588" width="8.7265625" style="39"/>
    <col min="13589" max="13589" width="11" style="39" customWidth="1"/>
    <col min="13590" max="13597" width="8.7265625" style="39"/>
    <col min="13598" max="13598" width="3.26953125" style="39" customWidth="1"/>
    <col min="13599" max="13606" width="8.7265625" style="39"/>
    <col min="13607" max="13607" width="3.1796875" style="39" customWidth="1"/>
    <col min="13608" max="13615" width="8.7265625" style="39"/>
    <col min="13616" max="13616" width="3.26953125" style="39" customWidth="1"/>
    <col min="13617" max="13624" width="8.7265625" style="39"/>
    <col min="13625" max="13625" width="3.54296875" style="39" customWidth="1"/>
    <col min="13626" max="13633" width="8.7265625" style="39"/>
    <col min="13634" max="13634" width="3" style="39" customWidth="1"/>
    <col min="13635" max="13642" width="8.7265625" style="39"/>
    <col min="13643" max="13643" width="3.54296875" style="39" customWidth="1"/>
    <col min="13644" max="13809" width="8.7265625" style="39"/>
    <col min="13810" max="13810" width="7.453125" style="39" customWidth="1"/>
    <col min="13811" max="13811" width="6.26953125" style="39" customWidth="1"/>
    <col min="13812" max="13812" width="3.26953125" style="39" customWidth="1"/>
    <col min="13813" max="13820" width="8.7265625" style="39"/>
    <col min="13821" max="13821" width="3.26953125" style="39" customWidth="1"/>
    <col min="13822" max="13829" width="8.7265625" style="39"/>
    <col min="13830" max="13830" width="3.26953125" style="39" customWidth="1"/>
    <col min="13831" max="13838" width="8.7265625" style="39"/>
    <col min="13839" max="13839" width="2.54296875" style="39" customWidth="1"/>
    <col min="13840" max="13840" width="10.26953125" style="39" bestFit="1" customWidth="1"/>
    <col min="13841" max="13841" width="10.26953125" style="39" customWidth="1"/>
    <col min="13842" max="13844" width="8.7265625" style="39"/>
    <col min="13845" max="13845" width="11" style="39" customWidth="1"/>
    <col min="13846" max="13853" width="8.7265625" style="39"/>
    <col min="13854" max="13854" width="3.26953125" style="39" customWidth="1"/>
    <col min="13855" max="13862" width="8.7265625" style="39"/>
    <col min="13863" max="13863" width="3.1796875" style="39" customWidth="1"/>
    <col min="13864" max="13871" width="8.7265625" style="39"/>
    <col min="13872" max="13872" width="3.26953125" style="39" customWidth="1"/>
    <col min="13873" max="13880" width="8.7265625" style="39"/>
    <col min="13881" max="13881" width="3.54296875" style="39" customWidth="1"/>
    <col min="13882" max="13889" width="8.7265625" style="39"/>
    <col min="13890" max="13890" width="3" style="39" customWidth="1"/>
    <col min="13891" max="13898" width="8.7265625" style="39"/>
    <col min="13899" max="13899" width="3.54296875" style="39" customWidth="1"/>
    <col min="13900" max="14065" width="8.7265625" style="39"/>
    <col min="14066" max="14066" width="7.453125" style="39" customWidth="1"/>
    <col min="14067" max="14067" width="6.26953125" style="39" customWidth="1"/>
    <col min="14068" max="14068" width="3.26953125" style="39" customWidth="1"/>
    <col min="14069" max="14076" width="8.7265625" style="39"/>
    <col min="14077" max="14077" width="3.26953125" style="39" customWidth="1"/>
    <col min="14078" max="14085" width="8.7265625" style="39"/>
    <col min="14086" max="14086" width="3.26953125" style="39" customWidth="1"/>
    <col min="14087" max="14094" width="8.7265625" style="39"/>
    <col min="14095" max="14095" width="2.54296875" style="39" customWidth="1"/>
    <col min="14096" max="14096" width="10.26953125" style="39" bestFit="1" customWidth="1"/>
    <col min="14097" max="14097" width="10.26953125" style="39" customWidth="1"/>
    <col min="14098" max="14100" width="8.7265625" style="39"/>
    <col min="14101" max="14101" width="11" style="39" customWidth="1"/>
    <col min="14102" max="14109" width="8.7265625" style="39"/>
    <col min="14110" max="14110" width="3.26953125" style="39" customWidth="1"/>
    <col min="14111" max="14118" width="8.7265625" style="39"/>
    <col min="14119" max="14119" width="3.1796875" style="39" customWidth="1"/>
    <col min="14120" max="14127" width="8.7265625" style="39"/>
    <col min="14128" max="14128" width="3.26953125" style="39" customWidth="1"/>
    <col min="14129" max="14136" width="8.7265625" style="39"/>
    <col min="14137" max="14137" width="3.54296875" style="39" customWidth="1"/>
    <col min="14138" max="14145" width="8.7265625" style="39"/>
    <col min="14146" max="14146" width="3" style="39" customWidth="1"/>
    <col min="14147" max="14154" width="8.7265625" style="39"/>
    <col min="14155" max="14155" width="3.54296875" style="39" customWidth="1"/>
    <col min="14156" max="14321" width="8.7265625" style="39"/>
    <col min="14322" max="14322" width="7.453125" style="39" customWidth="1"/>
    <col min="14323" max="14323" width="6.26953125" style="39" customWidth="1"/>
    <col min="14324" max="14324" width="3.26953125" style="39" customWidth="1"/>
    <col min="14325" max="14332" width="8.7265625" style="39"/>
    <col min="14333" max="14333" width="3.26953125" style="39" customWidth="1"/>
    <col min="14334" max="14341" width="8.7265625" style="39"/>
    <col min="14342" max="14342" width="3.26953125" style="39" customWidth="1"/>
    <col min="14343" max="14350" width="8.7265625" style="39"/>
    <col min="14351" max="14351" width="2.54296875" style="39" customWidth="1"/>
    <col min="14352" max="14352" width="10.26953125" style="39" bestFit="1" customWidth="1"/>
    <col min="14353" max="14353" width="10.26953125" style="39" customWidth="1"/>
    <col min="14354" max="14356" width="8.7265625" style="39"/>
    <col min="14357" max="14357" width="11" style="39" customWidth="1"/>
    <col min="14358" max="14365" width="8.7265625" style="39"/>
    <col min="14366" max="14366" width="3.26953125" style="39" customWidth="1"/>
    <col min="14367" max="14374" width="8.7265625" style="39"/>
    <col min="14375" max="14375" width="3.1796875" style="39" customWidth="1"/>
    <col min="14376" max="14383" width="8.7265625" style="39"/>
    <col min="14384" max="14384" width="3.26953125" style="39" customWidth="1"/>
    <col min="14385" max="14392" width="8.7265625" style="39"/>
    <col min="14393" max="14393" width="3.54296875" style="39" customWidth="1"/>
    <col min="14394" max="14401" width="8.7265625" style="39"/>
    <col min="14402" max="14402" width="3" style="39" customWidth="1"/>
    <col min="14403" max="14410" width="8.7265625" style="39"/>
    <col min="14411" max="14411" width="3.54296875" style="39" customWidth="1"/>
    <col min="14412" max="14577" width="8.7265625" style="39"/>
    <col min="14578" max="14578" width="7.453125" style="39" customWidth="1"/>
    <col min="14579" max="14579" width="6.26953125" style="39" customWidth="1"/>
    <col min="14580" max="14580" width="3.26953125" style="39" customWidth="1"/>
    <col min="14581" max="14588" width="8.7265625" style="39"/>
    <col min="14589" max="14589" width="3.26953125" style="39" customWidth="1"/>
    <col min="14590" max="14597" width="8.7265625" style="39"/>
    <col min="14598" max="14598" width="3.26953125" style="39" customWidth="1"/>
    <col min="14599" max="14606" width="8.7265625" style="39"/>
    <col min="14607" max="14607" width="2.54296875" style="39" customWidth="1"/>
    <col min="14608" max="14608" width="10.26953125" style="39" bestFit="1" customWidth="1"/>
    <col min="14609" max="14609" width="10.26953125" style="39" customWidth="1"/>
    <col min="14610" max="14612" width="8.7265625" style="39"/>
    <col min="14613" max="14613" width="11" style="39" customWidth="1"/>
    <col min="14614" max="14621" width="8.7265625" style="39"/>
    <col min="14622" max="14622" width="3.26953125" style="39" customWidth="1"/>
    <col min="14623" max="14630" width="8.7265625" style="39"/>
    <col min="14631" max="14631" width="3.1796875" style="39" customWidth="1"/>
    <col min="14632" max="14639" width="8.7265625" style="39"/>
    <col min="14640" max="14640" width="3.26953125" style="39" customWidth="1"/>
    <col min="14641" max="14648" width="8.7265625" style="39"/>
    <col min="14649" max="14649" width="3.54296875" style="39" customWidth="1"/>
    <col min="14650" max="14657" width="8.7265625" style="39"/>
    <col min="14658" max="14658" width="3" style="39" customWidth="1"/>
    <col min="14659" max="14666" width="8.7265625" style="39"/>
    <col min="14667" max="14667" width="3.54296875" style="39" customWidth="1"/>
    <col min="14668" max="14833" width="8.7265625" style="39"/>
    <col min="14834" max="14834" width="7.453125" style="39" customWidth="1"/>
    <col min="14835" max="14835" width="6.26953125" style="39" customWidth="1"/>
    <col min="14836" max="14836" width="3.26953125" style="39" customWidth="1"/>
    <col min="14837" max="14844" width="8.7265625" style="39"/>
    <col min="14845" max="14845" width="3.26953125" style="39" customWidth="1"/>
    <col min="14846" max="14853" width="8.7265625" style="39"/>
    <col min="14854" max="14854" width="3.26953125" style="39" customWidth="1"/>
    <col min="14855" max="14862" width="8.7265625" style="39"/>
    <col min="14863" max="14863" width="2.54296875" style="39" customWidth="1"/>
    <col min="14864" max="14864" width="10.26953125" style="39" bestFit="1" customWidth="1"/>
    <col min="14865" max="14865" width="10.26953125" style="39" customWidth="1"/>
    <col min="14866" max="14868" width="8.7265625" style="39"/>
    <col min="14869" max="14869" width="11" style="39" customWidth="1"/>
    <col min="14870" max="14877" width="8.7265625" style="39"/>
    <col min="14878" max="14878" width="3.26953125" style="39" customWidth="1"/>
    <col min="14879" max="14886" width="8.7265625" style="39"/>
    <col min="14887" max="14887" width="3.1796875" style="39" customWidth="1"/>
    <col min="14888" max="14895" width="8.7265625" style="39"/>
    <col min="14896" max="14896" width="3.26953125" style="39" customWidth="1"/>
    <col min="14897" max="14904" width="8.7265625" style="39"/>
    <col min="14905" max="14905" width="3.54296875" style="39" customWidth="1"/>
    <col min="14906" max="14913" width="8.7265625" style="39"/>
    <col min="14914" max="14914" width="3" style="39" customWidth="1"/>
    <col min="14915" max="14922" width="8.7265625" style="39"/>
    <col min="14923" max="14923" width="3.54296875" style="39" customWidth="1"/>
    <col min="14924" max="15089" width="8.7265625" style="39"/>
    <col min="15090" max="15090" width="7.453125" style="39" customWidth="1"/>
    <col min="15091" max="15091" width="6.26953125" style="39" customWidth="1"/>
    <col min="15092" max="15092" width="3.26953125" style="39" customWidth="1"/>
    <col min="15093" max="15100" width="8.7265625" style="39"/>
    <col min="15101" max="15101" width="3.26953125" style="39" customWidth="1"/>
    <col min="15102" max="15109" width="8.7265625" style="39"/>
    <col min="15110" max="15110" width="3.26953125" style="39" customWidth="1"/>
    <col min="15111" max="15118" width="8.7265625" style="39"/>
    <col min="15119" max="15119" width="2.54296875" style="39" customWidth="1"/>
    <col min="15120" max="15120" width="10.26953125" style="39" bestFit="1" customWidth="1"/>
    <col min="15121" max="15121" width="10.26953125" style="39" customWidth="1"/>
    <col min="15122" max="15124" width="8.7265625" style="39"/>
    <col min="15125" max="15125" width="11" style="39" customWidth="1"/>
    <col min="15126" max="15133" width="8.7265625" style="39"/>
    <col min="15134" max="15134" width="3.26953125" style="39" customWidth="1"/>
    <col min="15135" max="15142" width="8.7265625" style="39"/>
    <col min="15143" max="15143" width="3.1796875" style="39" customWidth="1"/>
    <col min="15144" max="15151" width="8.7265625" style="39"/>
    <col min="15152" max="15152" width="3.26953125" style="39" customWidth="1"/>
    <col min="15153" max="15160" width="8.7265625" style="39"/>
    <col min="15161" max="15161" width="3.54296875" style="39" customWidth="1"/>
    <col min="15162" max="15169" width="8.7265625" style="39"/>
    <col min="15170" max="15170" width="3" style="39" customWidth="1"/>
    <col min="15171" max="15178" width="8.7265625" style="39"/>
    <col min="15179" max="15179" width="3.54296875" style="39" customWidth="1"/>
    <col min="15180" max="15345" width="8.7265625" style="39"/>
    <col min="15346" max="15346" width="7.453125" style="39" customWidth="1"/>
    <col min="15347" max="15347" width="6.26953125" style="39" customWidth="1"/>
    <col min="15348" max="15348" width="3.26953125" style="39" customWidth="1"/>
    <col min="15349" max="15356" width="8.7265625" style="39"/>
    <col min="15357" max="15357" width="3.26953125" style="39" customWidth="1"/>
    <col min="15358" max="15365" width="8.7265625" style="39"/>
    <col min="15366" max="15366" width="3.26953125" style="39" customWidth="1"/>
    <col min="15367" max="15374" width="8.7265625" style="39"/>
    <col min="15375" max="15375" width="2.54296875" style="39" customWidth="1"/>
    <col min="15376" max="15376" width="10.26953125" style="39" bestFit="1" customWidth="1"/>
    <col min="15377" max="15377" width="10.26953125" style="39" customWidth="1"/>
    <col min="15378" max="15380" width="8.7265625" style="39"/>
    <col min="15381" max="15381" width="11" style="39" customWidth="1"/>
    <col min="15382" max="15389" width="8.7265625" style="39"/>
    <col min="15390" max="15390" width="3.26953125" style="39" customWidth="1"/>
    <col min="15391" max="15398" width="8.7265625" style="39"/>
    <col min="15399" max="15399" width="3.1796875" style="39" customWidth="1"/>
    <col min="15400" max="15407" width="8.7265625" style="39"/>
    <col min="15408" max="15408" width="3.26953125" style="39" customWidth="1"/>
    <col min="15409" max="15416" width="8.7265625" style="39"/>
    <col min="15417" max="15417" width="3.54296875" style="39" customWidth="1"/>
    <col min="15418" max="15425" width="8.7265625" style="39"/>
    <col min="15426" max="15426" width="3" style="39" customWidth="1"/>
    <col min="15427" max="15434" width="8.7265625" style="39"/>
    <col min="15435" max="15435" width="3.54296875" style="39" customWidth="1"/>
    <col min="15436" max="15601" width="8.7265625" style="39"/>
    <col min="15602" max="15602" width="7.453125" style="39" customWidth="1"/>
    <col min="15603" max="15603" width="6.26953125" style="39" customWidth="1"/>
    <col min="15604" max="15604" width="3.26953125" style="39" customWidth="1"/>
    <col min="15605" max="15612" width="8.7265625" style="39"/>
    <col min="15613" max="15613" width="3.26953125" style="39" customWidth="1"/>
    <col min="15614" max="15621" width="8.7265625" style="39"/>
    <col min="15622" max="15622" width="3.26953125" style="39" customWidth="1"/>
    <col min="15623" max="15630" width="8.7265625" style="39"/>
    <col min="15631" max="15631" width="2.54296875" style="39" customWidth="1"/>
    <col min="15632" max="15632" width="10.26953125" style="39" bestFit="1" customWidth="1"/>
    <col min="15633" max="15633" width="10.26953125" style="39" customWidth="1"/>
    <col min="15634" max="15636" width="8.7265625" style="39"/>
    <col min="15637" max="15637" width="11" style="39" customWidth="1"/>
    <col min="15638" max="15645" width="8.7265625" style="39"/>
    <col min="15646" max="15646" width="3.26953125" style="39" customWidth="1"/>
    <col min="15647" max="15654" width="8.7265625" style="39"/>
    <col min="15655" max="15655" width="3.1796875" style="39" customWidth="1"/>
    <col min="15656" max="15663" width="8.7265625" style="39"/>
    <col min="15664" max="15664" width="3.26953125" style="39" customWidth="1"/>
    <col min="15665" max="15672" width="8.7265625" style="39"/>
    <col min="15673" max="15673" width="3.54296875" style="39" customWidth="1"/>
    <col min="15674" max="15681" width="8.7265625" style="39"/>
    <col min="15682" max="15682" width="3" style="39" customWidth="1"/>
    <col min="15683" max="15690" width="8.7265625" style="39"/>
    <col min="15691" max="15691" width="3.54296875" style="39" customWidth="1"/>
    <col min="15692" max="15857" width="8.7265625" style="39"/>
    <col min="15858" max="15858" width="7.453125" style="39" customWidth="1"/>
    <col min="15859" max="15859" width="6.26953125" style="39" customWidth="1"/>
    <col min="15860" max="15860" width="3.26953125" style="39" customWidth="1"/>
    <col min="15861" max="15868" width="8.7265625" style="39"/>
    <col min="15869" max="15869" width="3.26953125" style="39" customWidth="1"/>
    <col min="15870" max="15877" width="8.7265625" style="39"/>
    <col min="15878" max="15878" width="3.26953125" style="39" customWidth="1"/>
    <col min="15879" max="15886" width="8.7265625" style="39"/>
    <col min="15887" max="15887" width="2.54296875" style="39" customWidth="1"/>
    <col min="15888" max="15888" width="10.26953125" style="39" bestFit="1" customWidth="1"/>
    <col min="15889" max="15889" width="10.26953125" style="39" customWidth="1"/>
    <col min="15890" max="15892" width="8.7265625" style="39"/>
    <col min="15893" max="15893" width="11" style="39" customWidth="1"/>
    <col min="15894" max="15901" width="8.7265625" style="39"/>
    <col min="15902" max="15902" width="3.26953125" style="39" customWidth="1"/>
    <col min="15903" max="15910" width="8.7265625" style="39"/>
    <col min="15911" max="15911" width="3.1796875" style="39" customWidth="1"/>
    <col min="15912" max="15919" width="8.7265625" style="39"/>
    <col min="15920" max="15920" width="3.26953125" style="39" customWidth="1"/>
    <col min="15921" max="15928" width="8.7265625" style="39"/>
    <col min="15929" max="15929" width="3.54296875" style="39" customWidth="1"/>
    <col min="15930" max="15937" width="8.7265625" style="39"/>
    <col min="15938" max="15938" width="3" style="39" customWidth="1"/>
    <col min="15939" max="15946" width="8.7265625" style="39"/>
    <col min="15947" max="15947" width="3.54296875" style="39" customWidth="1"/>
    <col min="15948" max="16113" width="8.7265625" style="39"/>
    <col min="16114" max="16114" width="7.453125" style="39" customWidth="1"/>
    <col min="16115" max="16115" width="6.26953125" style="39" customWidth="1"/>
    <col min="16116" max="16116" width="3.26953125" style="39" customWidth="1"/>
    <col min="16117" max="16124" width="8.7265625" style="39"/>
    <col min="16125" max="16125" width="3.26953125" style="39" customWidth="1"/>
    <col min="16126" max="16133" width="8.7265625" style="39"/>
    <col min="16134" max="16134" width="3.26953125" style="39" customWidth="1"/>
    <col min="16135" max="16142" width="8.7265625" style="39"/>
    <col min="16143" max="16143" width="2.54296875" style="39" customWidth="1"/>
    <col min="16144" max="16144" width="10.26953125" style="39" bestFit="1" customWidth="1"/>
    <col min="16145" max="16145" width="10.26953125" style="39" customWidth="1"/>
    <col min="16146" max="16148" width="8.7265625" style="39"/>
    <col min="16149" max="16149" width="11" style="39" customWidth="1"/>
    <col min="16150" max="16157" width="8.7265625" style="39"/>
    <col min="16158" max="16158" width="3.26953125" style="39" customWidth="1"/>
    <col min="16159" max="16166" width="8.7265625" style="39"/>
    <col min="16167" max="16167" width="3.1796875" style="39" customWidth="1"/>
    <col min="16168" max="16175" width="8.7265625" style="39"/>
    <col min="16176" max="16176" width="3.26953125" style="39" customWidth="1"/>
    <col min="16177" max="16184" width="8.7265625" style="39"/>
    <col min="16185" max="16185" width="3.54296875" style="39" customWidth="1"/>
    <col min="16186" max="16193" width="8.7265625" style="39"/>
    <col min="16194" max="16194" width="3" style="39" customWidth="1"/>
    <col min="16195" max="16202" width="8.7265625" style="39"/>
    <col min="16203" max="16203" width="3.54296875" style="39" customWidth="1"/>
    <col min="16204" max="16369" width="8.7265625" style="39"/>
    <col min="16370" max="16384" width="8.7265625" style="39" customWidth="1"/>
  </cols>
  <sheetData>
    <row r="1" spans="1:83" s="2" customFormat="1" ht="45" customHeight="1" x14ac:dyDescent="0.35">
      <c r="A1" s="38" t="s">
        <v>388</v>
      </c>
    </row>
    <row r="2" spans="1:83" s="3" customFormat="1" ht="20.25" customHeight="1" x14ac:dyDescent="0.35">
      <c r="A2" s="3" t="s">
        <v>15</v>
      </c>
    </row>
    <row r="3" spans="1:83" s="3" customFormat="1" ht="20.25" customHeight="1" x14ac:dyDescent="0.35">
      <c r="A3" s="44" t="s">
        <v>158</v>
      </c>
    </row>
    <row r="4" spans="1:83" s="3" customFormat="1" ht="20.25" customHeight="1" x14ac:dyDescent="0.35">
      <c r="A4" s="3" t="s">
        <v>159</v>
      </c>
    </row>
    <row r="5" spans="1:83" ht="49" customHeight="1" x14ac:dyDescent="0.35">
      <c r="A5" s="69" t="s">
        <v>88</v>
      </c>
      <c r="B5" s="65" t="s">
        <v>339</v>
      </c>
      <c r="C5" s="66" t="s">
        <v>56</v>
      </c>
      <c r="D5" s="66" t="s">
        <v>317</v>
      </c>
      <c r="E5" s="66" t="s">
        <v>340</v>
      </c>
      <c r="F5" s="67" t="s">
        <v>313</v>
      </c>
      <c r="G5" s="66" t="s">
        <v>312</v>
      </c>
      <c r="H5" s="66" t="s">
        <v>59</v>
      </c>
      <c r="I5" s="66" t="s">
        <v>60</v>
      </c>
      <c r="J5" s="66" t="s">
        <v>389</v>
      </c>
      <c r="K5" s="66" t="s">
        <v>89</v>
      </c>
      <c r="L5" s="66" t="s">
        <v>342</v>
      </c>
      <c r="M5" s="66" t="s">
        <v>399</v>
      </c>
      <c r="N5" s="67" t="s">
        <v>304</v>
      </c>
      <c r="O5" s="66" t="s">
        <v>305</v>
      </c>
      <c r="P5" s="66" t="s">
        <v>345</v>
      </c>
      <c r="Q5" s="66" t="s">
        <v>400</v>
      </c>
      <c r="R5" s="66" t="s">
        <v>390</v>
      </c>
      <c r="S5" s="66" t="s">
        <v>278</v>
      </c>
      <c r="T5" s="66" t="s">
        <v>280</v>
      </c>
      <c r="U5" s="66" t="s">
        <v>401</v>
      </c>
      <c r="V5" s="67" t="s">
        <v>347</v>
      </c>
      <c r="W5" s="66" t="s">
        <v>348</v>
      </c>
      <c r="X5" s="66" t="s">
        <v>283</v>
      </c>
      <c r="Y5" s="66" t="s">
        <v>402</v>
      </c>
      <c r="Z5" s="66" t="s">
        <v>391</v>
      </c>
      <c r="AA5" s="66" t="s">
        <v>350</v>
      </c>
      <c r="AB5" s="66" t="s">
        <v>403</v>
      </c>
      <c r="AC5" s="67" t="s">
        <v>353</v>
      </c>
      <c r="AD5" s="66" t="s">
        <v>354</v>
      </c>
      <c r="AE5" s="66" t="s">
        <v>356</v>
      </c>
      <c r="AF5" s="66" t="s">
        <v>392</v>
      </c>
      <c r="AG5" s="66" t="s">
        <v>285</v>
      </c>
      <c r="AH5" s="66" t="s">
        <v>300</v>
      </c>
      <c r="AI5" s="66" t="s">
        <v>404</v>
      </c>
      <c r="AJ5" s="67" t="s">
        <v>357</v>
      </c>
      <c r="AK5" s="66" t="s">
        <v>358</v>
      </c>
      <c r="AL5" s="66" t="s">
        <v>303</v>
      </c>
      <c r="AM5" s="66" t="s">
        <v>359</v>
      </c>
      <c r="AN5" s="66" t="s">
        <v>393</v>
      </c>
      <c r="AO5" s="66" t="s">
        <v>293</v>
      </c>
      <c r="AP5" s="66" t="s">
        <v>294</v>
      </c>
      <c r="AQ5" s="66" t="s">
        <v>405</v>
      </c>
      <c r="AR5" s="67" t="s">
        <v>406</v>
      </c>
      <c r="AS5" s="66" t="s">
        <v>308</v>
      </c>
      <c r="AT5" s="66" t="s">
        <v>407</v>
      </c>
      <c r="AU5" s="66" t="s">
        <v>408</v>
      </c>
      <c r="AV5" s="66" t="s">
        <v>394</v>
      </c>
      <c r="AW5" s="66" t="s">
        <v>361</v>
      </c>
      <c r="AX5" s="66" t="s">
        <v>362</v>
      </c>
      <c r="AY5" s="66" t="s">
        <v>409</v>
      </c>
      <c r="AZ5" s="67" t="s">
        <v>410</v>
      </c>
      <c r="BA5" s="66" t="s">
        <v>411</v>
      </c>
      <c r="BB5" s="66" t="s">
        <v>412</v>
      </c>
      <c r="BC5" s="66" t="s">
        <v>413</v>
      </c>
      <c r="BD5" s="66" t="s">
        <v>395</v>
      </c>
      <c r="BE5" s="66" t="s">
        <v>414</v>
      </c>
      <c r="BF5" s="66" t="s">
        <v>415</v>
      </c>
      <c r="BG5" s="66" t="s">
        <v>416</v>
      </c>
      <c r="BH5" s="67" t="s">
        <v>417</v>
      </c>
      <c r="BI5" s="66" t="s">
        <v>418</v>
      </c>
      <c r="BJ5" s="66" t="s">
        <v>419</v>
      </c>
      <c r="BK5" s="66" t="s">
        <v>420</v>
      </c>
      <c r="BL5" s="66" t="s">
        <v>396</v>
      </c>
      <c r="BM5" s="66" t="s">
        <v>421</v>
      </c>
      <c r="BN5" s="66" t="s">
        <v>368</v>
      </c>
      <c r="BO5" s="66" t="s">
        <v>422</v>
      </c>
      <c r="BP5" s="67" t="s">
        <v>371</v>
      </c>
      <c r="BQ5" s="66" t="s">
        <v>423</v>
      </c>
      <c r="BR5" s="66" t="s">
        <v>386</v>
      </c>
      <c r="BS5" s="66" t="s">
        <v>424</v>
      </c>
      <c r="BT5" s="66" t="s">
        <v>397</v>
      </c>
      <c r="BU5" s="66" t="s">
        <v>425</v>
      </c>
      <c r="BV5" s="66" t="s">
        <v>426</v>
      </c>
      <c r="BW5" s="66" t="s">
        <v>427</v>
      </c>
      <c r="BX5" s="67" t="s">
        <v>428</v>
      </c>
      <c r="BY5" s="66" t="s">
        <v>429</v>
      </c>
      <c r="BZ5" s="66" t="s">
        <v>430</v>
      </c>
      <c r="CA5" s="66" t="s">
        <v>431</v>
      </c>
      <c r="CB5" s="66" t="s">
        <v>398</v>
      </c>
      <c r="CC5" s="66" t="s">
        <v>432</v>
      </c>
      <c r="CD5" s="66" t="s">
        <v>433</v>
      </c>
      <c r="CE5" s="72" t="s">
        <v>306</v>
      </c>
    </row>
    <row r="6" spans="1:83" x14ac:dyDescent="0.35">
      <c r="A6" s="60" t="s">
        <v>171</v>
      </c>
      <c r="B6" s="58">
        <f>SUM(C6:I6)</f>
        <v>48479.37</v>
      </c>
      <c r="C6" s="58">
        <f t="shared" ref="C6:C37" si="0">K6+S6+AG6+AO6+AA6</f>
        <v>1099.2800000000002</v>
      </c>
      <c r="D6" s="58">
        <f t="shared" ref="D6:D37" si="1">L6+T6+AH6+AP6+CC6</f>
        <v>568.20000000000005</v>
      </c>
      <c r="E6" s="58">
        <f>M6+U6+AB6+AI6+AQ6+CD6</f>
        <v>19597.87</v>
      </c>
      <c r="F6" s="58">
        <f t="shared" ref="F6:F37" si="2">N6+V6+AJ6+AR6+CE6</f>
        <v>19463.149999999998</v>
      </c>
      <c r="G6" s="58">
        <f t="shared" ref="G6:G37" si="3">O6+W6+AD6+AK6+AS6</f>
        <v>275.61</v>
      </c>
      <c r="H6" s="58">
        <f t="shared" ref="H6:H37" si="4">P6+X6+AE6+AL6+AT6</f>
        <v>7475.2600000000011</v>
      </c>
      <c r="I6" s="58">
        <f t="shared" ref="I6:I37" si="5">Q6+Y6+AM6+AU6</f>
        <v>0</v>
      </c>
      <c r="J6" s="58">
        <f>SUM(K6:Q6)</f>
        <v>1123.97</v>
      </c>
      <c r="K6" s="59">
        <v>1.61</v>
      </c>
      <c r="L6" s="59">
        <v>340.02</v>
      </c>
      <c r="M6" s="59">
        <v>30.23</v>
      </c>
      <c r="N6" s="59">
        <v>544.37</v>
      </c>
      <c r="O6" s="59">
        <v>0</v>
      </c>
      <c r="P6" s="59">
        <v>207.74</v>
      </c>
      <c r="Q6" s="59">
        <v>0</v>
      </c>
      <c r="R6" s="58">
        <f>SUM(S6:Y6)</f>
        <v>8579.08</v>
      </c>
      <c r="S6" s="59">
        <v>512.1</v>
      </c>
      <c r="T6" s="59">
        <v>108.98</v>
      </c>
      <c r="U6" s="59">
        <v>1692.63</v>
      </c>
      <c r="V6" s="59">
        <v>3872.08</v>
      </c>
      <c r="W6" s="59">
        <v>144.36000000000001</v>
      </c>
      <c r="X6" s="59">
        <v>2248.9299999999998</v>
      </c>
      <c r="Y6" s="59">
        <v>0</v>
      </c>
      <c r="Z6" s="58">
        <f>SUM(AA6:AE6)</f>
        <v>13082.650000000001</v>
      </c>
      <c r="AA6" s="59">
        <v>0</v>
      </c>
      <c r="AB6" s="59">
        <v>12919.37</v>
      </c>
      <c r="AC6" s="59">
        <v>0</v>
      </c>
      <c r="AD6" s="59">
        <v>0</v>
      </c>
      <c r="AE6" s="59">
        <v>163.28</v>
      </c>
      <c r="AF6" s="58">
        <f>SUM(AG6:AM6)</f>
        <v>16080.11</v>
      </c>
      <c r="AG6" s="59">
        <v>475.94</v>
      </c>
      <c r="AH6" s="59">
        <v>119.2</v>
      </c>
      <c r="AI6" s="59">
        <v>1093.83</v>
      </c>
      <c r="AJ6" s="59">
        <v>11544.28</v>
      </c>
      <c r="AK6" s="59">
        <v>65.52</v>
      </c>
      <c r="AL6" s="59">
        <v>2781.34</v>
      </c>
      <c r="AM6" s="59">
        <v>0</v>
      </c>
      <c r="AN6" s="58">
        <f>SUM(AO6:AU6)</f>
        <v>6372.8</v>
      </c>
      <c r="AO6" s="58">
        <f t="shared" ref="AO6:AO37" si="6">AW6+BE6+BM6+BU6</f>
        <v>109.63</v>
      </c>
      <c r="AP6" s="58">
        <f t="shared" ref="AP6:AP37" si="7">AX6+BF6+BN6+BV6</f>
        <v>0</v>
      </c>
      <c r="AQ6" s="58">
        <f t="shared" ref="AQ6:AQ37" si="8">AY6+BG6+BO6+BW6</f>
        <v>878.5100000000001</v>
      </c>
      <c r="AR6" s="58">
        <f t="shared" ref="AR6:AR37" si="9">AZ6+BH6+BP6+BX6</f>
        <v>3244.9600000000005</v>
      </c>
      <c r="AS6" s="58">
        <f t="shared" ref="AS6:AS37" si="10">BA6+BI6+BQ6+BY6</f>
        <v>65.72999999999999</v>
      </c>
      <c r="AT6" s="58">
        <f t="shared" ref="AT6:AT37" si="11">BB6+BJ6+BR6+BZ6</f>
        <v>2073.9700000000003</v>
      </c>
      <c r="AU6" s="58">
        <f t="shared" ref="AU6:AU37" si="12">BC6+BK6+BS6+CA6</f>
        <v>0</v>
      </c>
      <c r="AV6" s="58">
        <f>SUM(AW6:BC6)</f>
        <v>2470.86</v>
      </c>
      <c r="AW6" s="59">
        <v>91.91</v>
      </c>
      <c r="AX6" s="59">
        <v>0</v>
      </c>
      <c r="AY6" s="59">
        <v>444.43</v>
      </c>
      <c r="AZ6" s="59">
        <v>1433.89</v>
      </c>
      <c r="BA6" s="59">
        <v>36.18</v>
      </c>
      <c r="BB6" s="59">
        <v>464.45</v>
      </c>
      <c r="BC6" s="59">
        <v>0</v>
      </c>
      <c r="BD6" s="58">
        <f>SUM(BE6:BK6)</f>
        <v>2781.1400000000003</v>
      </c>
      <c r="BE6" s="59">
        <v>0</v>
      </c>
      <c r="BF6" s="59">
        <v>0</v>
      </c>
      <c r="BG6" s="59">
        <v>159.05000000000001</v>
      </c>
      <c r="BH6" s="59">
        <v>1123.42</v>
      </c>
      <c r="BI6" s="59">
        <v>0</v>
      </c>
      <c r="BJ6" s="59">
        <v>1498.67</v>
      </c>
      <c r="BK6" s="59">
        <v>0</v>
      </c>
      <c r="BL6" s="58">
        <f>SUM(BM6:BS6)</f>
        <v>389.29999999999995</v>
      </c>
      <c r="BM6" s="59">
        <v>1.53</v>
      </c>
      <c r="BN6" s="59">
        <v>0</v>
      </c>
      <c r="BO6" s="59">
        <v>223.43</v>
      </c>
      <c r="BP6" s="59">
        <v>26.29</v>
      </c>
      <c r="BQ6" s="59">
        <v>27.2</v>
      </c>
      <c r="BR6" s="59">
        <v>110.85</v>
      </c>
      <c r="BS6" s="59">
        <v>0</v>
      </c>
      <c r="BT6" s="58">
        <f>SUM(BU6:CA6)</f>
        <v>731.5</v>
      </c>
      <c r="BU6" s="59">
        <v>16.190000000000001</v>
      </c>
      <c r="BV6" s="59">
        <v>0</v>
      </c>
      <c r="BW6" s="59">
        <v>51.6</v>
      </c>
      <c r="BX6" s="59">
        <v>661.36</v>
      </c>
      <c r="BY6" s="59">
        <v>2.35</v>
      </c>
      <c r="BZ6" s="59">
        <v>0</v>
      </c>
      <c r="CA6" s="59">
        <v>0</v>
      </c>
      <c r="CB6" s="58">
        <f>SUM(CC6:CE6)</f>
        <v>3240.76</v>
      </c>
      <c r="CC6" s="59">
        <v>0</v>
      </c>
      <c r="CD6" s="59">
        <v>2983.3</v>
      </c>
      <c r="CE6" s="73">
        <v>257.45999999999998</v>
      </c>
    </row>
    <row r="7" spans="1:83" x14ac:dyDescent="0.35">
      <c r="A7" s="50" t="s">
        <v>172</v>
      </c>
      <c r="B7" s="58">
        <f t="shared" ref="B7:B70" si="13">SUM(C7:I7)</f>
        <v>38544.429999999993</v>
      </c>
      <c r="C7" s="58">
        <f t="shared" si="0"/>
        <v>847.98</v>
      </c>
      <c r="D7" s="58">
        <f t="shared" si="1"/>
        <v>574.47</v>
      </c>
      <c r="E7" s="58">
        <f t="shared" ref="E7:E70" si="14">M7+U7+AB7+AI7+AQ7+CD7</f>
        <v>18646.929999999997</v>
      </c>
      <c r="F7" s="58">
        <f t="shared" si="2"/>
        <v>11949.229999999998</v>
      </c>
      <c r="G7" s="58">
        <f t="shared" si="3"/>
        <v>198.01</v>
      </c>
      <c r="H7" s="58">
        <f t="shared" si="4"/>
        <v>6327.8099999999995</v>
      </c>
      <c r="I7" s="58">
        <f t="shared" si="5"/>
        <v>0</v>
      </c>
      <c r="J7" s="58">
        <f t="shared" ref="J7:J37" si="15">SUM(K7:Q7)</f>
        <v>985.23</v>
      </c>
      <c r="K7" s="59">
        <v>1.57</v>
      </c>
      <c r="L7" s="59">
        <v>344.12</v>
      </c>
      <c r="M7" s="59">
        <v>23.26</v>
      </c>
      <c r="N7" s="59">
        <v>409.55</v>
      </c>
      <c r="O7" s="59">
        <v>0</v>
      </c>
      <c r="P7" s="59">
        <v>206.73</v>
      </c>
      <c r="Q7" s="59">
        <v>0</v>
      </c>
      <c r="R7" s="58">
        <f t="shared" ref="R7:R71" si="16">SUM(S7:Y7)</f>
        <v>7268.4800000000005</v>
      </c>
      <c r="S7" s="59">
        <v>391.11</v>
      </c>
      <c r="T7" s="59">
        <v>91.27</v>
      </c>
      <c r="U7" s="59">
        <v>1452.56</v>
      </c>
      <c r="V7" s="59">
        <v>3198.74</v>
      </c>
      <c r="W7" s="59">
        <v>109.35</v>
      </c>
      <c r="X7" s="59">
        <v>2025.45</v>
      </c>
      <c r="Y7" s="59">
        <v>0</v>
      </c>
      <c r="Z7" s="58">
        <f t="shared" ref="Z7:Z71" si="17">SUM(AA7:AE7)</f>
        <v>13106.029999999999</v>
      </c>
      <c r="AA7" s="59">
        <v>0</v>
      </c>
      <c r="AB7" s="59">
        <v>12910.3</v>
      </c>
      <c r="AC7" s="59">
        <v>0</v>
      </c>
      <c r="AD7" s="59">
        <v>0</v>
      </c>
      <c r="AE7" s="59">
        <v>195.73</v>
      </c>
      <c r="AF7" s="58">
        <f t="shared" ref="AF7:AF71" si="18">SUM(AG7:AM7)</f>
        <v>9293.27</v>
      </c>
      <c r="AG7" s="59">
        <v>401.19</v>
      </c>
      <c r="AH7" s="59">
        <v>139.08000000000001</v>
      </c>
      <c r="AI7" s="59">
        <v>714.14</v>
      </c>
      <c r="AJ7" s="59">
        <v>5889.08</v>
      </c>
      <c r="AK7" s="59">
        <v>55.12</v>
      </c>
      <c r="AL7" s="59">
        <v>2094.66</v>
      </c>
      <c r="AM7" s="59">
        <v>0</v>
      </c>
      <c r="AN7" s="58">
        <f t="shared" ref="AN7:AN51" si="19">SUM(AO7:AU7)</f>
        <v>4784.03</v>
      </c>
      <c r="AO7" s="58">
        <f t="shared" si="6"/>
        <v>54.11</v>
      </c>
      <c r="AP7" s="58">
        <f t="shared" si="7"/>
        <v>0</v>
      </c>
      <c r="AQ7" s="58">
        <f t="shared" si="8"/>
        <v>696.74</v>
      </c>
      <c r="AR7" s="58">
        <f t="shared" si="9"/>
        <v>2194.4</v>
      </c>
      <c r="AS7" s="58">
        <f t="shared" si="10"/>
        <v>33.540000000000006</v>
      </c>
      <c r="AT7" s="58">
        <f t="shared" si="11"/>
        <v>1805.24</v>
      </c>
      <c r="AU7" s="58">
        <f t="shared" si="12"/>
        <v>0</v>
      </c>
      <c r="AV7" s="58">
        <f t="shared" ref="AV7:AV70" si="20">SUM(AW7:BC7)</f>
        <v>1812.4299999999998</v>
      </c>
      <c r="AW7" s="59">
        <v>35.21</v>
      </c>
      <c r="AX7" s="59">
        <v>0</v>
      </c>
      <c r="AY7" s="59">
        <v>325.74</v>
      </c>
      <c r="AZ7" s="59">
        <v>969.67</v>
      </c>
      <c r="BA7" s="59">
        <v>18.46</v>
      </c>
      <c r="BB7" s="59">
        <v>463.35</v>
      </c>
      <c r="BC7" s="59">
        <v>0</v>
      </c>
      <c r="BD7" s="58">
        <f t="shared" ref="BD7:BD71" si="21">SUM(BE7:BK7)</f>
        <v>2177.29</v>
      </c>
      <c r="BE7" s="59">
        <v>0</v>
      </c>
      <c r="BF7" s="59">
        <v>0</v>
      </c>
      <c r="BG7" s="59">
        <v>135.6</v>
      </c>
      <c r="BH7" s="59">
        <v>759.71</v>
      </c>
      <c r="BI7" s="59">
        <v>0</v>
      </c>
      <c r="BJ7" s="59">
        <v>1281.98</v>
      </c>
      <c r="BK7" s="59">
        <v>0</v>
      </c>
      <c r="BL7" s="58">
        <f t="shared" ref="BL7:BL71" si="22">SUM(BM7:BS7)</f>
        <v>287.62</v>
      </c>
      <c r="BM7" s="59">
        <v>1.53</v>
      </c>
      <c r="BN7" s="59">
        <v>0</v>
      </c>
      <c r="BO7" s="59">
        <v>194.52</v>
      </c>
      <c r="BP7" s="59">
        <v>17.78</v>
      </c>
      <c r="BQ7" s="59">
        <v>13.88</v>
      </c>
      <c r="BR7" s="59">
        <v>59.91</v>
      </c>
      <c r="BS7" s="59">
        <v>0</v>
      </c>
      <c r="BT7" s="58">
        <f t="shared" ref="BT7:BT71" si="23">SUM(BU7:CA7)</f>
        <v>506.69</v>
      </c>
      <c r="BU7" s="59">
        <v>17.37</v>
      </c>
      <c r="BV7" s="59">
        <v>0</v>
      </c>
      <c r="BW7" s="59">
        <v>40.880000000000003</v>
      </c>
      <c r="BX7" s="59">
        <v>447.24</v>
      </c>
      <c r="BY7" s="59">
        <v>1.2</v>
      </c>
      <c r="BZ7" s="59">
        <v>0</v>
      </c>
      <c r="CA7" s="59">
        <v>0</v>
      </c>
      <c r="CB7" s="58">
        <f t="shared" ref="CB7:CB70" si="24">SUM(CC7:CE7)</f>
        <v>3107.39</v>
      </c>
      <c r="CC7" s="59">
        <v>0</v>
      </c>
      <c r="CD7" s="59">
        <v>2849.93</v>
      </c>
      <c r="CE7" s="74">
        <v>257.45999999999998</v>
      </c>
    </row>
    <row r="8" spans="1:83" x14ac:dyDescent="0.35">
      <c r="A8" s="50" t="s">
        <v>173</v>
      </c>
      <c r="B8" s="58">
        <f t="shared" si="13"/>
        <v>34411.54</v>
      </c>
      <c r="C8" s="58">
        <f t="shared" si="0"/>
        <v>753.59000000000015</v>
      </c>
      <c r="D8" s="58">
        <f t="shared" si="1"/>
        <v>548.64</v>
      </c>
      <c r="E8" s="58">
        <f t="shared" si="14"/>
        <v>19510.46</v>
      </c>
      <c r="F8" s="58">
        <f t="shared" si="2"/>
        <v>7456.54</v>
      </c>
      <c r="G8" s="58">
        <f t="shared" si="3"/>
        <v>153.20000000000002</v>
      </c>
      <c r="H8" s="58">
        <f t="shared" si="4"/>
        <v>5989.1100000000006</v>
      </c>
      <c r="I8" s="58">
        <f t="shared" si="5"/>
        <v>0</v>
      </c>
      <c r="J8" s="58">
        <f t="shared" si="15"/>
        <v>906.24999999999989</v>
      </c>
      <c r="K8" s="59">
        <v>1.62</v>
      </c>
      <c r="L8" s="59">
        <v>332.95</v>
      </c>
      <c r="M8" s="59">
        <v>16.899999999999999</v>
      </c>
      <c r="N8" s="59">
        <v>349.63</v>
      </c>
      <c r="O8" s="59">
        <v>0</v>
      </c>
      <c r="P8" s="59">
        <v>205.15</v>
      </c>
      <c r="Q8" s="59">
        <v>0</v>
      </c>
      <c r="R8" s="58">
        <f t="shared" si="16"/>
        <v>6410.11</v>
      </c>
      <c r="S8" s="59">
        <v>348.85</v>
      </c>
      <c r="T8" s="59">
        <v>83.13</v>
      </c>
      <c r="U8" s="59">
        <v>1473.07</v>
      </c>
      <c r="V8" s="59">
        <v>2399.2199999999998</v>
      </c>
      <c r="W8" s="59">
        <v>93.79</v>
      </c>
      <c r="X8" s="59">
        <v>2012.05</v>
      </c>
      <c r="Y8" s="59">
        <v>0</v>
      </c>
      <c r="Z8" s="58">
        <f t="shared" si="17"/>
        <v>13881.210000000001</v>
      </c>
      <c r="AA8" s="59">
        <v>0</v>
      </c>
      <c r="AB8" s="59">
        <v>13704.52</v>
      </c>
      <c r="AC8" s="59">
        <v>0</v>
      </c>
      <c r="AD8" s="59">
        <v>0</v>
      </c>
      <c r="AE8" s="59">
        <v>176.69</v>
      </c>
      <c r="AF8" s="58">
        <f t="shared" si="18"/>
        <v>5935.93</v>
      </c>
      <c r="AG8" s="59">
        <v>369.18</v>
      </c>
      <c r="AH8" s="59">
        <v>132.56</v>
      </c>
      <c r="AI8" s="59">
        <v>648.15</v>
      </c>
      <c r="AJ8" s="59">
        <v>2923.9</v>
      </c>
      <c r="AK8" s="59">
        <v>42.76</v>
      </c>
      <c r="AL8" s="59">
        <v>1819.38</v>
      </c>
      <c r="AM8" s="59">
        <v>0</v>
      </c>
      <c r="AN8" s="58">
        <f t="shared" si="19"/>
        <v>4090.59</v>
      </c>
      <c r="AO8" s="58">
        <f t="shared" si="6"/>
        <v>33.94</v>
      </c>
      <c r="AP8" s="58">
        <f t="shared" si="7"/>
        <v>0</v>
      </c>
      <c r="AQ8" s="58">
        <f t="shared" si="8"/>
        <v>737.82999999999993</v>
      </c>
      <c r="AR8" s="58">
        <f t="shared" si="9"/>
        <v>1526.33</v>
      </c>
      <c r="AS8" s="58">
        <f t="shared" si="10"/>
        <v>16.650000000000002</v>
      </c>
      <c r="AT8" s="58">
        <f t="shared" si="11"/>
        <v>1775.84</v>
      </c>
      <c r="AU8" s="58">
        <f t="shared" si="12"/>
        <v>0</v>
      </c>
      <c r="AV8" s="58">
        <f t="shared" si="20"/>
        <v>1487.09</v>
      </c>
      <c r="AW8" s="59">
        <v>15.59</v>
      </c>
      <c r="AX8" s="59">
        <v>0</v>
      </c>
      <c r="AY8" s="59">
        <v>323.33</v>
      </c>
      <c r="AZ8" s="59">
        <v>674.46</v>
      </c>
      <c r="BA8" s="59">
        <v>9.16</v>
      </c>
      <c r="BB8" s="59">
        <v>464.55</v>
      </c>
      <c r="BC8" s="59">
        <v>0</v>
      </c>
      <c r="BD8" s="58">
        <f t="shared" si="21"/>
        <v>1923.84</v>
      </c>
      <c r="BE8" s="59">
        <v>0</v>
      </c>
      <c r="BF8" s="59">
        <v>0</v>
      </c>
      <c r="BG8" s="59">
        <v>153.37</v>
      </c>
      <c r="BH8" s="59">
        <v>528.41999999999996</v>
      </c>
      <c r="BI8" s="59">
        <v>0</v>
      </c>
      <c r="BJ8" s="59">
        <v>1242.05</v>
      </c>
      <c r="BK8" s="59">
        <v>0</v>
      </c>
      <c r="BL8" s="58">
        <f t="shared" si="22"/>
        <v>307.46999999999997</v>
      </c>
      <c r="BM8" s="59">
        <v>1.53</v>
      </c>
      <c r="BN8" s="59">
        <v>0</v>
      </c>
      <c r="BO8" s="59">
        <v>217.44</v>
      </c>
      <c r="BP8" s="59">
        <v>12.37</v>
      </c>
      <c r="BQ8" s="59">
        <v>6.89</v>
      </c>
      <c r="BR8" s="59">
        <v>69.239999999999995</v>
      </c>
      <c r="BS8" s="59">
        <v>0</v>
      </c>
      <c r="BT8" s="58">
        <f t="shared" si="23"/>
        <v>372.19</v>
      </c>
      <c r="BU8" s="59">
        <v>16.82</v>
      </c>
      <c r="BV8" s="59">
        <v>0</v>
      </c>
      <c r="BW8" s="59">
        <v>43.69</v>
      </c>
      <c r="BX8" s="59">
        <v>311.08</v>
      </c>
      <c r="BY8" s="59">
        <v>0.6</v>
      </c>
      <c r="BZ8" s="59">
        <v>0</v>
      </c>
      <c r="CA8" s="59">
        <v>0</v>
      </c>
      <c r="CB8" s="58">
        <f t="shared" si="24"/>
        <v>3187.45</v>
      </c>
      <c r="CC8" s="59">
        <v>0</v>
      </c>
      <c r="CD8" s="59">
        <v>2929.99</v>
      </c>
      <c r="CE8" s="74">
        <v>257.45999999999998</v>
      </c>
    </row>
    <row r="9" spans="1:83" x14ac:dyDescent="0.35">
      <c r="A9" s="50" t="s">
        <v>174</v>
      </c>
      <c r="B9" s="58">
        <f t="shared" si="13"/>
        <v>47223.03</v>
      </c>
      <c r="C9" s="58">
        <f t="shared" si="0"/>
        <v>1015.3900000000001</v>
      </c>
      <c r="D9" s="58">
        <f t="shared" si="1"/>
        <v>542.74</v>
      </c>
      <c r="E9" s="58">
        <f t="shared" si="14"/>
        <v>20058.61</v>
      </c>
      <c r="F9" s="58">
        <f t="shared" si="2"/>
        <v>18016.739999999998</v>
      </c>
      <c r="G9" s="58">
        <f t="shared" si="3"/>
        <v>238.32999999999998</v>
      </c>
      <c r="H9" s="58">
        <f t="shared" si="4"/>
        <v>7351.2199999999993</v>
      </c>
      <c r="I9" s="58">
        <f t="shared" si="5"/>
        <v>0</v>
      </c>
      <c r="J9" s="58">
        <f t="shared" si="15"/>
        <v>953.5100000000001</v>
      </c>
      <c r="K9" s="59">
        <v>1.93</v>
      </c>
      <c r="L9" s="59">
        <v>304.93</v>
      </c>
      <c r="M9" s="59">
        <v>18.149999999999999</v>
      </c>
      <c r="N9" s="59">
        <v>425.17</v>
      </c>
      <c r="O9" s="59">
        <v>0</v>
      </c>
      <c r="P9" s="59">
        <v>203.33</v>
      </c>
      <c r="Q9" s="59">
        <v>0</v>
      </c>
      <c r="R9" s="58">
        <f t="shared" si="16"/>
        <v>8285.5299999999988</v>
      </c>
      <c r="S9" s="59">
        <v>348.04</v>
      </c>
      <c r="T9" s="59">
        <v>103.81</v>
      </c>
      <c r="U9" s="59">
        <v>1672.36</v>
      </c>
      <c r="V9" s="59">
        <v>3941.74</v>
      </c>
      <c r="W9" s="59">
        <v>113.4</v>
      </c>
      <c r="X9" s="59">
        <v>2106.1799999999998</v>
      </c>
      <c r="Y9" s="59">
        <v>0</v>
      </c>
      <c r="Z9" s="58">
        <f t="shared" si="17"/>
        <v>13702.1</v>
      </c>
      <c r="AA9" s="59">
        <v>0</v>
      </c>
      <c r="AB9" s="59">
        <v>13505.99</v>
      </c>
      <c r="AC9" s="59">
        <v>0</v>
      </c>
      <c r="AD9" s="59">
        <v>0</v>
      </c>
      <c r="AE9" s="59">
        <v>196.11</v>
      </c>
      <c r="AF9" s="58">
        <f t="shared" si="18"/>
        <v>14816.590000000002</v>
      </c>
      <c r="AG9" s="59">
        <v>572.6</v>
      </c>
      <c r="AH9" s="59">
        <v>134</v>
      </c>
      <c r="AI9" s="59">
        <v>1087.01</v>
      </c>
      <c r="AJ9" s="59">
        <v>10244.200000000001</v>
      </c>
      <c r="AK9" s="59">
        <v>66.599999999999994</v>
      </c>
      <c r="AL9" s="59">
        <v>2712.18</v>
      </c>
      <c r="AM9" s="59">
        <v>0</v>
      </c>
      <c r="AN9" s="58">
        <f t="shared" si="19"/>
        <v>6263.6900000000005</v>
      </c>
      <c r="AO9" s="58">
        <f t="shared" si="6"/>
        <v>92.82</v>
      </c>
      <c r="AP9" s="58">
        <f t="shared" si="7"/>
        <v>0</v>
      </c>
      <c r="AQ9" s="58">
        <f t="shared" si="8"/>
        <v>830.94999999999993</v>
      </c>
      <c r="AR9" s="58">
        <f t="shared" si="9"/>
        <v>3148.17</v>
      </c>
      <c r="AS9" s="58">
        <f t="shared" si="10"/>
        <v>58.33</v>
      </c>
      <c r="AT9" s="58">
        <f t="shared" si="11"/>
        <v>2133.42</v>
      </c>
      <c r="AU9" s="58">
        <f t="shared" si="12"/>
        <v>0</v>
      </c>
      <c r="AV9" s="58">
        <f t="shared" si="20"/>
        <v>2370.14</v>
      </c>
      <c r="AW9" s="59">
        <v>76.97</v>
      </c>
      <c r="AX9" s="59">
        <v>0</v>
      </c>
      <c r="AY9" s="59">
        <v>407.02</v>
      </c>
      <c r="AZ9" s="59">
        <v>1391.12</v>
      </c>
      <c r="BA9" s="59">
        <v>32.1</v>
      </c>
      <c r="BB9" s="59">
        <v>462.93</v>
      </c>
      <c r="BC9" s="59">
        <v>0</v>
      </c>
      <c r="BD9" s="58">
        <f t="shared" si="21"/>
        <v>2809.36</v>
      </c>
      <c r="BE9" s="59">
        <v>0</v>
      </c>
      <c r="BF9" s="59">
        <v>0</v>
      </c>
      <c r="BG9" s="59">
        <v>157.28</v>
      </c>
      <c r="BH9" s="59">
        <v>1089.9100000000001</v>
      </c>
      <c r="BI9" s="59">
        <v>0</v>
      </c>
      <c r="BJ9" s="59">
        <v>1562.17</v>
      </c>
      <c r="BK9" s="59">
        <v>0</v>
      </c>
      <c r="BL9" s="58">
        <f t="shared" si="22"/>
        <v>374.84999999999997</v>
      </c>
      <c r="BM9" s="59">
        <v>1.53</v>
      </c>
      <c r="BN9" s="59">
        <v>0</v>
      </c>
      <c r="BO9" s="59">
        <v>215.35</v>
      </c>
      <c r="BP9" s="59">
        <v>25.51</v>
      </c>
      <c r="BQ9" s="59">
        <v>24.14</v>
      </c>
      <c r="BR9" s="59">
        <v>108.32</v>
      </c>
      <c r="BS9" s="59">
        <v>0</v>
      </c>
      <c r="BT9" s="58">
        <f t="shared" si="23"/>
        <v>709.34</v>
      </c>
      <c r="BU9" s="59">
        <v>14.32</v>
      </c>
      <c r="BV9" s="59">
        <v>0</v>
      </c>
      <c r="BW9" s="59">
        <v>51.3</v>
      </c>
      <c r="BX9" s="59">
        <v>641.63</v>
      </c>
      <c r="BY9" s="59">
        <v>2.09</v>
      </c>
      <c r="BZ9" s="59">
        <v>0</v>
      </c>
      <c r="CA9" s="59">
        <v>0</v>
      </c>
      <c r="CB9" s="58">
        <f t="shared" si="24"/>
        <v>3201.61</v>
      </c>
      <c r="CC9" s="59">
        <v>0</v>
      </c>
      <c r="CD9" s="59">
        <v>2944.15</v>
      </c>
      <c r="CE9" s="74">
        <v>257.45999999999998</v>
      </c>
    </row>
    <row r="10" spans="1:83" x14ac:dyDescent="0.35">
      <c r="A10" s="50" t="s">
        <v>175</v>
      </c>
      <c r="B10" s="58">
        <f t="shared" si="13"/>
        <v>50345.750000000007</v>
      </c>
      <c r="C10" s="58">
        <f t="shared" si="0"/>
        <v>996.87</v>
      </c>
      <c r="D10" s="58">
        <f t="shared" si="1"/>
        <v>469.28</v>
      </c>
      <c r="E10" s="58">
        <f t="shared" si="14"/>
        <v>19544.410000000003</v>
      </c>
      <c r="F10" s="58">
        <f t="shared" si="2"/>
        <v>20147.91</v>
      </c>
      <c r="G10" s="58">
        <f t="shared" si="3"/>
        <v>235.57999999999998</v>
      </c>
      <c r="H10" s="58">
        <f t="shared" si="4"/>
        <v>7759.33</v>
      </c>
      <c r="I10" s="58">
        <f t="shared" si="5"/>
        <v>1192.3699999999999</v>
      </c>
      <c r="J10" s="58">
        <f t="shared" si="15"/>
        <v>951.40000000000009</v>
      </c>
      <c r="K10" s="59">
        <v>2.0299999999999998</v>
      </c>
      <c r="L10" s="59">
        <v>252.03</v>
      </c>
      <c r="M10" s="59">
        <v>8.1999999999999993</v>
      </c>
      <c r="N10" s="59">
        <v>635.58000000000004</v>
      </c>
      <c r="O10" s="59">
        <v>0</v>
      </c>
      <c r="P10" s="59">
        <v>53.56</v>
      </c>
      <c r="Q10" s="59">
        <v>0</v>
      </c>
      <c r="R10" s="58">
        <f t="shared" si="16"/>
        <v>9108.82</v>
      </c>
      <c r="S10" s="59">
        <v>360.51</v>
      </c>
      <c r="T10" s="59">
        <v>90.49</v>
      </c>
      <c r="U10" s="59">
        <v>1567.24</v>
      </c>
      <c r="V10" s="59">
        <v>4233.9399999999996</v>
      </c>
      <c r="W10" s="59">
        <v>96.22</v>
      </c>
      <c r="X10" s="59">
        <v>2488.88</v>
      </c>
      <c r="Y10" s="59">
        <v>271.54000000000002</v>
      </c>
      <c r="Z10" s="58">
        <f t="shared" si="17"/>
        <v>13210.480000000001</v>
      </c>
      <c r="AA10" s="59">
        <v>0</v>
      </c>
      <c r="AB10" s="59">
        <v>13045.69</v>
      </c>
      <c r="AC10" s="59">
        <v>0</v>
      </c>
      <c r="AD10" s="59">
        <v>0</v>
      </c>
      <c r="AE10" s="59">
        <v>164.79</v>
      </c>
      <c r="AF10" s="58">
        <f t="shared" si="18"/>
        <v>16840.080000000002</v>
      </c>
      <c r="AG10" s="59">
        <v>569.96</v>
      </c>
      <c r="AH10" s="59">
        <v>126.76</v>
      </c>
      <c r="AI10" s="59">
        <v>1144.78</v>
      </c>
      <c r="AJ10" s="59">
        <v>11999.57</v>
      </c>
      <c r="AK10" s="59">
        <v>71.430000000000007</v>
      </c>
      <c r="AL10" s="59">
        <v>2910.58</v>
      </c>
      <c r="AM10" s="59">
        <v>17</v>
      </c>
      <c r="AN10" s="58">
        <f t="shared" si="19"/>
        <v>6962.07</v>
      </c>
      <c r="AO10" s="58">
        <f t="shared" si="6"/>
        <v>64.36999999999999</v>
      </c>
      <c r="AP10" s="58">
        <f t="shared" si="7"/>
        <v>0</v>
      </c>
      <c r="AQ10" s="58">
        <f t="shared" si="8"/>
        <v>783.85</v>
      </c>
      <c r="AR10" s="58">
        <f t="shared" si="9"/>
        <v>3000.57</v>
      </c>
      <c r="AS10" s="58">
        <f t="shared" si="10"/>
        <v>67.929999999999993</v>
      </c>
      <c r="AT10" s="58">
        <f t="shared" si="11"/>
        <v>2141.52</v>
      </c>
      <c r="AU10" s="58">
        <f t="shared" si="12"/>
        <v>903.82999999999993</v>
      </c>
      <c r="AV10" s="58">
        <f t="shared" si="20"/>
        <v>3020.9799999999996</v>
      </c>
      <c r="AW10" s="59">
        <v>57.69</v>
      </c>
      <c r="AX10" s="59">
        <v>0</v>
      </c>
      <c r="AY10" s="59">
        <v>363.16</v>
      </c>
      <c r="AZ10" s="59">
        <v>1218.77</v>
      </c>
      <c r="BA10" s="59">
        <v>36.83</v>
      </c>
      <c r="BB10" s="59">
        <v>472.48</v>
      </c>
      <c r="BC10" s="59">
        <v>872.05</v>
      </c>
      <c r="BD10" s="58">
        <f t="shared" si="21"/>
        <v>2739.11</v>
      </c>
      <c r="BE10" s="59">
        <v>0</v>
      </c>
      <c r="BF10" s="59">
        <v>0</v>
      </c>
      <c r="BG10" s="59">
        <v>149.27000000000001</v>
      </c>
      <c r="BH10" s="59">
        <v>1031.93</v>
      </c>
      <c r="BI10" s="59">
        <v>0</v>
      </c>
      <c r="BJ10" s="59">
        <v>1557.91</v>
      </c>
      <c r="BK10" s="59">
        <v>0</v>
      </c>
      <c r="BL10" s="58">
        <f t="shared" si="22"/>
        <v>389.53999999999996</v>
      </c>
      <c r="BM10" s="59">
        <v>1.22</v>
      </c>
      <c r="BN10" s="59">
        <v>0</v>
      </c>
      <c r="BO10" s="59">
        <v>216.42</v>
      </c>
      <c r="BP10" s="59">
        <v>32.549999999999997</v>
      </c>
      <c r="BQ10" s="59">
        <v>28.22</v>
      </c>
      <c r="BR10" s="59">
        <v>111.13</v>
      </c>
      <c r="BS10" s="59">
        <v>0</v>
      </c>
      <c r="BT10" s="58">
        <f t="shared" si="23"/>
        <v>812.44</v>
      </c>
      <c r="BU10" s="59">
        <v>5.46</v>
      </c>
      <c r="BV10" s="59">
        <v>0</v>
      </c>
      <c r="BW10" s="59">
        <v>55</v>
      </c>
      <c r="BX10" s="59">
        <v>717.32</v>
      </c>
      <c r="BY10" s="59">
        <v>2.88</v>
      </c>
      <c r="BZ10" s="59">
        <v>0</v>
      </c>
      <c r="CA10" s="59">
        <v>31.78</v>
      </c>
      <c r="CB10" s="58">
        <f t="shared" si="24"/>
        <v>3272.9</v>
      </c>
      <c r="CC10" s="59">
        <v>0</v>
      </c>
      <c r="CD10" s="59">
        <v>2994.65</v>
      </c>
      <c r="CE10" s="74">
        <v>278.25</v>
      </c>
    </row>
    <row r="11" spans="1:83" x14ac:dyDescent="0.35">
      <c r="A11" s="50" t="s">
        <v>176</v>
      </c>
      <c r="B11" s="58">
        <f t="shared" si="13"/>
        <v>38406.120000000003</v>
      </c>
      <c r="C11" s="58">
        <f t="shared" si="0"/>
        <v>809.81</v>
      </c>
      <c r="D11" s="58">
        <f t="shared" si="1"/>
        <v>485.09</v>
      </c>
      <c r="E11" s="58">
        <f t="shared" si="14"/>
        <v>18442.800000000003</v>
      </c>
      <c r="F11" s="58">
        <f t="shared" si="2"/>
        <v>11396.63</v>
      </c>
      <c r="G11" s="58">
        <f t="shared" si="3"/>
        <v>154.02999999999997</v>
      </c>
      <c r="H11" s="58">
        <f t="shared" si="4"/>
        <v>6408.41</v>
      </c>
      <c r="I11" s="58">
        <f t="shared" si="5"/>
        <v>709.35</v>
      </c>
      <c r="J11" s="58">
        <f t="shared" si="15"/>
        <v>785.8599999999999</v>
      </c>
      <c r="K11" s="59">
        <v>2.46</v>
      </c>
      <c r="L11" s="59">
        <v>281.02999999999997</v>
      </c>
      <c r="M11" s="59">
        <v>7.23</v>
      </c>
      <c r="N11" s="59">
        <v>441.84</v>
      </c>
      <c r="O11" s="59">
        <v>0</v>
      </c>
      <c r="P11" s="59">
        <v>53.3</v>
      </c>
      <c r="Q11" s="59">
        <v>0</v>
      </c>
      <c r="R11" s="58">
        <f t="shared" si="16"/>
        <v>7280.53</v>
      </c>
      <c r="S11" s="59">
        <v>318.52999999999997</v>
      </c>
      <c r="T11" s="59">
        <v>78.040000000000006</v>
      </c>
      <c r="U11" s="59">
        <v>1193.8699999999999</v>
      </c>
      <c r="V11" s="59">
        <v>3125.56</v>
      </c>
      <c r="W11" s="59">
        <v>67.38</v>
      </c>
      <c r="X11" s="59">
        <v>2225.61</v>
      </c>
      <c r="Y11" s="59">
        <v>271.54000000000002</v>
      </c>
      <c r="Z11" s="58">
        <f t="shared" si="17"/>
        <v>13471.26</v>
      </c>
      <c r="AA11" s="59">
        <v>0</v>
      </c>
      <c r="AB11" s="59">
        <v>13274.1</v>
      </c>
      <c r="AC11" s="59">
        <v>0</v>
      </c>
      <c r="AD11" s="59">
        <v>0</v>
      </c>
      <c r="AE11" s="59">
        <v>197.16</v>
      </c>
      <c r="AF11" s="58">
        <f t="shared" si="18"/>
        <v>8918.94</v>
      </c>
      <c r="AG11" s="59">
        <v>451.42</v>
      </c>
      <c r="AH11" s="59">
        <v>126.02</v>
      </c>
      <c r="AI11" s="59">
        <v>537.83000000000004</v>
      </c>
      <c r="AJ11" s="59">
        <v>5705.25</v>
      </c>
      <c r="AK11" s="59">
        <v>54.35</v>
      </c>
      <c r="AL11" s="59">
        <v>2035.99</v>
      </c>
      <c r="AM11" s="59">
        <v>8.08</v>
      </c>
      <c r="AN11" s="58">
        <f t="shared" si="19"/>
        <v>4841.9500000000007</v>
      </c>
      <c r="AO11" s="58">
        <f t="shared" si="6"/>
        <v>37.4</v>
      </c>
      <c r="AP11" s="58">
        <f t="shared" si="7"/>
        <v>0</v>
      </c>
      <c r="AQ11" s="58">
        <f t="shared" si="8"/>
        <v>600.44000000000005</v>
      </c>
      <c r="AR11" s="58">
        <f t="shared" si="9"/>
        <v>1845.73</v>
      </c>
      <c r="AS11" s="58">
        <f t="shared" si="10"/>
        <v>32.299999999999997</v>
      </c>
      <c r="AT11" s="58">
        <f t="shared" si="11"/>
        <v>1896.35</v>
      </c>
      <c r="AU11" s="58">
        <f t="shared" si="12"/>
        <v>429.73</v>
      </c>
      <c r="AV11" s="58">
        <f t="shared" si="20"/>
        <v>1949.6999999999998</v>
      </c>
      <c r="AW11" s="59">
        <v>31.08</v>
      </c>
      <c r="AX11" s="59">
        <v>0</v>
      </c>
      <c r="AY11" s="59">
        <v>265.39</v>
      </c>
      <c r="AZ11" s="59">
        <v>749.7</v>
      </c>
      <c r="BA11" s="59">
        <v>17.510000000000002</v>
      </c>
      <c r="BB11" s="59">
        <v>471.4</v>
      </c>
      <c r="BC11" s="59">
        <v>414.62</v>
      </c>
      <c r="BD11" s="58">
        <f t="shared" si="21"/>
        <v>2101.04</v>
      </c>
      <c r="BE11" s="59">
        <v>0</v>
      </c>
      <c r="BF11" s="59">
        <v>0</v>
      </c>
      <c r="BG11" s="59">
        <v>118.59</v>
      </c>
      <c r="BH11" s="59">
        <v>634.77</v>
      </c>
      <c r="BI11" s="59">
        <v>0</v>
      </c>
      <c r="BJ11" s="59">
        <v>1347.68</v>
      </c>
      <c r="BK11" s="59">
        <v>0</v>
      </c>
      <c r="BL11" s="58">
        <f t="shared" si="22"/>
        <v>285.82</v>
      </c>
      <c r="BM11" s="59">
        <v>1.22</v>
      </c>
      <c r="BN11" s="59">
        <v>0</v>
      </c>
      <c r="BO11" s="59">
        <v>173.89</v>
      </c>
      <c r="BP11" s="59">
        <v>20.02</v>
      </c>
      <c r="BQ11" s="59">
        <v>13.42</v>
      </c>
      <c r="BR11" s="59">
        <v>77.27</v>
      </c>
      <c r="BS11" s="59">
        <v>0</v>
      </c>
      <c r="BT11" s="58">
        <f t="shared" si="23"/>
        <v>505.39000000000004</v>
      </c>
      <c r="BU11" s="59">
        <v>5.0999999999999996</v>
      </c>
      <c r="BV11" s="59">
        <v>0</v>
      </c>
      <c r="BW11" s="59">
        <v>42.57</v>
      </c>
      <c r="BX11" s="59">
        <v>441.24</v>
      </c>
      <c r="BY11" s="59">
        <v>1.37</v>
      </c>
      <c r="BZ11" s="59">
        <v>0</v>
      </c>
      <c r="CA11" s="59">
        <v>15.11</v>
      </c>
      <c r="CB11" s="58">
        <f t="shared" si="24"/>
        <v>3107.58</v>
      </c>
      <c r="CC11" s="59">
        <v>0</v>
      </c>
      <c r="CD11" s="59">
        <v>2829.33</v>
      </c>
      <c r="CE11" s="74">
        <v>278.25</v>
      </c>
    </row>
    <row r="12" spans="1:83" x14ac:dyDescent="0.35">
      <c r="A12" s="50" t="s">
        <v>177</v>
      </c>
      <c r="B12" s="58">
        <f t="shared" si="13"/>
        <v>34470.03</v>
      </c>
      <c r="C12" s="58">
        <f t="shared" si="0"/>
        <v>771.93</v>
      </c>
      <c r="D12" s="58">
        <f t="shared" si="1"/>
        <v>454.46999999999997</v>
      </c>
      <c r="E12" s="58">
        <f t="shared" si="14"/>
        <v>19332.099999999999</v>
      </c>
      <c r="F12" s="58">
        <f t="shared" si="2"/>
        <v>7273.42</v>
      </c>
      <c r="G12" s="58">
        <f t="shared" si="3"/>
        <v>116.09</v>
      </c>
      <c r="H12" s="58">
        <f t="shared" si="4"/>
        <v>6239.2999999999993</v>
      </c>
      <c r="I12" s="58">
        <f t="shared" si="5"/>
        <v>282.71999999999997</v>
      </c>
      <c r="J12" s="58">
        <f t="shared" si="15"/>
        <v>684.70999999999992</v>
      </c>
      <c r="K12" s="59">
        <v>3.25</v>
      </c>
      <c r="L12" s="59">
        <v>261.61</v>
      </c>
      <c r="M12" s="59">
        <v>7.14</v>
      </c>
      <c r="N12" s="59">
        <v>359.81</v>
      </c>
      <c r="O12" s="59">
        <v>0</v>
      </c>
      <c r="P12" s="59">
        <v>52.9</v>
      </c>
      <c r="Q12" s="59">
        <v>0</v>
      </c>
      <c r="R12" s="58">
        <f t="shared" si="16"/>
        <v>6799.19</v>
      </c>
      <c r="S12" s="59">
        <v>316.14999999999998</v>
      </c>
      <c r="T12" s="59">
        <v>80.400000000000006</v>
      </c>
      <c r="U12" s="59">
        <v>1234</v>
      </c>
      <c r="V12" s="59">
        <v>2542.06</v>
      </c>
      <c r="W12" s="59">
        <v>55.17</v>
      </c>
      <c r="X12" s="59">
        <v>2299.87</v>
      </c>
      <c r="Y12" s="59">
        <v>271.54000000000002</v>
      </c>
      <c r="Z12" s="58">
        <f t="shared" si="17"/>
        <v>14139.04</v>
      </c>
      <c r="AA12" s="59">
        <v>0</v>
      </c>
      <c r="AB12" s="59">
        <v>13960.87</v>
      </c>
      <c r="AC12" s="59">
        <v>0</v>
      </c>
      <c r="AD12" s="59">
        <v>0</v>
      </c>
      <c r="AE12" s="59">
        <v>178.17</v>
      </c>
      <c r="AF12" s="58">
        <f t="shared" si="18"/>
        <v>5732.1799999999994</v>
      </c>
      <c r="AG12" s="59">
        <v>420.93</v>
      </c>
      <c r="AH12" s="59">
        <v>112.46</v>
      </c>
      <c r="AI12" s="59">
        <v>546.04</v>
      </c>
      <c r="AJ12" s="59">
        <v>2750.04</v>
      </c>
      <c r="AK12" s="59">
        <v>45.35</v>
      </c>
      <c r="AL12" s="59">
        <v>1853.46</v>
      </c>
      <c r="AM12" s="59">
        <v>3.9</v>
      </c>
      <c r="AN12" s="58">
        <f t="shared" si="19"/>
        <v>3783.52</v>
      </c>
      <c r="AO12" s="58">
        <f t="shared" si="6"/>
        <v>31.599999999999998</v>
      </c>
      <c r="AP12" s="58">
        <f t="shared" si="7"/>
        <v>0</v>
      </c>
      <c r="AQ12" s="58">
        <f t="shared" si="8"/>
        <v>530.91</v>
      </c>
      <c r="AR12" s="58">
        <f t="shared" si="9"/>
        <v>1343.26</v>
      </c>
      <c r="AS12" s="58">
        <f t="shared" si="10"/>
        <v>15.57</v>
      </c>
      <c r="AT12" s="58">
        <f t="shared" si="11"/>
        <v>1854.9</v>
      </c>
      <c r="AU12" s="58">
        <f t="shared" si="12"/>
        <v>7.28</v>
      </c>
      <c r="AV12" s="58">
        <f t="shared" si="20"/>
        <v>1268.49</v>
      </c>
      <c r="AW12" s="59">
        <v>24.24</v>
      </c>
      <c r="AX12" s="59">
        <v>0</v>
      </c>
      <c r="AY12" s="59">
        <v>217.62</v>
      </c>
      <c r="AZ12" s="59">
        <v>545.61</v>
      </c>
      <c r="BA12" s="59">
        <v>8.44</v>
      </c>
      <c r="BB12" s="59">
        <v>472.58</v>
      </c>
      <c r="BC12" s="59">
        <v>0</v>
      </c>
      <c r="BD12" s="58">
        <f t="shared" si="21"/>
        <v>1882.76</v>
      </c>
      <c r="BE12" s="59">
        <v>0</v>
      </c>
      <c r="BF12" s="59">
        <v>0</v>
      </c>
      <c r="BG12" s="59">
        <v>110.87</v>
      </c>
      <c r="BH12" s="59">
        <v>461.96</v>
      </c>
      <c r="BI12" s="59">
        <v>0</v>
      </c>
      <c r="BJ12" s="59">
        <v>1309.93</v>
      </c>
      <c r="BK12" s="59">
        <v>0</v>
      </c>
      <c r="BL12" s="58">
        <f t="shared" si="22"/>
        <v>264.89</v>
      </c>
      <c r="BM12" s="59">
        <v>1.22</v>
      </c>
      <c r="BN12" s="59">
        <v>0</v>
      </c>
      <c r="BO12" s="59">
        <v>170.24</v>
      </c>
      <c r="BP12" s="59">
        <v>14.57</v>
      </c>
      <c r="BQ12" s="59">
        <v>6.47</v>
      </c>
      <c r="BR12" s="59">
        <v>72.39</v>
      </c>
      <c r="BS12" s="59">
        <v>0</v>
      </c>
      <c r="BT12" s="58">
        <f t="shared" si="23"/>
        <v>367.38</v>
      </c>
      <c r="BU12" s="59">
        <v>6.14</v>
      </c>
      <c r="BV12" s="59">
        <v>0</v>
      </c>
      <c r="BW12" s="59">
        <v>32.18</v>
      </c>
      <c r="BX12" s="59">
        <v>321.12</v>
      </c>
      <c r="BY12" s="59">
        <v>0.66</v>
      </c>
      <c r="BZ12" s="59">
        <v>0</v>
      </c>
      <c r="CA12" s="59">
        <v>7.28</v>
      </c>
      <c r="CB12" s="58">
        <f t="shared" si="24"/>
        <v>3331.39</v>
      </c>
      <c r="CC12" s="59">
        <v>0</v>
      </c>
      <c r="CD12" s="59">
        <v>3053.14</v>
      </c>
      <c r="CE12" s="74">
        <v>278.25</v>
      </c>
    </row>
    <row r="13" spans="1:83" x14ac:dyDescent="0.35">
      <c r="A13" s="50" t="s">
        <v>178</v>
      </c>
      <c r="B13" s="58">
        <f t="shared" si="13"/>
        <v>46274.610000000008</v>
      </c>
      <c r="C13" s="58">
        <f t="shared" si="0"/>
        <v>879.66</v>
      </c>
      <c r="D13" s="58">
        <f t="shared" si="1"/>
        <v>465.95</v>
      </c>
      <c r="E13" s="58">
        <f t="shared" si="14"/>
        <v>19646.61</v>
      </c>
      <c r="F13" s="58">
        <f t="shared" si="2"/>
        <v>17442.760000000002</v>
      </c>
      <c r="G13" s="58">
        <f t="shared" si="3"/>
        <v>182.16</v>
      </c>
      <c r="H13" s="58">
        <f t="shared" si="4"/>
        <v>7343.92</v>
      </c>
      <c r="I13" s="58">
        <f t="shared" si="5"/>
        <v>313.55</v>
      </c>
      <c r="J13" s="58">
        <f t="shared" si="15"/>
        <v>717.76</v>
      </c>
      <c r="K13" s="59">
        <v>1.06</v>
      </c>
      <c r="L13" s="59">
        <v>232.25</v>
      </c>
      <c r="M13" s="59">
        <v>10.09</v>
      </c>
      <c r="N13" s="59">
        <v>421.92</v>
      </c>
      <c r="O13" s="59">
        <v>0</v>
      </c>
      <c r="P13" s="59">
        <v>52.44</v>
      </c>
      <c r="Q13" s="59">
        <v>0</v>
      </c>
      <c r="R13" s="58">
        <f t="shared" si="16"/>
        <v>7893.5700000000006</v>
      </c>
      <c r="S13" s="59">
        <v>349.5</v>
      </c>
      <c r="T13" s="59">
        <v>103.13</v>
      </c>
      <c r="U13" s="59">
        <v>1346.52</v>
      </c>
      <c r="V13" s="59">
        <v>3442.64</v>
      </c>
      <c r="W13" s="59">
        <v>64.42</v>
      </c>
      <c r="X13" s="59">
        <v>2315.8200000000002</v>
      </c>
      <c r="Y13" s="59">
        <v>271.54000000000002</v>
      </c>
      <c r="Z13" s="58">
        <f t="shared" si="17"/>
        <v>14032.320000000002</v>
      </c>
      <c r="AA13" s="59">
        <v>0</v>
      </c>
      <c r="AB13" s="59">
        <v>13834.78</v>
      </c>
      <c r="AC13" s="59">
        <v>0</v>
      </c>
      <c r="AD13" s="59">
        <v>0</v>
      </c>
      <c r="AE13" s="59">
        <v>197.54</v>
      </c>
      <c r="AF13" s="58">
        <f t="shared" si="18"/>
        <v>14629.65</v>
      </c>
      <c r="AG13" s="59">
        <v>473.47</v>
      </c>
      <c r="AH13" s="59">
        <v>130.57</v>
      </c>
      <c r="AI13" s="59">
        <v>933.7</v>
      </c>
      <c r="AJ13" s="59">
        <v>10333.280000000001</v>
      </c>
      <c r="AK13" s="59">
        <v>59.24</v>
      </c>
      <c r="AL13" s="59">
        <v>2684.75</v>
      </c>
      <c r="AM13" s="59">
        <v>14.64</v>
      </c>
      <c r="AN13" s="58">
        <f t="shared" si="19"/>
        <v>5750.31</v>
      </c>
      <c r="AO13" s="58">
        <f t="shared" si="6"/>
        <v>55.63</v>
      </c>
      <c r="AP13" s="58">
        <f t="shared" si="7"/>
        <v>0</v>
      </c>
      <c r="AQ13" s="58">
        <f t="shared" si="8"/>
        <v>548.77</v>
      </c>
      <c r="AR13" s="58">
        <f t="shared" si="9"/>
        <v>2966.67</v>
      </c>
      <c r="AS13" s="58">
        <f t="shared" si="10"/>
        <v>58.499999999999993</v>
      </c>
      <c r="AT13" s="58">
        <f t="shared" si="11"/>
        <v>2093.37</v>
      </c>
      <c r="AU13" s="58">
        <f t="shared" si="12"/>
        <v>27.37</v>
      </c>
      <c r="AV13" s="58">
        <f t="shared" si="20"/>
        <v>1976.0400000000002</v>
      </c>
      <c r="AW13" s="59">
        <v>49.31</v>
      </c>
      <c r="AX13" s="59">
        <v>0</v>
      </c>
      <c r="AY13" s="59">
        <v>219.03</v>
      </c>
      <c r="AZ13" s="59">
        <v>1205</v>
      </c>
      <c r="BA13" s="59">
        <v>31.72</v>
      </c>
      <c r="BB13" s="59">
        <v>470.98</v>
      </c>
      <c r="BC13" s="59">
        <v>0</v>
      </c>
      <c r="BD13" s="58">
        <f t="shared" si="21"/>
        <v>2646.5699999999997</v>
      </c>
      <c r="BE13" s="59">
        <v>0</v>
      </c>
      <c r="BF13" s="59">
        <v>0</v>
      </c>
      <c r="BG13" s="59">
        <v>102.53</v>
      </c>
      <c r="BH13" s="59">
        <v>1020.27</v>
      </c>
      <c r="BI13" s="59">
        <v>0</v>
      </c>
      <c r="BJ13" s="59">
        <v>1523.77</v>
      </c>
      <c r="BK13" s="59">
        <v>0</v>
      </c>
      <c r="BL13" s="58">
        <f t="shared" si="22"/>
        <v>346.29</v>
      </c>
      <c r="BM13" s="59">
        <v>1.22</v>
      </c>
      <c r="BN13" s="59">
        <v>0</v>
      </c>
      <c r="BO13" s="59">
        <v>189.97</v>
      </c>
      <c r="BP13" s="59">
        <v>32.18</v>
      </c>
      <c r="BQ13" s="59">
        <v>24.3</v>
      </c>
      <c r="BR13" s="59">
        <v>98.62</v>
      </c>
      <c r="BS13" s="59">
        <v>0</v>
      </c>
      <c r="BT13" s="58">
        <f t="shared" si="23"/>
        <v>781.41000000000008</v>
      </c>
      <c r="BU13" s="59">
        <v>5.0999999999999996</v>
      </c>
      <c r="BV13" s="59">
        <v>0</v>
      </c>
      <c r="BW13" s="59">
        <v>37.24</v>
      </c>
      <c r="BX13" s="59">
        <v>709.22</v>
      </c>
      <c r="BY13" s="59">
        <v>2.48</v>
      </c>
      <c r="BZ13" s="59">
        <v>0</v>
      </c>
      <c r="CA13" s="59">
        <v>27.37</v>
      </c>
      <c r="CB13" s="58">
        <f t="shared" si="24"/>
        <v>3251</v>
      </c>
      <c r="CC13" s="59">
        <v>0</v>
      </c>
      <c r="CD13" s="59">
        <v>2972.75</v>
      </c>
      <c r="CE13" s="74">
        <v>278.25</v>
      </c>
    </row>
    <row r="14" spans="1:83" x14ac:dyDescent="0.35">
      <c r="A14" s="50" t="s">
        <v>179</v>
      </c>
      <c r="B14" s="58">
        <f t="shared" si="13"/>
        <v>50006.46</v>
      </c>
      <c r="C14" s="58">
        <f t="shared" si="0"/>
        <v>793.29</v>
      </c>
      <c r="D14" s="58">
        <f t="shared" si="1"/>
        <v>414.42</v>
      </c>
      <c r="E14" s="58">
        <f t="shared" si="14"/>
        <v>19813.739999999998</v>
      </c>
      <c r="F14" s="58">
        <f t="shared" si="2"/>
        <v>20422.369999999995</v>
      </c>
      <c r="G14" s="58">
        <f t="shared" si="3"/>
        <v>228.44</v>
      </c>
      <c r="H14" s="58">
        <f t="shared" si="4"/>
        <v>7520.33</v>
      </c>
      <c r="I14" s="58">
        <f t="shared" si="5"/>
        <v>813.87000000000012</v>
      </c>
      <c r="J14" s="58">
        <f t="shared" si="15"/>
        <v>607.15</v>
      </c>
      <c r="K14" s="59">
        <v>0.3</v>
      </c>
      <c r="L14" s="59">
        <v>213.28</v>
      </c>
      <c r="M14" s="59">
        <v>22.38</v>
      </c>
      <c r="N14" s="59">
        <v>231.19</v>
      </c>
      <c r="O14" s="59">
        <v>0</v>
      </c>
      <c r="P14" s="59">
        <v>140</v>
      </c>
      <c r="Q14" s="59">
        <v>0</v>
      </c>
      <c r="R14" s="58">
        <f t="shared" si="16"/>
        <v>9595.15</v>
      </c>
      <c r="S14" s="59">
        <v>374.17</v>
      </c>
      <c r="T14" s="59">
        <v>93.83</v>
      </c>
      <c r="U14" s="59">
        <v>1835.43</v>
      </c>
      <c r="V14" s="59">
        <v>4616.57</v>
      </c>
      <c r="W14" s="59">
        <v>88.55</v>
      </c>
      <c r="X14" s="59">
        <v>2311.75</v>
      </c>
      <c r="Y14" s="59">
        <v>274.85000000000002</v>
      </c>
      <c r="Z14" s="58">
        <f t="shared" si="17"/>
        <v>13498.67</v>
      </c>
      <c r="AA14" s="59">
        <v>0</v>
      </c>
      <c r="AB14" s="59">
        <v>13302.78</v>
      </c>
      <c r="AC14" s="59">
        <v>0</v>
      </c>
      <c r="AD14" s="59">
        <v>0</v>
      </c>
      <c r="AE14" s="59">
        <v>195.89</v>
      </c>
      <c r="AF14" s="58">
        <f t="shared" si="18"/>
        <v>16537.82</v>
      </c>
      <c r="AG14" s="59">
        <v>398.14</v>
      </c>
      <c r="AH14" s="59">
        <v>107.31</v>
      </c>
      <c r="AI14" s="59">
        <v>1024.55</v>
      </c>
      <c r="AJ14" s="59">
        <v>12111.75</v>
      </c>
      <c r="AK14" s="59">
        <v>72.790000000000006</v>
      </c>
      <c r="AL14" s="59">
        <v>2806.37</v>
      </c>
      <c r="AM14" s="59">
        <v>16.91</v>
      </c>
      <c r="AN14" s="58">
        <f t="shared" si="19"/>
        <v>6460.2599999999993</v>
      </c>
      <c r="AO14" s="58">
        <f t="shared" si="6"/>
        <v>20.679999999999996</v>
      </c>
      <c r="AP14" s="58">
        <f t="shared" si="7"/>
        <v>0</v>
      </c>
      <c r="AQ14" s="58">
        <f t="shared" si="8"/>
        <v>629.36</v>
      </c>
      <c r="AR14" s="58">
        <f t="shared" si="9"/>
        <v>3154.6899999999996</v>
      </c>
      <c r="AS14" s="58">
        <f t="shared" si="10"/>
        <v>67.099999999999994</v>
      </c>
      <c r="AT14" s="58">
        <f t="shared" si="11"/>
        <v>2066.3200000000002</v>
      </c>
      <c r="AU14" s="58">
        <f t="shared" si="12"/>
        <v>522.11</v>
      </c>
      <c r="AV14" s="58">
        <f t="shared" si="20"/>
        <v>2564.92</v>
      </c>
      <c r="AW14" s="59">
        <v>16.86</v>
      </c>
      <c r="AX14" s="59">
        <v>0</v>
      </c>
      <c r="AY14" s="59">
        <v>301.05</v>
      </c>
      <c r="AZ14" s="59">
        <v>1272.43</v>
      </c>
      <c r="BA14" s="59">
        <v>34.479999999999997</v>
      </c>
      <c r="BB14" s="59">
        <v>450.14</v>
      </c>
      <c r="BC14" s="59">
        <v>489.96</v>
      </c>
      <c r="BD14" s="58">
        <f t="shared" si="21"/>
        <v>2662.38</v>
      </c>
      <c r="BE14" s="59">
        <v>1.22</v>
      </c>
      <c r="BF14" s="59">
        <v>0</v>
      </c>
      <c r="BG14" s="59">
        <v>122.32</v>
      </c>
      <c r="BH14" s="59">
        <v>1034.3499999999999</v>
      </c>
      <c r="BI14" s="59">
        <v>0</v>
      </c>
      <c r="BJ14" s="59">
        <v>1504.49</v>
      </c>
      <c r="BK14" s="59">
        <v>0</v>
      </c>
      <c r="BL14" s="58">
        <f t="shared" si="22"/>
        <v>349.18</v>
      </c>
      <c r="BM14" s="59">
        <v>1.22</v>
      </c>
      <c r="BN14" s="59">
        <v>0</v>
      </c>
      <c r="BO14" s="59">
        <v>164.65</v>
      </c>
      <c r="BP14" s="59">
        <v>43.47</v>
      </c>
      <c r="BQ14" s="59">
        <v>28.15</v>
      </c>
      <c r="BR14" s="59">
        <v>111.69</v>
      </c>
      <c r="BS14" s="59">
        <v>0</v>
      </c>
      <c r="BT14" s="58">
        <f t="shared" si="23"/>
        <v>883.78000000000009</v>
      </c>
      <c r="BU14" s="59">
        <v>1.38</v>
      </c>
      <c r="BV14" s="59">
        <v>0</v>
      </c>
      <c r="BW14" s="59">
        <v>41.34</v>
      </c>
      <c r="BX14" s="59">
        <v>804.44</v>
      </c>
      <c r="BY14" s="59">
        <v>4.47</v>
      </c>
      <c r="BZ14" s="59">
        <v>0</v>
      </c>
      <c r="CA14" s="59">
        <v>32.15</v>
      </c>
      <c r="CB14" s="58">
        <f t="shared" si="24"/>
        <v>3307.41</v>
      </c>
      <c r="CC14" s="59">
        <v>0</v>
      </c>
      <c r="CD14" s="59">
        <v>2999.24</v>
      </c>
      <c r="CE14" s="74">
        <v>308.17</v>
      </c>
    </row>
    <row r="15" spans="1:83" x14ac:dyDescent="0.35">
      <c r="A15" s="50" t="s">
        <v>180</v>
      </c>
      <c r="B15" s="58">
        <f t="shared" si="13"/>
        <v>39099.120000000003</v>
      </c>
      <c r="C15" s="58">
        <f t="shared" si="0"/>
        <v>608.1400000000001</v>
      </c>
      <c r="D15" s="58">
        <f t="shared" si="1"/>
        <v>408.77000000000004</v>
      </c>
      <c r="E15" s="58">
        <f t="shared" si="14"/>
        <v>18447.07</v>
      </c>
      <c r="F15" s="58">
        <f t="shared" si="2"/>
        <v>12312.730000000001</v>
      </c>
      <c r="G15" s="58">
        <f t="shared" si="3"/>
        <v>149.85</v>
      </c>
      <c r="H15" s="58">
        <f t="shared" si="4"/>
        <v>6633.62</v>
      </c>
      <c r="I15" s="58">
        <f t="shared" si="5"/>
        <v>538.94000000000005</v>
      </c>
      <c r="J15" s="58">
        <f t="shared" si="15"/>
        <v>566.38</v>
      </c>
      <c r="K15" s="59">
        <v>0.3</v>
      </c>
      <c r="L15" s="59">
        <v>203.56</v>
      </c>
      <c r="M15" s="59">
        <v>17.72</v>
      </c>
      <c r="N15" s="59">
        <v>207.67</v>
      </c>
      <c r="O15" s="59">
        <v>0</v>
      </c>
      <c r="P15" s="59">
        <v>137.13</v>
      </c>
      <c r="Q15" s="59">
        <v>0</v>
      </c>
      <c r="R15" s="58">
        <f t="shared" si="16"/>
        <v>7727.43</v>
      </c>
      <c r="S15" s="59">
        <v>258.41000000000003</v>
      </c>
      <c r="T15" s="59">
        <v>87.04</v>
      </c>
      <c r="U15" s="59">
        <v>1244.1400000000001</v>
      </c>
      <c r="V15" s="59">
        <v>3511.29</v>
      </c>
      <c r="W15" s="59">
        <v>63.2</v>
      </c>
      <c r="X15" s="59">
        <v>2288.5</v>
      </c>
      <c r="Y15" s="59">
        <v>274.85000000000002</v>
      </c>
      <c r="Z15" s="58">
        <f t="shared" si="17"/>
        <v>13569.06</v>
      </c>
      <c r="AA15" s="59">
        <v>0</v>
      </c>
      <c r="AB15" s="59">
        <v>13394.6</v>
      </c>
      <c r="AC15" s="59">
        <v>0</v>
      </c>
      <c r="AD15" s="59">
        <v>0</v>
      </c>
      <c r="AE15" s="59">
        <v>174.46</v>
      </c>
      <c r="AF15" s="58">
        <f t="shared" si="18"/>
        <v>9145.82</v>
      </c>
      <c r="AG15" s="59">
        <v>328.24</v>
      </c>
      <c r="AH15" s="59">
        <v>118.17</v>
      </c>
      <c r="AI15" s="59">
        <v>669.71</v>
      </c>
      <c r="AJ15" s="59">
        <v>5934.13</v>
      </c>
      <c r="AK15" s="59">
        <v>54.78</v>
      </c>
      <c r="AL15" s="59">
        <v>2032.5</v>
      </c>
      <c r="AM15" s="59">
        <v>8.2899999999999991</v>
      </c>
      <c r="AN15" s="58">
        <f t="shared" si="19"/>
        <v>5208.0200000000004</v>
      </c>
      <c r="AO15" s="58">
        <f t="shared" si="6"/>
        <v>21.189999999999998</v>
      </c>
      <c r="AP15" s="58">
        <f t="shared" si="7"/>
        <v>0</v>
      </c>
      <c r="AQ15" s="58">
        <f t="shared" si="8"/>
        <v>546.66000000000008</v>
      </c>
      <c r="AR15" s="58">
        <f t="shared" si="9"/>
        <v>2351.4700000000003</v>
      </c>
      <c r="AS15" s="58">
        <f t="shared" si="10"/>
        <v>31.87</v>
      </c>
      <c r="AT15" s="58">
        <f t="shared" si="11"/>
        <v>2001.03</v>
      </c>
      <c r="AU15" s="58">
        <f t="shared" si="12"/>
        <v>255.8</v>
      </c>
      <c r="AV15" s="58">
        <f t="shared" si="20"/>
        <v>1925.0600000000002</v>
      </c>
      <c r="AW15" s="59">
        <v>17.37</v>
      </c>
      <c r="AX15" s="59">
        <v>0</v>
      </c>
      <c r="AY15" s="59">
        <v>253.58</v>
      </c>
      <c r="AZ15" s="59">
        <v>948.46</v>
      </c>
      <c r="BA15" s="59">
        <v>16.38</v>
      </c>
      <c r="BB15" s="59">
        <v>449.22</v>
      </c>
      <c r="BC15" s="59">
        <v>240.05</v>
      </c>
      <c r="BD15" s="58">
        <f t="shared" si="21"/>
        <v>2357.4300000000003</v>
      </c>
      <c r="BE15" s="59">
        <v>1.22</v>
      </c>
      <c r="BF15" s="59">
        <v>0</v>
      </c>
      <c r="BG15" s="59">
        <v>107.76</v>
      </c>
      <c r="BH15" s="59">
        <v>770.99</v>
      </c>
      <c r="BI15" s="59">
        <v>0</v>
      </c>
      <c r="BJ15" s="59">
        <v>1477.46</v>
      </c>
      <c r="BK15" s="59">
        <v>0</v>
      </c>
      <c r="BL15" s="58">
        <f t="shared" si="22"/>
        <v>270.52</v>
      </c>
      <c r="BM15" s="59">
        <v>1.22</v>
      </c>
      <c r="BN15" s="59">
        <v>0</v>
      </c>
      <c r="BO15" s="59">
        <v>149.18</v>
      </c>
      <c r="BP15" s="59">
        <v>32.4</v>
      </c>
      <c r="BQ15" s="59">
        <v>13.37</v>
      </c>
      <c r="BR15" s="59">
        <v>74.349999999999994</v>
      </c>
      <c r="BS15" s="59">
        <v>0</v>
      </c>
      <c r="BT15" s="58">
        <f t="shared" si="23"/>
        <v>655.01</v>
      </c>
      <c r="BU15" s="59">
        <v>1.38</v>
      </c>
      <c r="BV15" s="59">
        <v>0</v>
      </c>
      <c r="BW15" s="59">
        <v>36.14</v>
      </c>
      <c r="BX15" s="59">
        <v>599.62</v>
      </c>
      <c r="BY15" s="59">
        <v>2.12</v>
      </c>
      <c r="BZ15" s="59">
        <v>0</v>
      </c>
      <c r="CA15" s="59">
        <v>15.75</v>
      </c>
      <c r="CB15" s="58">
        <f t="shared" si="24"/>
        <v>2882.41</v>
      </c>
      <c r="CC15" s="59">
        <v>0</v>
      </c>
      <c r="CD15" s="59">
        <v>2574.2399999999998</v>
      </c>
      <c r="CE15" s="74">
        <v>308.17</v>
      </c>
    </row>
    <row r="16" spans="1:83" x14ac:dyDescent="0.35">
      <c r="A16" s="50" t="s">
        <v>181</v>
      </c>
      <c r="B16" s="58">
        <f t="shared" si="13"/>
        <v>34757.340000000004</v>
      </c>
      <c r="C16" s="58">
        <f t="shared" si="0"/>
        <v>561.97</v>
      </c>
      <c r="D16" s="58">
        <f t="shared" si="1"/>
        <v>372.64</v>
      </c>
      <c r="E16" s="58">
        <f t="shared" si="14"/>
        <v>19251.63</v>
      </c>
      <c r="F16" s="58">
        <f t="shared" si="2"/>
        <v>7463.84</v>
      </c>
      <c r="G16" s="58">
        <f t="shared" si="3"/>
        <v>113.57999999999998</v>
      </c>
      <c r="H16" s="58">
        <f t="shared" si="4"/>
        <v>6586.3899999999994</v>
      </c>
      <c r="I16" s="58">
        <f t="shared" si="5"/>
        <v>407.29000000000008</v>
      </c>
      <c r="J16" s="58">
        <f t="shared" si="15"/>
        <v>477.38000000000005</v>
      </c>
      <c r="K16" s="59">
        <v>0.3</v>
      </c>
      <c r="L16" s="59">
        <v>176.62</v>
      </c>
      <c r="M16" s="59">
        <v>28.27</v>
      </c>
      <c r="N16" s="59">
        <v>139.88999999999999</v>
      </c>
      <c r="O16" s="59">
        <v>0</v>
      </c>
      <c r="P16" s="59">
        <v>132.30000000000001</v>
      </c>
      <c r="Q16" s="59">
        <v>0</v>
      </c>
      <c r="R16" s="58">
        <f t="shared" si="16"/>
        <v>6872.11</v>
      </c>
      <c r="S16" s="59">
        <v>255.1</v>
      </c>
      <c r="T16" s="59">
        <v>89.78</v>
      </c>
      <c r="U16" s="59">
        <v>1355.5</v>
      </c>
      <c r="V16" s="59">
        <v>2556.61</v>
      </c>
      <c r="W16" s="59">
        <v>52.28</v>
      </c>
      <c r="X16" s="59">
        <v>2287.9899999999998</v>
      </c>
      <c r="Y16" s="59">
        <v>274.85000000000002</v>
      </c>
      <c r="Z16" s="58">
        <f t="shared" si="17"/>
        <v>14381.35</v>
      </c>
      <c r="AA16" s="59">
        <v>0</v>
      </c>
      <c r="AB16" s="59">
        <v>14193.92</v>
      </c>
      <c r="AC16" s="59">
        <v>0</v>
      </c>
      <c r="AD16" s="59">
        <v>0</v>
      </c>
      <c r="AE16" s="59">
        <v>187.43</v>
      </c>
      <c r="AF16" s="58">
        <f t="shared" si="18"/>
        <v>6009.25</v>
      </c>
      <c r="AG16" s="59">
        <v>300.31</v>
      </c>
      <c r="AH16" s="59">
        <v>106.24</v>
      </c>
      <c r="AI16" s="59">
        <v>567.85</v>
      </c>
      <c r="AJ16" s="59">
        <v>2975.87</v>
      </c>
      <c r="AK16" s="59">
        <v>45.98</v>
      </c>
      <c r="AL16" s="59">
        <v>2008.84</v>
      </c>
      <c r="AM16" s="59">
        <v>4.16</v>
      </c>
      <c r="AN16" s="58">
        <f t="shared" si="19"/>
        <v>4161.17</v>
      </c>
      <c r="AO16" s="58">
        <f t="shared" si="6"/>
        <v>6.26</v>
      </c>
      <c r="AP16" s="58">
        <f t="shared" si="7"/>
        <v>0</v>
      </c>
      <c r="AQ16" s="58">
        <f t="shared" si="8"/>
        <v>558.17999999999995</v>
      </c>
      <c r="AR16" s="58">
        <f t="shared" si="9"/>
        <v>1483.3</v>
      </c>
      <c r="AS16" s="58">
        <f t="shared" si="10"/>
        <v>15.32</v>
      </c>
      <c r="AT16" s="58">
        <f t="shared" si="11"/>
        <v>1969.83</v>
      </c>
      <c r="AU16" s="58">
        <f t="shared" si="12"/>
        <v>128.28</v>
      </c>
      <c r="AV16" s="58">
        <f t="shared" si="20"/>
        <v>1419.2199999999998</v>
      </c>
      <c r="AW16" s="59">
        <v>2.44</v>
      </c>
      <c r="AX16" s="59">
        <v>0</v>
      </c>
      <c r="AY16" s="59">
        <v>240.19</v>
      </c>
      <c r="AZ16" s="59">
        <v>598.28</v>
      </c>
      <c r="BA16" s="59">
        <v>7.87</v>
      </c>
      <c r="BB16" s="59">
        <v>450.06</v>
      </c>
      <c r="BC16" s="59">
        <v>120.38</v>
      </c>
      <c r="BD16" s="58">
        <f t="shared" si="21"/>
        <v>2046.1100000000001</v>
      </c>
      <c r="BE16" s="59">
        <v>1.22</v>
      </c>
      <c r="BF16" s="59">
        <v>0</v>
      </c>
      <c r="BG16" s="59">
        <v>119.35</v>
      </c>
      <c r="BH16" s="59">
        <v>486.34</v>
      </c>
      <c r="BI16" s="59">
        <v>0</v>
      </c>
      <c r="BJ16" s="59">
        <v>1439.2</v>
      </c>
      <c r="BK16" s="59">
        <v>0</v>
      </c>
      <c r="BL16" s="58">
        <f t="shared" si="22"/>
        <v>271.33</v>
      </c>
      <c r="BM16" s="59">
        <v>1.22</v>
      </c>
      <c r="BN16" s="59">
        <v>0</v>
      </c>
      <c r="BO16" s="59">
        <v>162.66999999999999</v>
      </c>
      <c r="BP16" s="59">
        <v>20.440000000000001</v>
      </c>
      <c r="BQ16" s="59">
        <v>6.43</v>
      </c>
      <c r="BR16" s="59">
        <v>80.569999999999993</v>
      </c>
      <c r="BS16" s="59">
        <v>0</v>
      </c>
      <c r="BT16" s="58">
        <f t="shared" si="23"/>
        <v>424.51</v>
      </c>
      <c r="BU16" s="59">
        <v>1.38</v>
      </c>
      <c r="BV16" s="59">
        <v>0</v>
      </c>
      <c r="BW16" s="59">
        <v>35.97</v>
      </c>
      <c r="BX16" s="59">
        <v>378.24</v>
      </c>
      <c r="BY16" s="59">
        <v>1.02</v>
      </c>
      <c r="BZ16" s="59">
        <v>0</v>
      </c>
      <c r="CA16" s="59">
        <v>7.9</v>
      </c>
      <c r="CB16" s="58">
        <f t="shared" si="24"/>
        <v>2856.08</v>
      </c>
      <c r="CC16" s="59">
        <v>0</v>
      </c>
      <c r="CD16" s="59">
        <v>2547.91</v>
      </c>
      <c r="CE16" s="74">
        <v>308.17</v>
      </c>
    </row>
    <row r="17" spans="1:83" x14ac:dyDescent="0.35">
      <c r="A17" s="50" t="s">
        <v>182</v>
      </c>
      <c r="B17" s="58">
        <f t="shared" si="13"/>
        <v>47631.11</v>
      </c>
      <c r="C17" s="58">
        <f t="shared" si="0"/>
        <v>769.78</v>
      </c>
      <c r="D17" s="58">
        <f t="shared" si="1"/>
        <v>400.09</v>
      </c>
      <c r="E17" s="58">
        <f t="shared" si="14"/>
        <v>19830.760000000002</v>
      </c>
      <c r="F17" s="58">
        <f t="shared" si="2"/>
        <v>18110.77</v>
      </c>
      <c r="G17" s="58">
        <f t="shared" si="3"/>
        <v>180.18</v>
      </c>
      <c r="H17" s="58">
        <f t="shared" si="4"/>
        <v>7584.7199999999993</v>
      </c>
      <c r="I17" s="58">
        <f t="shared" si="5"/>
        <v>754.81</v>
      </c>
      <c r="J17" s="58">
        <f t="shared" si="15"/>
        <v>593.80999999999995</v>
      </c>
      <c r="K17" s="59">
        <v>0.3</v>
      </c>
      <c r="L17" s="59">
        <v>184.63</v>
      </c>
      <c r="M17" s="59">
        <v>81.319999999999993</v>
      </c>
      <c r="N17" s="59">
        <v>191.06</v>
      </c>
      <c r="O17" s="59">
        <v>0</v>
      </c>
      <c r="P17" s="59">
        <v>136.5</v>
      </c>
      <c r="Q17" s="59">
        <v>0</v>
      </c>
      <c r="R17" s="58">
        <f t="shared" si="16"/>
        <v>8912.2900000000009</v>
      </c>
      <c r="S17" s="59">
        <v>338.84</v>
      </c>
      <c r="T17" s="59">
        <v>87.26</v>
      </c>
      <c r="U17" s="59">
        <v>1454.71</v>
      </c>
      <c r="V17" s="59">
        <v>4318.79</v>
      </c>
      <c r="W17" s="59">
        <v>60.03</v>
      </c>
      <c r="X17" s="59">
        <v>2377.81</v>
      </c>
      <c r="Y17" s="59">
        <v>274.85000000000002</v>
      </c>
      <c r="Z17" s="58">
        <f t="shared" si="17"/>
        <v>14012.03</v>
      </c>
      <c r="AA17" s="59">
        <v>0</v>
      </c>
      <c r="AB17" s="59">
        <v>13828.37</v>
      </c>
      <c r="AC17" s="59">
        <v>0</v>
      </c>
      <c r="AD17" s="59">
        <v>0</v>
      </c>
      <c r="AE17" s="59">
        <v>183.66</v>
      </c>
      <c r="AF17" s="58">
        <f t="shared" si="18"/>
        <v>15158.289999999999</v>
      </c>
      <c r="AG17" s="59">
        <v>421.61</v>
      </c>
      <c r="AH17" s="59">
        <v>128.19999999999999</v>
      </c>
      <c r="AI17" s="59">
        <v>977.28</v>
      </c>
      <c r="AJ17" s="59">
        <v>10784.7</v>
      </c>
      <c r="AK17" s="59">
        <v>62.47</v>
      </c>
      <c r="AL17" s="59">
        <v>2768.97</v>
      </c>
      <c r="AM17" s="59">
        <v>15.06</v>
      </c>
      <c r="AN17" s="58">
        <f t="shared" si="19"/>
        <v>5717.43</v>
      </c>
      <c r="AO17" s="58">
        <f t="shared" si="6"/>
        <v>9.0299999999999994</v>
      </c>
      <c r="AP17" s="58">
        <f t="shared" si="7"/>
        <v>0</v>
      </c>
      <c r="AQ17" s="58">
        <f t="shared" si="8"/>
        <v>559.99</v>
      </c>
      <c r="AR17" s="58">
        <f t="shared" si="9"/>
        <v>2508.0500000000002</v>
      </c>
      <c r="AS17" s="58">
        <f t="shared" si="10"/>
        <v>57.680000000000007</v>
      </c>
      <c r="AT17" s="58">
        <f t="shared" si="11"/>
        <v>2117.7800000000002</v>
      </c>
      <c r="AU17" s="58">
        <f t="shared" si="12"/>
        <v>464.9</v>
      </c>
      <c r="AV17" s="58">
        <f t="shared" si="20"/>
        <v>2180.4300000000003</v>
      </c>
      <c r="AW17" s="59">
        <v>5.21</v>
      </c>
      <c r="AX17" s="59">
        <v>0</v>
      </c>
      <c r="AY17" s="59">
        <v>248.91</v>
      </c>
      <c r="AZ17" s="59">
        <v>1011.61</v>
      </c>
      <c r="BA17" s="59">
        <v>29.64</v>
      </c>
      <c r="BB17" s="59">
        <v>448.78</v>
      </c>
      <c r="BC17" s="59">
        <v>436.28</v>
      </c>
      <c r="BD17" s="58">
        <f t="shared" si="21"/>
        <v>2504.0200000000004</v>
      </c>
      <c r="BE17" s="59">
        <v>1.22</v>
      </c>
      <c r="BF17" s="59">
        <v>0</v>
      </c>
      <c r="BG17" s="59">
        <v>119.59</v>
      </c>
      <c r="BH17" s="59">
        <v>822.33</v>
      </c>
      <c r="BI17" s="59">
        <v>0</v>
      </c>
      <c r="BJ17" s="59">
        <v>1560.88</v>
      </c>
      <c r="BK17" s="59">
        <v>0</v>
      </c>
      <c r="BL17" s="58">
        <f t="shared" si="22"/>
        <v>325.18</v>
      </c>
      <c r="BM17" s="59">
        <v>1.22</v>
      </c>
      <c r="BN17" s="59">
        <v>0</v>
      </c>
      <c r="BO17" s="59">
        <v>157.08000000000001</v>
      </c>
      <c r="BP17" s="59">
        <v>34.56</v>
      </c>
      <c r="BQ17" s="59">
        <v>24.2</v>
      </c>
      <c r="BR17" s="59">
        <v>108.12</v>
      </c>
      <c r="BS17" s="59">
        <v>0</v>
      </c>
      <c r="BT17" s="58">
        <f t="shared" si="23"/>
        <v>707.8</v>
      </c>
      <c r="BU17" s="59">
        <v>1.38</v>
      </c>
      <c r="BV17" s="59">
        <v>0</v>
      </c>
      <c r="BW17" s="59">
        <v>34.409999999999997</v>
      </c>
      <c r="BX17" s="59">
        <v>639.54999999999995</v>
      </c>
      <c r="BY17" s="59">
        <v>3.84</v>
      </c>
      <c r="BZ17" s="59">
        <v>0</v>
      </c>
      <c r="CA17" s="59">
        <v>28.62</v>
      </c>
      <c r="CB17" s="58">
        <f t="shared" si="24"/>
        <v>3237.26</v>
      </c>
      <c r="CC17" s="59">
        <v>0</v>
      </c>
      <c r="CD17" s="59">
        <v>2929.09</v>
      </c>
      <c r="CE17" s="74">
        <v>308.17</v>
      </c>
    </row>
    <row r="18" spans="1:83" x14ac:dyDescent="0.35">
      <c r="A18" s="50" t="s">
        <v>183</v>
      </c>
      <c r="B18" s="58">
        <f t="shared" si="13"/>
        <v>51970.55</v>
      </c>
      <c r="C18" s="58">
        <f t="shared" si="0"/>
        <v>744.57999999999993</v>
      </c>
      <c r="D18" s="58">
        <f t="shared" si="1"/>
        <v>481.24</v>
      </c>
      <c r="E18" s="58">
        <f t="shared" si="14"/>
        <v>19500.23</v>
      </c>
      <c r="F18" s="58">
        <f t="shared" si="2"/>
        <v>22100.52</v>
      </c>
      <c r="G18" s="58">
        <f t="shared" si="3"/>
        <v>232.87</v>
      </c>
      <c r="H18" s="58">
        <f t="shared" si="4"/>
        <v>8120.5800000000008</v>
      </c>
      <c r="I18" s="58">
        <f t="shared" si="5"/>
        <v>790.53</v>
      </c>
      <c r="J18" s="58">
        <f t="shared" si="15"/>
        <v>628.44000000000005</v>
      </c>
      <c r="K18" s="59">
        <v>0</v>
      </c>
      <c r="L18" s="59">
        <v>283.02</v>
      </c>
      <c r="M18" s="59">
        <v>21.56</v>
      </c>
      <c r="N18" s="59">
        <v>209.37</v>
      </c>
      <c r="O18" s="59">
        <v>0</v>
      </c>
      <c r="P18" s="59">
        <v>114.49</v>
      </c>
      <c r="Q18" s="59">
        <v>0</v>
      </c>
      <c r="R18" s="58">
        <f t="shared" si="16"/>
        <v>10142.239999999998</v>
      </c>
      <c r="S18" s="59">
        <v>273.56</v>
      </c>
      <c r="T18" s="59">
        <v>89.3</v>
      </c>
      <c r="U18" s="59">
        <v>1849.24</v>
      </c>
      <c r="V18" s="59">
        <v>5119.4399999999996</v>
      </c>
      <c r="W18" s="59">
        <v>78.78</v>
      </c>
      <c r="X18" s="59">
        <v>2481.61</v>
      </c>
      <c r="Y18" s="59">
        <v>250.31</v>
      </c>
      <c r="Z18" s="58">
        <f t="shared" si="17"/>
        <v>13595.74</v>
      </c>
      <c r="AA18" s="59">
        <v>0</v>
      </c>
      <c r="AB18" s="59">
        <v>13403.96</v>
      </c>
      <c r="AC18" s="59">
        <v>0</v>
      </c>
      <c r="AD18" s="59">
        <v>0</v>
      </c>
      <c r="AE18" s="59">
        <v>191.78</v>
      </c>
      <c r="AF18" s="58">
        <f t="shared" si="18"/>
        <v>18079.120000000003</v>
      </c>
      <c r="AG18" s="59">
        <v>461.5</v>
      </c>
      <c r="AH18" s="59">
        <v>108.92</v>
      </c>
      <c r="AI18" s="59">
        <v>1092.48</v>
      </c>
      <c r="AJ18" s="59">
        <v>13291.95</v>
      </c>
      <c r="AK18" s="59">
        <v>97.96</v>
      </c>
      <c r="AL18" s="59">
        <v>3013.32</v>
      </c>
      <c r="AM18" s="59">
        <v>12.99</v>
      </c>
      <c r="AN18" s="58">
        <f t="shared" si="19"/>
        <v>6836.0299999999988</v>
      </c>
      <c r="AO18" s="58">
        <f t="shared" si="6"/>
        <v>9.52</v>
      </c>
      <c r="AP18" s="58">
        <f t="shared" si="7"/>
        <v>0</v>
      </c>
      <c r="AQ18" s="58">
        <f t="shared" si="8"/>
        <v>688.4899999999999</v>
      </c>
      <c r="AR18" s="58">
        <f t="shared" si="9"/>
        <v>3235.2799999999997</v>
      </c>
      <c r="AS18" s="58">
        <f t="shared" si="10"/>
        <v>56.129999999999995</v>
      </c>
      <c r="AT18" s="58">
        <f t="shared" si="11"/>
        <v>2319.38</v>
      </c>
      <c r="AU18" s="58">
        <f t="shared" si="12"/>
        <v>527.23</v>
      </c>
      <c r="AV18" s="58">
        <f t="shared" si="20"/>
        <v>2551.6999999999998</v>
      </c>
      <c r="AW18" s="59">
        <v>5.99</v>
      </c>
      <c r="AX18" s="59">
        <v>0</v>
      </c>
      <c r="AY18" s="59">
        <v>214.05</v>
      </c>
      <c r="AZ18" s="59">
        <v>1322.36</v>
      </c>
      <c r="BA18" s="59">
        <v>29.19</v>
      </c>
      <c r="BB18" s="59">
        <v>455.89</v>
      </c>
      <c r="BC18" s="59">
        <v>524.22</v>
      </c>
      <c r="BD18" s="58">
        <f t="shared" si="21"/>
        <v>3032.55</v>
      </c>
      <c r="BE18" s="59">
        <v>0.87</v>
      </c>
      <c r="BF18" s="59">
        <v>0</v>
      </c>
      <c r="BG18" s="59">
        <v>244.89</v>
      </c>
      <c r="BH18" s="59">
        <v>1061.0999999999999</v>
      </c>
      <c r="BI18" s="59">
        <v>0</v>
      </c>
      <c r="BJ18" s="59">
        <v>1725.69</v>
      </c>
      <c r="BK18" s="59">
        <v>0</v>
      </c>
      <c r="BL18" s="58">
        <f t="shared" si="22"/>
        <v>424.86000000000007</v>
      </c>
      <c r="BM18" s="59">
        <v>0.87</v>
      </c>
      <c r="BN18" s="59">
        <v>0</v>
      </c>
      <c r="BO18" s="59">
        <v>193.13</v>
      </c>
      <c r="BP18" s="59">
        <v>66.62</v>
      </c>
      <c r="BQ18" s="59">
        <v>23.47</v>
      </c>
      <c r="BR18" s="59">
        <v>137.80000000000001</v>
      </c>
      <c r="BS18" s="59">
        <v>2.97</v>
      </c>
      <c r="BT18" s="58">
        <f t="shared" si="23"/>
        <v>826.92000000000007</v>
      </c>
      <c r="BU18" s="59">
        <v>1.79</v>
      </c>
      <c r="BV18" s="59">
        <v>0</v>
      </c>
      <c r="BW18" s="59">
        <v>36.42</v>
      </c>
      <c r="BX18" s="59">
        <v>785.2</v>
      </c>
      <c r="BY18" s="59">
        <v>3.47</v>
      </c>
      <c r="BZ18" s="59">
        <v>0</v>
      </c>
      <c r="CA18" s="59">
        <v>0.04</v>
      </c>
      <c r="CB18" s="58">
        <f t="shared" si="24"/>
        <v>2688.98</v>
      </c>
      <c r="CC18" s="59">
        <v>0</v>
      </c>
      <c r="CD18" s="59">
        <v>2444.5</v>
      </c>
      <c r="CE18" s="74">
        <v>244.48</v>
      </c>
    </row>
    <row r="19" spans="1:83" x14ac:dyDescent="0.35">
      <c r="A19" s="50" t="s">
        <v>184</v>
      </c>
      <c r="B19" s="58">
        <f t="shared" si="13"/>
        <v>39891.85</v>
      </c>
      <c r="C19" s="58">
        <f t="shared" si="0"/>
        <v>671.15</v>
      </c>
      <c r="D19" s="58">
        <f t="shared" si="1"/>
        <v>477.49999999999994</v>
      </c>
      <c r="E19" s="58">
        <f t="shared" si="14"/>
        <v>19201.22</v>
      </c>
      <c r="F19" s="58">
        <f t="shared" si="2"/>
        <v>12085.23</v>
      </c>
      <c r="G19" s="58">
        <f t="shared" si="3"/>
        <v>143.47999999999999</v>
      </c>
      <c r="H19" s="58">
        <f t="shared" si="4"/>
        <v>6819.9199999999992</v>
      </c>
      <c r="I19" s="58">
        <f t="shared" si="5"/>
        <v>493.35</v>
      </c>
      <c r="J19" s="58">
        <f t="shared" si="15"/>
        <v>607.99</v>
      </c>
      <c r="K19" s="59">
        <v>0</v>
      </c>
      <c r="L19" s="59">
        <v>291.39999999999998</v>
      </c>
      <c r="M19" s="59">
        <v>24.92</v>
      </c>
      <c r="N19" s="59">
        <v>177.7</v>
      </c>
      <c r="O19" s="59">
        <v>0</v>
      </c>
      <c r="P19" s="59">
        <v>113.97</v>
      </c>
      <c r="Q19" s="59">
        <v>0</v>
      </c>
      <c r="R19" s="58">
        <f t="shared" si="16"/>
        <v>8252.4499999999989</v>
      </c>
      <c r="S19" s="59">
        <v>315.58</v>
      </c>
      <c r="T19" s="59">
        <v>83.52</v>
      </c>
      <c r="U19" s="59">
        <v>1725.57</v>
      </c>
      <c r="V19" s="59">
        <v>3531</v>
      </c>
      <c r="W19" s="59">
        <v>61.15</v>
      </c>
      <c r="X19" s="59">
        <v>2285.3200000000002</v>
      </c>
      <c r="Y19" s="59">
        <v>250.31</v>
      </c>
      <c r="Z19" s="58">
        <f t="shared" si="17"/>
        <v>13818.9</v>
      </c>
      <c r="AA19" s="59">
        <v>0</v>
      </c>
      <c r="AB19" s="59">
        <v>13627.77</v>
      </c>
      <c r="AC19" s="59">
        <v>0</v>
      </c>
      <c r="AD19" s="59">
        <v>0</v>
      </c>
      <c r="AE19" s="59">
        <v>191.13</v>
      </c>
      <c r="AF19" s="58">
        <f t="shared" si="18"/>
        <v>9334.3499999999985</v>
      </c>
      <c r="AG19" s="59">
        <v>345.3</v>
      </c>
      <c r="AH19" s="59">
        <v>102.58</v>
      </c>
      <c r="AI19" s="59">
        <v>651.11</v>
      </c>
      <c r="AJ19" s="59">
        <v>5979.98</v>
      </c>
      <c r="AK19" s="59">
        <v>44.07</v>
      </c>
      <c r="AL19" s="59">
        <v>2205.4699999999998</v>
      </c>
      <c r="AM19" s="59">
        <v>5.84</v>
      </c>
      <c r="AN19" s="58">
        <f t="shared" si="19"/>
        <v>5122.9399999999996</v>
      </c>
      <c r="AO19" s="58">
        <f t="shared" si="6"/>
        <v>10.27</v>
      </c>
      <c r="AP19" s="58">
        <f t="shared" si="7"/>
        <v>0</v>
      </c>
      <c r="AQ19" s="58">
        <f t="shared" si="8"/>
        <v>661.11000000000013</v>
      </c>
      <c r="AR19" s="58">
        <f t="shared" si="9"/>
        <v>2152.0699999999997</v>
      </c>
      <c r="AS19" s="58">
        <f t="shared" si="10"/>
        <v>38.26</v>
      </c>
      <c r="AT19" s="58">
        <f t="shared" si="11"/>
        <v>2024.03</v>
      </c>
      <c r="AU19" s="58">
        <f t="shared" si="12"/>
        <v>237.20000000000002</v>
      </c>
      <c r="AV19" s="58">
        <f t="shared" si="20"/>
        <v>1815.8700000000001</v>
      </c>
      <c r="AW19" s="59">
        <v>6.82</v>
      </c>
      <c r="AX19" s="59">
        <v>0</v>
      </c>
      <c r="AY19" s="59">
        <v>218.74</v>
      </c>
      <c r="AZ19" s="59">
        <v>879.62</v>
      </c>
      <c r="BA19" s="59">
        <v>19.89</v>
      </c>
      <c r="BB19" s="59">
        <v>454.96</v>
      </c>
      <c r="BC19" s="59">
        <v>235.84</v>
      </c>
      <c r="BD19" s="58">
        <f t="shared" si="21"/>
        <v>2468</v>
      </c>
      <c r="BE19" s="59">
        <v>0.87</v>
      </c>
      <c r="BF19" s="59">
        <v>0</v>
      </c>
      <c r="BG19" s="59">
        <v>253.71</v>
      </c>
      <c r="BH19" s="59">
        <v>705.83</v>
      </c>
      <c r="BI19" s="59">
        <v>0</v>
      </c>
      <c r="BJ19" s="59">
        <v>1507.59</v>
      </c>
      <c r="BK19" s="59">
        <v>0</v>
      </c>
      <c r="BL19" s="58">
        <f t="shared" si="22"/>
        <v>279.20999999999998</v>
      </c>
      <c r="BM19" s="59">
        <v>0.87</v>
      </c>
      <c r="BN19" s="59">
        <v>0</v>
      </c>
      <c r="BO19" s="59">
        <v>155.21</v>
      </c>
      <c r="BP19" s="59">
        <v>44.31</v>
      </c>
      <c r="BQ19" s="59">
        <v>16</v>
      </c>
      <c r="BR19" s="59">
        <v>61.48</v>
      </c>
      <c r="BS19" s="59">
        <v>1.34</v>
      </c>
      <c r="BT19" s="58">
        <f t="shared" si="23"/>
        <v>559.8599999999999</v>
      </c>
      <c r="BU19" s="59">
        <v>1.71</v>
      </c>
      <c r="BV19" s="59">
        <v>0</v>
      </c>
      <c r="BW19" s="59">
        <v>33.450000000000003</v>
      </c>
      <c r="BX19" s="59">
        <v>522.30999999999995</v>
      </c>
      <c r="BY19" s="59">
        <v>2.37</v>
      </c>
      <c r="BZ19" s="59">
        <v>0</v>
      </c>
      <c r="CA19" s="59">
        <v>0.02</v>
      </c>
      <c r="CB19" s="58">
        <f t="shared" si="24"/>
        <v>2755.22</v>
      </c>
      <c r="CC19" s="59">
        <v>0</v>
      </c>
      <c r="CD19" s="59">
        <v>2510.7399999999998</v>
      </c>
      <c r="CE19" s="74">
        <v>244.48</v>
      </c>
    </row>
    <row r="20" spans="1:83" x14ac:dyDescent="0.35">
      <c r="A20" s="50" t="s">
        <v>185</v>
      </c>
      <c r="B20" s="58">
        <f t="shared" si="13"/>
        <v>34113.409999999996</v>
      </c>
      <c r="C20" s="58">
        <f t="shared" si="0"/>
        <v>546.59999999999991</v>
      </c>
      <c r="D20" s="58">
        <f t="shared" si="1"/>
        <v>398.60999999999996</v>
      </c>
      <c r="E20" s="58">
        <f t="shared" si="14"/>
        <v>18991.87</v>
      </c>
      <c r="F20" s="58">
        <f t="shared" si="2"/>
        <v>7375.16</v>
      </c>
      <c r="G20" s="58">
        <f t="shared" si="3"/>
        <v>90.63</v>
      </c>
      <c r="H20" s="58">
        <f t="shared" si="4"/>
        <v>6337.2199999999993</v>
      </c>
      <c r="I20" s="58">
        <f t="shared" si="5"/>
        <v>373.32000000000005</v>
      </c>
      <c r="J20" s="58">
        <f t="shared" si="15"/>
        <v>525.22</v>
      </c>
      <c r="K20" s="59">
        <v>0</v>
      </c>
      <c r="L20" s="59">
        <v>233.59</v>
      </c>
      <c r="M20" s="59">
        <v>10.37</v>
      </c>
      <c r="N20" s="59">
        <v>167.8</v>
      </c>
      <c r="O20" s="59">
        <v>0</v>
      </c>
      <c r="P20" s="59">
        <v>113.46</v>
      </c>
      <c r="Q20" s="59">
        <v>0</v>
      </c>
      <c r="R20" s="58">
        <f t="shared" si="16"/>
        <v>6766.55</v>
      </c>
      <c r="S20" s="59">
        <v>215.6</v>
      </c>
      <c r="T20" s="59">
        <v>81.06</v>
      </c>
      <c r="U20" s="59">
        <v>1410.33</v>
      </c>
      <c r="V20" s="59">
        <v>2606.87</v>
      </c>
      <c r="W20" s="59">
        <v>42.39</v>
      </c>
      <c r="X20" s="59">
        <v>2159.9899999999998</v>
      </c>
      <c r="Y20" s="59">
        <v>250.31</v>
      </c>
      <c r="Z20" s="58">
        <f t="shared" si="17"/>
        <v>14123.17</v>
      </c>
      <c r="AA20" s="59">
        <v>0</v>
      </c>
      <c r="AB20" s="59">
        <v>13935.24</v>
      </c>
      <c r="AC20" s="59">
        <v>0</v>
      </c>
      <c r="AD20" s="59">
        <v>0</v>
      </c>
      <c r="AE20" s="59">
        <v>187.93</v>
      </c>
      <c r="AF20" s="58">
        <f t="shared" si="18"/>
        <v>6068.3</v>
      </c>
      <c r="AG20" s="59">
        <v>314.94</v>
      </c>
      <c r="AH20" s="59">
        <v>83.96</v>
      </c>
      <c r="AI20" s="59">
        <v>630.6</v>
      </c>
      <c r="AJ20" s="59">
        <v>3026.37</v>
      </c>
      <c r="AK20" s="59">
        <v>22.3</v>
      </c>
      <c r="AL20" s="59">
        <v>1987.17</v>
      </c>
      <c r="AM20" s="59">
        <v>2.96</v>
      </c>
      <c r="AN20" s="58">
        <f t="shared" si="19"/>
        <v>3942.3100000000004</v>
      </c>
      <c r="AO20" s="58">
        <f t="shared" si="6"/>
        <v>16.059999999999999</v>
      </c>
      <c r="AP20" s="58">
        <f t="shared" si="7"/>
        <v>0</v>
      </c>
      <c r="AQ20" s="58">
        <f t="shared" si="8"/>
        <v>561.95000000000005</v>
      </c>
      <c r="AR20" s="58">
        <f t="shared" si="9"/>
        <v>1329.6399999999999</v>
      </c>
      <c r="AS20" s="58">
        <f t="shared" si="10"/>
        <v>25.94</v>
      </c>
      <c r="AT20" s="58">
        <f t="shared" si="11"/>
        <v>1888.67</v>
      </c>
      <c r="AU20" s="58">
        <f t="shared" si="12"/>
        <v>120.05000000000001</v>
      </c>
      <c r="AV20" s="58">
        <f t="shared" si="20"/>
        <v>1314.6599999999999</v>
      </c>
      <c r="AW20" s="59">
        <v>12.59</v>
      </c>
      <c r="AX20" s="59">
        <v>0</v>
      </c>
      <c r="AY20" s="59">
        <v>174.41</v>
      </c>
      <c r="AZ20" s="59">
        <v>543.47</v>
      </c>
      <c r="BA20" s="59">
        <v>13.49</v>
      </c>
      <c r="BB20" s="59">
        <v>451.34</v>
      </c>
      <c r="BC20" s="59">
        <v>119.36</v>
      </c>
      <c r="BD20" s="58">
        <f t="shared" si="21"/>
        <v>2031.6100000000001</v>
      </c>
      <c r="BE20" s="59">
        <v>0.87</v>
      </c>
      <c r="BF20" s="59">
        <v>0</v>
      </c>
      <c r="BG20" s="59">
        <v>212.22</v>
      </c>
      <c r="BH20" s="59">
        <v>436.09</v>
      </c>
      <c r="BI20" s="59">
        <v>0</v>
      </c>
      <c r="BJ20" s="59">
        <v>1382.43</v>
      </c>
      <c r="BK20" s="59">
        <v>0</v>
      </c>
      <c r="BL20" s="58">
        <f t="shared" si="22"/>
        <v>237.91</v>
      </c>
      <c r="BM20" s="59">
        <v>0.87</v>
      </c>
      <c r="BN20" s="59">
        <v>0</v>
      </c>
      <c r="BO20" s="59">
        <v>143.22999999999999</v>
      </c>
      <c r="BP20" s="59">
        <v>27.38</v>
      </c>
      <c r="BQ20" s="59">
        <v>10.85</v>
      </c>
      <c r="BR20" s="59">
        <v>54.9</v>
      </c>
      <c r="BS20" s="59">
        <v>0.68</v>
      </c>
      <c r="BT20" s="58">
        <f t="shared" si="23"/>
        <v>358.13</v>
      </c>
      <c r="BU20" s="59">
        <v>1.73</v>
      </c>
      <c r="BV20" s="59">
        <v>0</v>
      </c>
      <c r="BW20" s="59">
        <v>32.090000000000003</v>
      </c>
      <c r="BX20" s="59">
        <v>322.7</v>
      </c>
      <c r="BY20" s="59">
        <v>1.6</v>
      </c>
      <c r="BZ20" s="59">
        <v>0</v>
      </c>
      <c r="CA20" s="59">
        <v>0.01</v>
      </c>
      <c r="CB20" s="58">
        <f t="shared" si="24"/>
        <v>2687.86</v>
      </c>
      <c r="CC20" s="59">
        <v>0</v>
      </c>
      <c r="CD20" s="59">
        <v>2443.38</v>
      </c>
      <c r="CE20" s="74">
        <v>244.48</v>
      </c>
    </row>
    <row r="21" spans="1:83" x14ac:dyDescent="0.35">
      <c r="A21" s="50" t="s">
        <v>186</v>
      </c>
      <c r="B21" s="58">
        <f t="shared" si="13"/>
        <v>45681.59</v>
      </c>
      <c r="C21" s="58">
        <f t="shared" si="0"/>
        <v>741.28000000000009</v>
      </c>
      <c r="D21" s="58">
        <f t="shared" si="1"/>
        <v>373.89</v>
      </c>
      <c r="E21" s="58">
        <f t="shared" si="14"/>
        <v>19144.88</v>
      </c>
      <c r="F21" s="58">
        <f t="shared" si="2"/>
        <v>17231.289999999997</v>
      </c>
      <c r="G21" s="58">
        <f t="shared" si="3"/>
        <v>189.04999999999998</v>
      </c>
      <c r="H21" s="58">
        <f t="shared" si="4"/>
        <v>7331.1999999999989</v>
      </c>
      <c r="I21" s="58">
        <f t="shared" si="5"/>
        <v>670</v>
      </c>
      <c r="J21" s="58">
        <f t="shared" si="15"/>
        <v>527.53</v>
      </c>
      <c r="K21" s="59">
        <v>0</v>
      </c>
      <c r="L21" s="59">
        <v>215.11</v>
      </c>
      <c r="M21" s="59">
        <v>22.19</v>
      </c>
      <c r="N21" s="59">
        <v>176.17</v>
      </c>
      <c r="O21" s="59">
        <v>0</v>
      </c>
      <c r="P21" s="59">
        <v>114.06</v>
      </c>
      <c r="Q21" s="59">
        <v>0</v>
      </c>
      <c r="R21" s="58">
        <f t="shared" si="16"/>
        <v>7992.2300000000005</v>
      </c>
      <c r="S21" s="59">
        <v>390.22</v>
      </c>
      <c r="T21" s="59">
        <v>78.28</v>
      </c>
      <c r="U21" s="59">
        <v>1546.87</v>
      </c>
      <c r="V21" s="59">
        <v>3475.36</v>
      </c>
      <c r="W21" s="59">
        <v>60.75</v>
      </c>
      <c r="X21" s="59">
        <v>2190.44</v>
      </c>
      <c r="Y21" s="59">
        <v>250.31</v>
      </c>
      <c r="Z21" s="58">
        <f t="shared" si="17"/>
        <v>13599.47</v>
      </c>
      <c r="AA21" s="59">
        <v>0</v>
      </c>
      <c r="AB21" s="59">
        <v>13411.24</v>
      </c>
      <c r="AC21" s="59">
        <v>0</v>
      </c>
      <c r="AD21" s="59">
        <v>0</v>
      </c>
      <c r="AE21" s="59">
        <v>188.23</v>
      </c>
      <c r="AF21" s="58">
        <f t="shared" si="18"/>
        <v>14696.56</v>
      </c>
      <c r="AG21" s="59">
        <v>339.45</v>
      </c>
      <c r="AH21" s="59">
        <v>80.5</v>
      </c>
      <c r="AI21" s="59">
        <v>1152.71</v>
      </c>
      <c r="AJ21" s="59">
        <v>10326.469999999999</v>
      </c>
      <c r="AK21" s="59">
        <v>76.099999999999994</v>
      </c>
      <c r="AL21" s="59">
        <v>2711.24</v>
      </c>
      <c r="AM21" s="59">
        <v>10.09</v>
      </c>
      <c r="AN21" s="58">
        <f t="shared" si="19"/>
        <v>6266.1900000000005</v>
      </c>
      <c r="AO21" s="58">
        <f t="shared" si="6"/>
        <v>11.61</v>
      </c>
      <c r="AP21" s="58">
        <f t="shared" si="7"/>
        <v>0</v>
      </c>
      <c r="AQ21" s="58">
        <f t="shared" si="8"/>
        <v>656.74000000000012</v>
      </c>
      <c r="AR21" s="58">
        <f t="shared" si="9"/>
        <v>3008.8099999999995</v>
      </c>
      <c r="AS21" s="58">
        <f t="shared" si="10"/>
        <v>52.199999999999996</v>
      </c>
      <c r="AT21" s="58">
        <f t="shared" si="11"/>
        <v>2127.23</v>
      </c>
      <c r="AU21" s="58">
        <f t="shared" si="12"/>
        <v>409.59999999999997</v>
      </c>
      <c r="AV21" s="58">
        <f t="shared" si="20"/>
        <v>2363.0699999999997</v>
      </c>
      <c r="AW21" s="59">
        <v>8.14</v>
      </c>
      <c r="AX21" s="59">
        <v>0</v>
      </c>
      <c r="AY21" s="59">
        <v>238.23</v>
      </c>
      <c r="AZ21" s="59">
        <v>1229.79</v>
      </c>
      <c r="BA21" s="59">
        <v>27.14</v>
      </c>
      <c r="BB21" s="59">
        <v>452.51</v>
      </c>
      <c r="BC21" s="59">
        <v>407.26</v>
      </c>
      <c r="BD21" s="58">
        <f t="shared" si="21"/>
        <v>2793.2</v>
      </c>
      <c r="BE21" s="59">
        <v>0.87</v>
      </c>
      <c r="BF21" s="59">
        <v>0</v>
      </c>
      <c r="BG21" s="59">
        <v>229.13</v>
      </c>
      <c r="BH21" s="59">
        <v>986.83</v>
      </c>
      <c r="BI21" s="59">
        <v>0</v>
      </c>
      <c r="BJ21" s="59">
        <v>1576.37</v>
      </c>
      <c r="BK21" s="59">
        <v>0</v>
      </c>
      <c r="BL21" s="58">
        <f t="shared" si="22"/>
        <v>343.86999999999995</v>
      </c>
      <c r="BM21" s="59">
        <v>0.87</v>
      </c>
      <c r="BN21" s="59">
        <v>0</v>
      </c>
      <c r="BO21" s="59">
        <v>158.56</v>
      </c>
      <c r="BP21" s="59">
        <v>61.95</v>
      </c>
      <c r="BQ21" s="59">
        <v>21.83</v>
      </c>
      <c r="BR21" s="59">
        <v>98.35</v>
      </c>
      <c r="BS21" s="59">
        <v>2.31</v>
      </c>
      <c r="BT21" s="58">
        <f t="shared" si="23"/>
        <v>766.05</v>
      </c>
      <c r="BU21" s="59">
        <v>1.73</v>
      </c>
      <c r="BV21" s="59">
        <v>0</v>
      </c>
      <c r="BW21" s="59">
        <v>30.82</v>
      </c>
      <c r="BX21" s="59">
        <v>730.24</v>
      </c>
      <c r="BY21" s="59">
        <v>3.23</v>
      </c>
      <c r="BZ21" s="59">
        <v>0</v>
      </c>
      <c r="CA21" s="59">
        <v>0.03</v>
      </c>
      <c r="CB21" s="58">
        <f t="shared" si="24"/>
        <v>2599.61</v>
      </c>
      <c r="CC21" s="59">
        <v>0</v>
      </c>
      <c r="CD21" s="59">
        <v>2355.13</v>
      </c>
      <c r="CE21" s="74">
        <v>244.48</v>
      </c>
    </row>
    <row r="22" spans="1:83" x14ac:dyDescent="0.35">
      <c r="A22" s="50" t="s">
        <v>187</v>
      </c>
      <c r="B22" s="58">
        <f t="shared" si="13"/>
        <v>49920.87000000001</v>
      </c>
      <c r="C22" s="58">
        <f t="shared" si="0"/>
        <v>514</v>
      </c>
      <c r="D22" s="58">
        <f t="shared" si="1"/>
        <v>400.58</v>
      </c>
      <c r="E22" s="58">
        <f t="shared" si="14"/>
        <v>19553.239999999998</v>
      </c>
      <c r="F22" s="58">
        <f t="shared" si="2"/>
        <v>20654.560000000001</v>
      </c>
      <c r="G22" s="58">
        <f t="shared" si="3"/>
        <v>231.53</v>
      </c>
      <c r="H22" s="58">
        <f t="shared" si="4"/>
        <v>7934.66</v>
      </c>
      <c r="I22" s="58">
        <f t="shared" si="5"/>
        <v>632.29999999999995</v>
      </c>
      <c r="J22" s="58">
        <f t="shared" si="15"/>
        <v>545.36</v>
      </c>
      <c r="K22" s="59">
        <v>0</v>
      </c>
      <c r="L22" s="59">
        <v>191.31</v>
      </c>
      <c r="M22" s="59">
        <v>38.65</v>
      </c>
      <c r="N22" s="59">
        <v>205.68</v>
      </c>
      <c r="O22" s="59">
        <v>0</v>
      </c>
      <c r="P22" s="59">
        <v>109.72</v>
      </c>
      <c r="Q22" s="59">
        <v>0</v>
      </c>
      <c r="R22" s="58">
        <f t="shared" si="16"/>
        <v>9288.86</v>
      </c>
      <c r="S22" s="59">
        <v>210.65</v>
      </c>
      <c r="T22" s="59">
        <v>100.57</v>
      </c>
      <c r="U22" s="59">
        <v>1826.41</v>
      </c>
      <c r="V22" s="59">
        <v>4325.05</v>
      </c>
      <c r="W22" s="59">
        <v>74.680000000000007</v>
      </c>
      <c r="X22" s="59">
        <v>2421.34</v>
      </c>
      <c r="Y22" s="59">
        <v>330.16</v>
      </c>
      <c r="Z22" s="58">
        <f t="shared" si="17"/>
        <v>13675.84</v>
      </c>
      <c r="AA22" s="59">
        <v>0</v>
      </c>
      <c r="AB22" s="59">
        <v>13490.2</v>
      </c>
      <c r="AC22" s="59">
        <v>0</v>
      </c>
      <c r="AD22" s="59">
        <v>0</v>
      </c>
      <c r="AE22" s="59">
        <v>185.64</v>
      </c>
      <c r="AF22" s="58">
        <f t="shared" si="18"/>
        <v>17526.419999999998</v>
      </c>
      <c r="AG22" s="59">
        <v>299.8</v>
      </c>
      <c r="AH22" s="59">
        <v>108.7</v>
      </c>
      <c r="AI22" s="59">
        <v>1173.31</v>
      </c>
      <c r="AJ22" s="59">
        <v>12810.65</v>
      </c>
      <c r="AK22" s="59">
        <v>93.94</v>
      </c>
      <c r="AL22" s="59">
        <v>3026.88</v>
      </c>
      <c r="AM22" s="59">
        <v>13.14</v>
      </c>
      <c r="AN22" s="58">
        <f t="shared" si="19"/>
        <v>6085.92</v>
      </c>
      <c r="AO22" s="58">
        <f t="shared" si="6"/>
        <v>3.5500000000000003</v>
      </c>
      <c r="AP22" s="58">
        <f t="shared" si="7"/>
        <v>0</v>
      </c>
      <c r="AQ22" s="58">
        <f t="shared" si="8"/>
        <v>457.92999999999995</v>
      </c>
      <c r="AR22" s="58">
        <f t="shared" si="9"/>
        <v>3081.45</v>
      </c>
      <c r="AS22" s="58">
        <f t="shared" si="10"/>
        <v>62.91</v>
      </c>
      <c r="AT22" s="58">
        <f t="shared" si="11"/>
        <v>2191.08</v>
      </c>
      <c r="AU22" s="58">
        <f t="shared" si="12"/>
        <v>289</v>
      </c>
      <c r="AV22" s="58">
        <f t="shared" si="20"/>
        <v>2258.2299999999996</v>
      </c>
      <c r="AW22" s="59">
        <v>1.24</v>
      </c>
      <c r="AX22" s="59">
        <v>0</v>
      </c>
      <c r="AY22" s="59">
        <v>186.82</v>
      </c>
      <c r="AZ22" s="59">
        <v>1314.02</v>
      </c>
      <c r="BA22" s="59">
        <v>32.36</v>
      </c>
      <c r="BB22" s="59">
        <v>434.81</v>
      </c>
      <c r="BC22" s="59">
        <v>288.98</v>
      </c>
      <c r="BD22" s="58">
        <f t="shared" si="21"/>
        <v>2804.03</v>
      </c>
      <c r="BE22" s="59">
        <v>0.9</v>
      </c>
      <c r="BF22" s="59">
        <v>0</v>
      </c>
      <c r="BG22" s="59">
        <v>96.56</v>
      </c>
      <c r="BH22" s="59">
        <v>1107</v>
      </c>
      <c r="BI22" s="59">
        <v>6.44</v>
      </c>
      <c r="BJ22" s="59">
        <v>1593.13</v>
      </c>
      <c r="BK22" s="59">
        <v>0</v>
      </c>
      <c r="BL22" s="58">
        <f t="shared" si="22"/>
        <v>411.89</v>
      </c>
      <c r="BM22" s="59">
        <v>1.05</v>
      </c>
      <c r="BN22" s="59">
        <v>0</v>
      </c>
      <c r="BO22" s="59">
        <v>151.91</v>
      </c>
      <c r="BP22" s="59">
        <v>71.680000000000007</v>
      </c>
      <c r="BQ22" s="59">
        <v>24.11</v>
      </c>
      <c r="BR22" s="59">
        <v>163.13999999999999</v>
      </c>
      <c r="BS22" s="59">
        <v>0</v>
      </c>
      <c r="BT22" s="58">
        <f t="shared" si="23"/>
        <v>611.77</v>
      </c>
      <c r="BU22" s="59">
        <v>0.36</v>
      </c>
      <c r="BV22" s="59">
        <v>0</v>
      </c>
      <c r="BW22" s="59">
        <v>22.64</v>
      </c>
      <c r="BX22" s="59">
        <v>588.75</v>
      </c>
      <c r="BY22" s="59">
        <v>0</v>
      </c>
      <c r="BZ22" s="59">
        <v>0</v>
      </c>
      <c r="CA22" s="59">
        <v>0.02</v>
      </c>
      <c r="CB22" s="58">
        <f t="shared" si="24"/>
        <v>2798.47</v>
      </c>
      <c r="CC22" s="59">
        <v>0</v>
      </c>
      <c r="CD22" s="59">
        <v>2566.7399999999998</v>
      </c>
      <c r="CE22" s="74">
        <v>231.73</v>
      </c>
    </row>
    <row r="23" spans="1:83" x14ac:dyDescent="0.35">
      <c r="A23" s="50" t="s">
        <v>188</v>
      </c>
      <c r="B23" s="58">
        <f t="shared" si="13"/>
        <v>37083.78</v>
      </c>
      <c r="C23" s="58">
        <f t="shared" si="0"/>
        <v>497.13</v>
      </c>
      <c r="D23" s="58">
        <f t="shared" si="1"/>
        <v>363.37</v>
      </c>
      <c r="E23" s="58">
        <f t="shared" si="14"/>
        <v>17951.780000000002</v>
      </c>
      <c r="F23" s="58">
        <f t="shared" si="2"/>
        <v>10965.24</v>
      </c>
      <c r="G23" s="58">
        <f t="shared" si="3"/>
        <v>140.17000000000002</v>
      </c>
      <c r="H23" s="58">
        <f t="shared" si="4"/>
        <v>6701.34</v>
      </c>
      <c r="I23" s="58">
        <f t="shared" si="5"/>
        <v>464.75</v>
      </c>
      <c r="J23" s="58">
        <f t="shared" si="15"/>
        <v>517.01</v>
      </c>
      <c r="K23" s="59">
        <v>0</v>
      </c>
      <c r="L23" s="59">
        <v>190.87</v>
      </c>
      <c r="M23" s="59">
        <v>16.52</v>
      </c>
      <c r="N23" s="59">
        <v>201.56</v>
      </c>
      <c r="O23" s="59">
        <v>0</v>
      </c>
      <c r="P23" s="59">
        <v>108.06</v>
      </c>
      <c r="Q23" s="59">
        <v>0</v>
      </c>
      <c r="R23" s="58">
        <f t="shared" si="16"/>
        <v>7102.6</v>
      </c>
      <c r="S23" s="59">
        <v>257.82</v>
      </c>
      <c r="T23" s="59">
        <v>78.010000000000005</v>
      </c>
      <c r="U23" s="59">
        <v>1229.58</v>
      </c>
      <c r="V23" s="59">
        <v>2928.09</v>
      </c>
      <c r="W23" s="59">
        <v>59.17</v>
      </c>
      <c r="X23" s="59">
        <v>2219.77</v>
      </c>
      <c r="Y23" s="59">
        <v>330.16</v>
      </c>
      <c r="Z23" s="58">
        <f t="shared" si="17"/>
        <v>13808.81</v>
      </c>
      <c r="AA23" s="59">
        <v>0</v>
      </c>
      <c r="AB23" s="59">
        <v>13622.98</v>
      </c>
      <c r="AC23" s="59">
        <v>0</v>
      </c>
      <c r="AD23" s="59">
        <v>0</v>
      </c>
      <c r="AE23" s="59">
        <v>185.83</v>
      </c>
      <c r="AF23" s="58">
        <f t="shared" si="18"/>
        <v>8748.5400000000009</v>
      </c>
      <c r="AG23" s="59">
        <v>236.69</v>
      </c>
      <c r="AH23" s="59">
        <v>94.49</v>
      </c>
      <c r="AI23" s="59">
        <v>400.78</v>
      </c>
      <c r="AJ23" s="59">
        <v>5706.87</v>
      </c>
      <c r="AK23" s="59">
        <v>43.67</v>
      </c>
      <c r="AL23" s="59">
        <v>2260.19</v>
      </c>
      <c r="AM23" s="59">
        <v>5.85</v>
      </c>
      <c r="AN23" s="58">
        <f t="shared" si="19"/>
        <v>4452.7699999999995</v>
      </c>
      <c r="AO23" s="58">
        <f t="shared" si="6"/>
        <v>2.6199999999999997</v>
      </c>
      <c r="AP23" s="58">
        <f t="shared" si="7"/>
        <v>0</v>
      </c>
      <c r="AQ23" s="58">
        <f t="shared" si="8"/>
        <v>459.6</v>
      </c>
      <c r="AR23" s="58">
        <f t="shared" si="9"/>
        <v>1896.9900000000002</v>
      </c>
      <c r="AS23" s="58">
        <f t="shared" si="10"/>
        <v>37.33</v>
      </c>
      <c r="AT23" s="58">
        <f t="shared" si="11"/>
        <v>1927.49</v>
      </c>
      <c r="AU23" s="58">
        <f t="shared" si="12"/>
        <v>128.73999999999998</v>
      </c>
      <c r="AV23" s="58">
        <f t="shared" si="20"/>
        <v>1588.55</v>
      </c>
      <c r="AW23" s="59">
        <v>0.31</v>
      </c>
      <c r="AX23" s="59">
        <v>0</v>
      </c>
      <c r="AY23" s="59">
        <v>193.59</v>
      </c>
      <c r="AZ23" s="59">
        <v>808.93</v>
      </c>
      <c r="BA23" s="59">
        <v>19.2</v>
      </c>
      <c r="BB23" s="59">
        <v>437.79</v>
      </c>
      <c r="BC23" s="59">
        <v>128.72999999999999</v>
      </c>
      <c r="BD23" s="58">
        <f t="shared" si="21"/>
        <v>2210.17</v>
      </c>
      <c r="BE23" s="59">
        <v>0.9</v>
      </c>
      <c r="BF23" s="59">
        <v>0</v>
      </c>
      <c r="BG23" s="59">
        <v>100</v>
      </c>
      <c r="BH23" s="59">
        <v>681.49</v>
      </c>
      <c r="BI23" s="59">
        <v>3.82</v>
      </c>
      <c r="BJ23" s="59">
        <v>1423.96</v>
      </c>
      <c r="BK23" s="59">
        <v>0</v>
      </c>
      <c r="BL23" s="58">
        <f t="shared" si="22"/>
        <v>263.92</v>
      </c>
      <c r="BM23" s="59">
        <v>1.05</v>
      </c>
      <c r="BN23" s="59">
        <v>0</v>
      </c>
      <c r="BO23" s="59">
        <v>138.69</v>
      </c>
      <c r="BP23" s="59">
        <v>44.13</v>
      </c>
      <c r="BQ23" s="59">
        <v>14.31</v>
      </c>
      <c r="BR23" s="59">
        <v>65.739999999999995</v>
      </c>
      <c r="BS23" s="59">
        <v>0</v>
      </c>
      <c r="BT23" s="58">
        <f t="shared" si="23"/>
        <v>390.13</v>
      </c>
      <c r="BU23" s="59">
        <v>0.36</v>
      </c>
      <c r="BV23" s="59">
        <v>0</v>
      </c>
      <c r="BW23" s="59">
        <v>27.32</v>
      </c>
      <c r="BX23" s="59">
        <v>362.44</v>
      </c>
      <c r="BY23" s="59">
        <v>0</v>
      </c>
      <c r="BZ23" s="59">
        <v>0</v>
      </c>
      <c r="CA23" s="59">
        <v>0.01</v>
      </c>
      <c r="CB23" s="58">
        <f t="shared" si="24"/>
        <v>2454.0500000000002</v>
      </c>
      <c r="CC23" s="59">
        <v>0</v>
      </c>
      <c r="CD23" s="59">
        <v>2222.3200000000002</v>
      </c>
      <c r="CE23" s="74">
        <v>231.73</v>
      </c>
    </row>
    <row r="24" spans="1:83" x14ac:dyDescent="0.35">
      <c r="A24" s="50" t="s">
        <v>189</v>
      </c>
      <c r="B24" s="58">
        <f t="shared" si="13"/>
        <v>34143.329999999994</v>
      </c>
      <c r="C24" s="58">
        <f t="shared" si="0"/>
        <v>444.07000000000005</v>
      </c>
      <c r="D24" s="58">
        <f t="shared" si="1"/>
        <v>348.64</v>
      </c>
      <c r="E24" s="58">
        <f t="shared" si="14"/>
        <v>19499.5</v>
      </c>
      <c r="F24" s="58">
        <f t="shared" si="2"/>
        <v>6907.7999999999993</v>
      </c>
      <c r="G24" s="58">
        <f t="shared" si="3"/>
        <v>99.77000000000001</v>
      </c>
      <c r="H24" s="58">
        <f t="shared" si="4"/>
        <v>6446.99</v>
      </c>
      <c r="I24" s="58">
        <f t="shared" si="5"/>
        <v>396.56</v>
      </c>
      <c r="J24" s="58">
        <f t="shared" si="15"/>
        <v>462.81999999999994</v>
      </c>
      <c r="K24" s="59">
        <v>0</v>
      </c>
      <c r="L24" s="59">
        <v>176.89</v>
      </c>
      <c r="M24" s="59">
        <v>9.67</v>
      </c>
      <c r="N24" s="59">
        <v>166.26</v>
      </c>
      <c r="O24" s="59">
        <v>0</v>
      </c>
      <c r="P24" s="59">
        <v>110</v>
      </c>
      <c r="Q24" s="59">
        <v>0</v>
      </c>
      <c r="R24" s="58">
        <f t="shared" si="16"/>
        <v>6717</v>
      </c>
      <c r="S24" s="59">
        <v>225.58</v>
      </c>
      <c r="T24" s="59">
        <v>86.43</v>
      </c>
      <c r="U24" s="59">
        <v>1430.43</v>
      </c>
      <c r="V24" s="59">
        <v>2466.5</v>
      </c>
      <c r="W24" s="59">
        <v>50.55</v>
      </c>
      <c r="X24" s="59">
        <v>2127.35</v>
      </c>
      <c r="Y24" s="59">
        <v>330.16</v>
      </c>
      <c r="Z24" s="58">
        <f t="shared" si="17"/>
        <v>14371.039999999999</v>
      </c>
      <c r="AA24" s="59">
        <v>0</v>
      </c>
      <c r="AB24" s="59">
        <v>14190.71</v>
      </c>
      <c r="AC24" s="59">
        <v>0</v>
      </c>
      <c r="AD24" s="59">
        <v>0</v>
      </c>
      <c r="AE24" s="59">
        <v>180.33</v>
      </c>
      <c r="AF24" s="58">
        <f t="shared" si="18"/>
        <v>5793.41</v>
      </c>
      <c r="AG24" s="59">
        <v>215.87</v>
      </c>
      <c r="AH24" s="59">
        <v>85.32</v>
      </c>
      <c r="AI24" s="59">
        <v>551.38</v>
      </c>
      <c r="AJ24" s="59">
        <v>2815.45</v>
      </c>
      <c r="AK24" s="59">
        <v>24.79</v>
      </c>
      <c r="AL24" s="59">
        <v>2097.71</v>
      </c>
      <c r="AM24" s="59">
        <v>2.89</v>
      </c>
      <c r="AN24" s="58">
        <f t="shared" si="19"/>
        <v>3678.6100000000006</v>
      </c>
      <c r="AO24" s="58">
        <f t="shared" si="6"/>
        <v>2.6199999999999997</v>
      </c>
      <c r="AP24" s="58">
        <f t="shared" si="7"/>
        <v>0</v>
      </c>
      <c r="AQ24" s="58">
        <f t="shared" si="8"/>
        <v>428.59</v>
      </c>
      <c r="AR24" s="58">
        <f t="shared" si="9"/>
        <v>1227.8600000000001</v>
      </c>
      <c r="AS24" s="58">
        <f t="shared" si="10"/>
        <v>24.43</v>
      </c>
      <c r="AT24" s="58">
        <f t="shared" si="11"/>
        <v>1931.6</v>
      </c>
      <c r="AU24" s="58">
        <f t="shared" si="12"/>
        <v>63.51</v>
      </c>
      <c r="AV24" s="58">
        <f t="shared" si="20"/>
        <v>1202.5700000000002</v>
      </c>
      <c r="AW24" s="59">
        <v>0.31</v>
      </c>
      <c r="AX24" s="59">
        <v>0</v>
      </c>
      <c r="AY24" s="59">
        <v>163.53</v>
      </c>
      <c r="AZ24" s="59">
        <v>523.59</v>
      </c>
      <c r="BA24" s="59">
        <v>12.57</v>
      </c>
      <c r="BB24" s="59">
        <v>439.06</v>
      </c>
      <c r="BC24" s="59">
        <v>63.51</v>
      </c>
      <c r="BD24" s="58">
        <f t="shared" si="21"/>
        <v>1979.6</v>
      </c>
      <c r="BE24" s="59">
        <v>0.9</v>
      </c>
      <c r="BF24" s="59">
        <v>0</v>
      </c>
      <c r="BG24" s="59">
        <v>98.35</v>
      </c>
      <c r="BH24" s="59">
        <v>441.1</v>
      </c>
      <c r="BI24" s="59">
        <v>2.5</v>
      </c>
      <c r="BJ24" s="59">
        <v>1436.75</v>
      </c>
      <c r="BK24" s="59">
        <v>0</v>
      </c>
      <c r="BL24" s="58">
        <f t="shared" si="22"/>
        <v>236.09</v>
      </c>
      <c r="BM24" s="59">
        <v>1.05</v>
      </c>
      <c r="BN24" s="59">
        <v>0</v>
      </c>
      <c r="BO24" s="59">
        <v>141.32</v>
      </c>
      <c r="BP24" s="59">
        <v>28.57</v>
      </c>
      <c r="BQ24" s="59">
        <v>9.36</v>
      </c>
      <c r="BR24" s="59">
        <v>55.79</v>
      </c>
      <c r="BS24" s="59">
        <v>0</v>
      </c>
      <c r="BT24" s="58">
        <f t="shared" si="23"/>
        <v>260.35000000000002</v>
      </c>
      <c r="BU24" s="59">
        <v>0.36</v>
      </c>
      <c r="BV24" s="59">
        <v>0</v>
      </c>
      <c r="BW24" s="59">
        <v>25.39</v>
      </c>
      <c r="BX24" s="59">
        <v>234.6</v>
      </c>
      <c r="BY24" s="59">
        <v>0</v>
      </c>
      <c r="BZ24" s="59">
        <v>0</v>
      </c>
      <c r="CA24" s="59">
        <v>0</v>
      </c>
      <c r="CB24" s="58">
        <f t="shared" si="24"/>
        <v>3120.45</v>
      </c>
      <c r="CC24" s="59">
        <v>0</v>
      </c>
      <c r="CD24" s="59">
        <v>2888.72</v>
      </c>
      <c r="CE24" s="74">
        <v>231.73</v>
      </c>
    </row>
    <row r="25" spans="1:83" x14ac:dyDescent="0.35">
      <c r="A25" s="50" t="s">
        <v>190</v>
      </c>
      <c r="B25" s="58">
        <f t="shared" si="13"/>
        <v>46871.86</v>
      </c>
      <c r="C25" s="58">
        <f t="shared" si="0"/>
        <v>754.04000000000008</v>
      </c>
      <c r="D25" s="58">
        <f t="shared" si="1"/>
        <v>388.28000000000003</v>
      </c>
      <c r="E25" s="58">
        <f t="shared" si="14"/>
        <v>19711.43</v>
      </c>
      <c r="F25" s="58">
        <f t="shared" si="2"/>
        <v>17633.3</v>
      </c>
      <c r="G25" s="58">
        <f t="shared" si="3"/>
        <v>210.17</v>
      </c>
      <c r="H25" s="58">
        <f t="shared" si="4"/>
        <v>7584.3600000000006</v>
      </c>
      <c r="I25" s="58">
        <f t="shared" si="5"/>
        <v>590.28</v>
      </c>
      <c r="J25" s="58">
        <f t="shared" si="15"/>
        <v>486.19999999999993</v>
      </c>
      <c r="K25" s="59">
        <v>0</v>
      </c>
      <c r="L25" s="59">
        <v>176.78</v>
      </c>
      <c r="M25" s="59">
        <v>17</v>
      </c>
      <c r="N25" s="59">
        <v>182.39</v>
      </c>
      <c r="O25" s="59">
        <v>0</v>
      </c>
      <c r="P25" s="59">
        <v>110.03</v>
      </c>
      <c r="Q25" s="59">
        <v>0</v>
      </c>
      <c r="R25" s="58">
        <f t="shared" si="16"/>
        <v>8644.0400000000009</v>
      </c>
      <c r="S25" s="59">
        <v>491.63</v>
      </c>
      <c r="T25" s="59">
        <v>84.01</v>
      </c>
      <c r="U25" s="59">
        <v>1680</v>
      </c>
      <c r="V25" s="59">
        <v>3726.15</v>
      </c>
      <c r="W25" s="59">
        <v>65.63</v>
      </c>
      <c r="X25" s="59">
        <v>2266.46</v>
      </c>
      <c r="Y25" s="59">
        <v>330.16</v>
      </c>
      <c r="Z25" s="58">
        <f t="shared" si="17"/>
        <v>13829.14</v>
      </c>
      <c r="AA25" s="59">
        <v>0</v>
      </c>
      <c r="AB25" s="59">
        <v>13654.01</v>
      </c>
      <c r="AC25" s="59">
        <v>0</v>
      </c>
      <c r="AD25" s="59">
        <v>0</v>
      </c>
      <c r="AE25" s="59">
        <v>175.13</v>
      </c>
      <c r="AF25" s="58">
        <f t="shared" si="18"/>
        <v>15402.250000000002</v>
      </c>
      <c r="AG25" s="59">
        <v>256.72000000000003</v>
      </c>
      <c r="AH25" s="59">
        <v>127.49</v>
      </c>
      <c r="AI25" s="59">
        <v>961.98</v>
      </c>
      <c r="AJ25" s="59">
        <v>11029.2</v>
      </c>
      <c r="AK25" s="59">
        <v>80.95</v>
      </c>
      <c r="AL25" s="59">
        <v>2934.6</v>
      </c>
      <c r="AM25" s="59">
        <v>11.31</v>
      </c>
      <c r="AN25" s="58">
        <f t="shared" si="19"/>
        <v>5339.04</v>
      </c>
      <c r="AO25" s="58">
        <f t="shared" si="6"/>
        <v>5.69</v>
      </c>
      <c r="AP25" s="58">
        <f t="shared" si="7"/>
        <v>0</v>
      </c>
      <c r="AQ25" s="58">
        <f t="shared" si="8"/>
        <v>458.98</v>
      </c>
      <c r="AR25" s="58">
        <f t="shared" si="9"/>
        <v>2463.83</v>
      </c>
      <c r="AS25" s="58">
        <f t="shared" si="10"/>
        <v>63.59</v>
      </c>
      <c r="AT25" s="58">
        <f t="shared" si="11"/>
        <v>2098.14</v>
      </c>
      <c r="AU25" s="58">
        <f t="shared" si="12"/>
        <v>248.81</v>
      </c>
      <c r="AV25" s="58">
        <f t="shared" si="20"/>
        <v>1973.0300000000002</v>
      </c>
      <c r="AW25" s="59">
        <v>3.38</v>
      </c>
      <c r="AX25" s="59">
        <v>0</v>
      </c>
      <c r="AY25" s="59">
        <v>198.78</v>
      </c>
      <c r="AZ25" s="59">
        <v>1050.6500000000001</v>
      </c>
      <c r="BA25" s="59">
        <v>32.71</v>
      </c>
      <c r="BB25" s="59">
        <v>438.72</v>
      </c>
      <c r="BC25" s="59">
        <v>248.79</v>
      </c>
      <c r="BD25" s="58">
        <f t="shared" si="21"/>
        <v>2589.58</v>
      </c>
      <c r="BE25" s="59">
        <v>0.9</v>
      </c>
      <c r="BF25" s="59">
        <v>0</v>
      </c>
      <c r="BG25" s="59">
        <v>100.74</v>
      </c>
      <c r="BH25" s="59">
        <v>885.12</v>
      </c>
      <c r="BI25" s="59">
        <v>6.51</v>
      </c>
      <c r="BJ25" s="59">
        <v>1596.31</v>
      </c>
      <c r="BK25" s="59">
        <v>0</v>
      </c>
      <c r="BL25" s="58">
        <f t="shared" si="22"/>
        <v>276.94</v>
      </c>
      <c r="BM25" s="59">
        <v>1.05</v>
      </c>
      <c r="BN25" s="59">
        <v>0</v>
      </c>
      <c r="BO25" s="59">
        <v>131.09</v>
      </c>
      <c r="BP25" s="59">
        <v>57.32</v>
      </c>
      <c r="BQ25" s="59">
        <v>24.37</v>
      </c>
      <c r="BR25" s="59">
        <v>63.11</v>
      </c>
      <c r="BS25" s="59">
        <v>0</v>
      </c>
      <c r="BT25" s="58">
        <f t="shared" si="23"/>
        <v>499.49</v>
      </c>
      <c r="BU25" s="59">
        <v>0.36</v>
      </c>
      <c r="BV25" s="59">
        <v>0</v>
      </c>
      <c r="BW25" s="59">
        <v>28.37</v>
      </c>
      <c r="BX25" s="59">
        <v>470.74</v>
      </c>
      <c r="BY25" s="59">
        <v>0</v>
      </c>
      <c r="BZ25" s="59">
        <v>0</v>
      </c>
      <c r="CA25" s="59">
        <v>0.02</v>
      </c>
      <c r="CB25" s="58">
        <f t="shared" si="24"/>
        <v>3171.19</v>
      </c>
      <c r="CC25" s="59">
        <v>0</v>
      </c>
      <c r="CD25" s="59">
        <v>2939.46</v>
      </c>
      <c r="CE25" s="74">
        <v>231.73</v>
      </c>
    </row>
    <row r="26" spans="1:83" x14ac:dyDescent="0.35">
      <c r="A26" s="50" t="s">
        <v>191</v>
      </c>
      <c r="B26" s="58">
        <f t="shared" si="13"/>
        <v>50886.349999999991</v>
      </c>
      <c r="C26" s="58">
        <f t="shared" si="0"/>
        <v>571.53</v>
      </c>
      <c r="D26" s="58">
        <f t="shared" si="1"/>
        <v>334.91</v>
      </c>
      <c r="E26" s="58">
        <f t="shared" si="14"/>
        <v>19916.32</v>
      </c>
      <c r="F26" s="58">
        <f t="shared" si="2"/>
        <v>21403.279999999999</v>
      </c>
      <c r="G26" s="58">
        <f t="shared" si="3"/>
        <v>263.63</v>
      </c>
      <c r="H26" s="58">
        <f t="shared" si="4"/>
        <v>7845.82</v>
      </c>
      <c r="I26" s="58">
        <f t="shared" si="5"/>
        <v>550.86</v>
      </c>
      <c r="J26" s="58">
        <f t="shared" si="15"/>
        <v>505.48</v>
      </c>
      <c r="K26" s="59">
        <v>0</v>
      </c>
      <c r="L26" s="59">
        <v>148.65</v>
      </c>
      <c r="M26" s="59">
        <v>8.16</v>
      </c>
      <c r="N26" s="59">
        <v>230.3</v>
      </c>
      <c r="O26" s="59">
        <v>0</v>
      </c>
      <c r="P26" s="59">
        <v>118.37</v>
      </c>
      <c r="Q26" s="59">
        <v>0</v>
      </c>
      <c r="R26" s="58">
        <f t="shared" si="16"/>
        <v>9343.69</v>
      </c>
      <c r="S26" s="59">
        <v>327.33999999999997</v>
      </c>
      <c r="T26" s="59">
        <v>81.64</v>
      </c>
      <c r="U26" s="59">
        <v>1922.94</v>
      </c>
      <c r="V26" s="59">
        <v>4346.87</v>
      </c>
      <c r="W26" s="59">
        <v>93.22</v>
      </c>
      <c r="X26" s="59">
        <v>2289.6</v>
      </c>
      <c r="Y26" s="59">
        <v>282.08</v>
      </c>
      <c r="Z26" s="58">
        <f t="shared" si="17"/>
        <v>13395.75</v>
      </c>
      <c r="AA26" s="59">
        <v>0</v>
      </c>
      <c r="AB26" s="59">
        <v>13214.7</v>
      </c>
      <c r="AC26" s="59">
        <v>0</v>
      </c>
      <c r="AD26" s="59">
        <v>0</v>
      </c>
      <c r="AE26" s="59">
        <v>181.05</v>
      </c>
      <c r="AF26" s="58">
        <f t="shared" si="18"/>
        <v>18328.649999999998</v>
      </c>
      <c r="AG26" s="59">
        <v>239.85</v>
      </c>
      <c r="AH26" s="59">
        <v>104.62</v>
      </c>
      <c r="AI26" s="59">
        <v>1168.1300000000001</v>
      </c>
      <c r="AJ26" s="59">
        <v>13563.08</v>
      </c>
      <c r="AK26" s="59">
        <v>98.85</v>
      </c>
      <c r="AL26" s="59">
        <v>3149.7</v>
      </c>
      <c r="AM26" s="59">
        <v>4.42</v>
      </c>
      <c r="AN26" s="58">
        <f t="shared" si="19"/>
        <v>5809.4099999999989</v>
      </c>
      <c r="AO26" s="58">
        <f t="shared" si="6"/>
        <v>4.34</v>
      </c>
      <c r="AP26" s="58">
        <f t="shared" si="7"/>
        <v>0</v>
      </c>
      <c r="AQ26" s="58">
        <f t="shared" si="8"/>
        <v>314.42999999999995</v>
      </c>
      <c r="AR26" s="58">
        <f t="shared" si="9"/>
        <v>3047.62</v>
      </c>
      <c r="AS26" s="58">
        <f t="shared" si="10"/>
        <v>71.56</v>
      </c>
      <c r="AT26" s="58">
        <f t="shared" si="11"/>
        <v>2107.1</v>
      </c>
      <c r="AU26" s="58">
        <f t="shared" si="12"/>
        <v>264.36</v>
      </c>
      <c r="AV26" s="58">
        <f t="shared" si="20"/>
        <v>2114.16</v>
      </c>
      <c r="AW26" s="59">
        <v>1.93</v>
      </c>
      <c r="AX26" s="59">
        <v>0</v>
      </c>
      <c r="AY26" s="59">
        <v>111.4</v>
      </c>
      <c r="AZ26" s="59">
        <v>1266.7</v>
      </c>
      <c r="BA26" s="59">
        <v>38.11</v>
      </c>
      <c r="BB26" s="59">
        <v>440.05</v>
      </c>
      <c r="BC26" s="59">
        <v>255.97</v>
      </c>
      <c r="BD26" s="58">
        <f t="shared" si="21"/>
        <v>2782.6800000000003</v>
      </c>
      <c r="BE26" s="59">
        <v>0.88</v>
      </c>
      <c r="BF26" s="59">
        <v>0</v>
      </c>
      <c r="BG26" s="59">
        <v>82.6</v>
      </c>
      <c r="BH26" s="59">
        <v>1128.92</v>
      </c>
      <c r="BI26" s="59">
        <v>7.05</v>
      </c>
      <c r="BJ26" s="59">
        <v>1563.23</v>
      </c>
      <c r="BK26" s="59">
        <v>0</v>
      </c>
      <c r="BL26" s="58">
        <f t="shared" si="22"/>
        <v>292.81</v>
      </c>
      <c r="BM26" s="59">
        <v>1.08</v>
      </c>
      <c r="BN26" s="59">
        <v>0</v>
      </c>
      <c r="BO26" s="59">
        <v>95.15</v>
      </c>
      <c r="BP26" s="59">
        <v>66.36</v>
      </c>
      <c r="BQ26" s="59">
        <v>26.4</v>
      </c>
      <c r="BR26" s="59">
        <v>103.82</v>
      </c>
      <c r="BS26" s="59">
        <v>0</v>
      </c>
      <c r="BT26" s="58">
        <f t="shared" si="23"/>
        <v>619.76</v>
      </c>
      <c r="BU26" s="59">
        <v>0.45</v>
      </c>
      <c r="BV26" s="59">
        <v>0</v>
      </c>
      <c r="BW26" s="59">
        <v>25.28</v>
      </c>
      <c r="BX26" s="59">
        <v>585.64</v>
      </c>
      <c r="BY26" s="59">
        <v>0</v>
      </c>
      <c r="BZ26" s="59">
        <v>0</v>
      </c>
      <c r="CA26" s="59">
        <v>8.39</v>
      </c>
      <c r="CB26" s="58">
        <f t="shared" si="24"/>
        <v>3503.37</v>
      </c>
      <c r="CC26" s="59">
        <v>0</v>
      </c>
      <c r="CD26" s="59">
        <v>3287.96</v>
      </c>
      <c r="CE26" s="74">
        <v>215.41</v>
      </c>
    </row>
    <row r="27" spans="1:83" x14ac:dyDescent="0.35">
      <c r="A27" s="50" t="s">
        <v>192</v>
      </c>
      <c r="B27" s="58">
        <f t="shared" si="13"/>
        <v>37479.729999999996</v>
      </c>
      <c r="C27" s="58">
        <f t="shared" si="0"/>
        <v>511.97</v>
      </c>
      <c r="D27" s="58">
        <f t="shared" si="1"/>
        <v>284.01</v>
      </c>
      <c r="E27" s="58">
        <f t="shared" si="14"/>
        <v>18442.939999999999</v>
      </c>
      <c r="F27" s="58">
        <f t="shared" si="2"/>
        <v>10921.83</v>
      </c>
      <c r="G27" s="58">
        <f t="shared" si="3"/>
        <v>130.41999999999999</v>
      </c>
      <c r="H27" s="58">
        <f t="shared" si="4"/>
        <v>6799.7100000000009</v>
      </c>
      <c r="I27" s="58">
        <f t="shared" si="5"/>
        <v>388.84999999999997</v>
      </c>
      <c r="J27" s="58">
        <f t="shared" si="15"/>
        <v>491.49</v>
      </c>
      <c r="K27" s="59">
        <v>0</v>
      </c>
      <c r="L27" s="59">
        <v>146.12</v>
      </c>
      <c r="M27" s="59">
        <v>4.0599999999999996</v>
      </c>
      <c r="N27" s="59">
        <v>223.31</v>
      </c>
      <c r="O27" s="59">
        <v>0</v>
      </c>
      <c r="P27" s="59">
        <v>118</v>
      </c>
      <c r="Q27" s="59">
        <v>0</v>
      </c>
      <c r="R27" s="58">
        <f t="shared" si="16"/>
        <v>7510.7800000000007</v>
      </c>
      <c r="S27" s="59">
        <v>305.62</v>
      </c>
      <c r="T27" s="59">
        <v>62.9</v>
      </c>
      <c r="U27" s="59">
        <v>1406.33</v>
      </c>
      <c r="V27" s="59">
        <v>3158.09</v>
      </c>
      <c r="W27" s="59">
        <v>55.46</v>
      </c>
      <c r="X27" s="59">
        <v>2240.3000000000002</v>
      </c>
      <c r="Y27" s="59">
        <v>282.08</v>
      </c>
      <c r="Z27" s="58">
        <f t="shared" si="17"/>
        <v>14189.109999999999</v>
      </c>
      <c r="AA27" s="59">
        <v>0</v>
      </c>
      <c r="AB27" s="59">
        <v>14013.8</v>
      </c>
      <c r="AC27" s="59">
        <v>0</v>
      </c>
      <c r="AD27" s="59">
        <v>0</v>
      </c>
      <c r="AE27" s="59">
        <v>175.31</v>
      </c>
      <c r="AF27" s="58">
        <f t="shared" si="18"/>
        <v>8410.7300000000014</v>
      </c>
      <c r="AG27" s="59">
        <v>201.48</v>
      </c>
      <c r="AH27" s="59">
        <v>74.989999999999995</v>
      </c>
      <c r="AI27" s="59">
        <v>420.38</v>
      </c>
      <c r="AJ27" s="59">
        <v>5387.66</v>
      </c>
      <c r="AK27" s="59">
        <v>40.450000000000003</v>
      </c>
      <c r="AL27" s="59">
        <v>2284.0100000000002</v>
      </c>
      <c r="AM27" s="59">
        <v>1.76</v>
      </c>
      <c r="AN27" s="58">
        <f t="shared" si="19"/>
        <v>4329.41</v>
      </c>
      <c r="AO27" s="58">
        <f t="shared" si="6"/>
        <v>4.87</v>
      </c>
      <c r="AP27" s="58">
        <f t="shared" si="7"/>
        <v>0</v>
      </c>
      <c r="AQ27" s="58">
        <f t="shared" si="8"/>
        <v>265.57</v>
      </c>
      <c r="AR27" s="58">
        <f t="shared" si="9"/>
        <v>1937.36</v>
      </c>
      <c r="AS27" s="58">
        <f t="shared" si="10"/>
        <v>34.51</v>
      </c>
      <c r="AT27" s="58">
        <f t="shared" si="11"/>
        <v>1982.0900000000001</v>
      </c>
      <c r="AU27" s="58">
        <f t="shared" si="12"/>
        <v>105.01</v>
      </c>
      <c r="AV27" s="58">
        <f t="shared" si="20"/>
        <v>1457.84</v>
      </c>
      <c r="AW27" s="59">
        <v>2.46</v>
      </c>
      <c r="AX27" s="59">
        <v>0</v>
      </c>
      <c r="AY27" s="59">
        <v>92.6</v>
      </c>
      <c r="AZ27" s="59">
        <v>805.24</v>
      </c>
      <c r="BA27" s="59">
        <v>18.38</v>
      </c>
      <c r="BB27" s="59">
        <v>437.48</v>
      </c>
      <c r="BC27" s="59">
        <v>101.68</v>
      </c>
      <c r="BD27" s="58">
        <f t="shared" si="21"/>
        <v>2261.25</v>
      </c>
      <c r="BE27" s="59">
        <v>0.88</v>
      </c>
      <c r="BF27" s="59">
        <v>0</v>
      </c>
      <c r="BG27" s="59">
        <v>77.180000000000007</v>
      </c>
      <c r="BH27" s="59">
        <v>717.65</v>
      </c>
      <c r="BI27" s="59">
        <v>3.4</v>
      </c>
      <c r="BJ27" s="59">
        <v>1462.14</v>
      </c>
      <c r="BK27" s="59">
        <v>0</v>
      </c>
      <c r="BL27" s="58">
        <f t="shared" si="22"/>
        <v>210.77999999999997</v>
      </c>
      <c r="BM27" s="59">
        <v>1.08</v>
      </c>
      <c r="BN27" s="59">
        <v>0</v>
      </c>
      <c r="BO27" s="59">
        <v>72.319999999999993</v>
      </c>
      <c r="BP27" s="59">
        <v>42.18</v>
      </c>
      <c r="BQ27" s="59">
        <v>12.73</v>
      </c>
      <c r="BR27" s="59">
        <v>82.47</v>
      </c>
      <c r="BS27" s="59">
        <v>0</v>
      </c>
      <c r="BT27" s="58">
        <f t="shared" si="23"/>
        <v>399.54</v>
      </c>
      <c r="BU27" s="59">
        <v>0.45</v>
      </c>
      <c r="BV27" s="59">
        <v>0</v>
      </c>
      <c r="BW27" s="59">
        <v>23.47</v>
      </c>
      <c r="BX27" s="59">
        <v>372.29</v>
      </c>
      <c r="BY27" s="59">
        <v>0</v>
      </c>
      <c r="BZ27" s="59">
        <v>0</v>
      </c>
      <c r="CA27" s="59">
        <v>3.33</v>
      </c>
      <c r="CB27" s="58">
        <f t="shared" si="24"/>
        <v>2548.21</v>
      </c>
      <c r="CC27" s="59">
        <v>0</v>
      </c>
      <c r="CD27" s="59">
        <v>2332.8000000000002</v>
      </c>
      <c r="CE27" s="74">
        <v>215.41</v>
      </c>
    </row>
    <row r="28" spans="1:83" x14ac:dyDescent="0.35">
      <c r="A28" s="50" t="s">
        <v>193</v>
      </c>
      <c r="B28" s="58">
        <f t="shared" si="13"/>
        <v>34427.24</v>
      </c>
      <c r="C28" s="58">
        <f t="shared" si="0"/>
        <v>435.11999999999995</v>
      </c>
      <c r="D28" s="58">
        <f t="shared" si="1"/>
        <v>255.95</v>
      </c>
      <c r="E28" s="58">
        <f t="shared" si="14"/>
        <v>19998.179999999997</v>
      </c>
      <c r="F28" s="58">
        <f t="shared" si="2"/>
        <v>6810.1399999999994</v>
      </c>
      <c r="G28" s="58">
        <f t="shared" si="3"/>
        <v>89.79</v>
      </c>
      <c r="H28" s="58">
        <f t="shared" si="4"/>
        <v>6497.5599999999995</v>
      </c>
      <c r="I28" s="58">
        <f t="shared" si="5"/>
        <v>340.49999999999994</v>
      </c>
      <c r="J28" s="58">
        <f t="shared" si="15"/>
        <v>451.93</v>
      </c>
      <c r="K28" s="59">
        <v>0</v>
      </c>
      <c r="L28" s="59">
        <v>132.63</v>
      </c>
      <c r="M28" s="59">
        <v>3.24</v>
      </c>
      <c r="N28" s="59">
        <v>201.12</v>
      </c>
      <c r="O28" s="59">
        <v>0</v>
      </c>
      <c r="P28" s="59">
        <v>114.94</v>
      </c>
      <c r="Q28" s="59">
        <v>0</v>
      </c>
      <c r="R28" s="58">
        <f t="shared" si="16"/>
        <v>6882.06</v>
      </c>
      <c r="S28" s="59">
        <v>293.02</v>
      </c>
      <c r="T28" s="59">
        <v>57.84</v>
      </c>
      <c r="U28" s="59">
        <v>1654.7</v>
      </c>
      <c r="V28" s="59">
        <v>2356.79</v>
      </c>
      <c r="W28" s="59">
        <v>44.84</v>
      </c>
      <c r="X28" s="59">
        <v>2192.79</v>
      </c>
      <c r="Y28" s="59">
        <v>282.08</v>
      </c>
      <c r="Z28" s="58">
        <f t="shared" si="17"/>
        <v>14815.429999999998</v>
      </c>
      <c r="AA28" s="59">
        <v>0</v>
      </c>
      <c r="AB28" s="59">
        <v>14646.21</v>
      </c>
      <c r="AC28" s="59">
        <v>0</v>
      </c>
      <c r="AD28" s="59">
        <v>0</v>
      </c>
      <c r="AE28" s="59">
        <v>169.22</v>
      </c>
      <c r="AF28" s="58">
        <f t="shared" si="18"/>
        <v>5692.9</v>
      </c>
      <c r="AG28" s="59">
        <v>137.32</v>
      </c>
      <c r="AH28" s="59">
        <v>65.48</v>
      </c>
      <c r="AI28" s="59">
        <v>434.27</v>
      </c>
      <c r="AJ28" s="59">
        <v>2948.2</v>
      </c>
      <c r="AK28" s="59">
        <v>22.56</v>
      </c>
      <c r="AL28" s="59">
        <v>2084.11</v>
      </c>
      <c r="AM28" s="59">
        <v>0.96</v>
      </c>
      <c r="AN28" s="58">
        <f t="shared" si="19"/>
        <v>3380.92</v>
      </c>
      <c r="AO28" s="58">
        <f t="shared" si="6"/>
        <v>4.78</v>
      </c>
      <c r="AP28" s="58">
        <f t="shared" si="7"/>
        <v>0</v>
      </c>
      <c r="AQ28" s="58">
        <f t="shared" si="8"/>
        <v>271.17</v>
      </c>
      <c r="AR28" s="58">
        <f t="shared" si="9"/>
        <v>1088.6200000000001</v>
      </c>
      <c r="AS28" s="58">
        <f t="shared" si="10"/>
        <v>22.39</v>
      </c>
      <c r="AT28" s="58">
        <f t="shared" si="11"/>
        <v>1936.5</v>
      </c>
      <c r="AU28" s="58">
        <f t="shared" si="12"/>
        <v>57.46</v>
      </c>
      <c r="AV28" s="58">
        <f t="shared" si="20"/>
        <v>1051.01</v>
      </c>
      <c r="AW28" s="59">
        <v>2.37</v>
      </c>
      <c r="AX28" s="59">
        <v>0</v>
      </c>
      <c r="AY28" s="59">
        <v>90.54</v>
      </c>
      <c r="AZ28" s="59">
        <v>452.47</v>
      </c>
      <c r="BA28" s="59">
        <v>11.92</v>
      </c>
      <c r="BB28" s="59">
        <v>438.07</v>
      </c>
      <c r="BC28" s="59">
        <v>55.64</v>
      </c>
      <c r="BD28" s="58">
        <f t="shared" si="21"/>
        <v>1906.83</v>
      </c>
      <c r="BE28" s="59">
        <v>0.88</v>
      </c>
      <c r="BF28" s="59">
        <v>0</v>
      </c>
      <c r="BG28" s="59">
        <v>83.98</v>
      </c>
      <c r="BH28" s="59">
        <v>403.26</v>
      </c>
      <c r="BI28" s="59">
        <v>2.21</v>
      </c>
      <c r="BJ28" s="59">
        <v>1416.5</v>
      </c>
      <c r="BK28" s="59">
        <v>0</v>
      </c>
      <c r="BL28" s="58">
        <f t="shared" si="22"/>
        <v>191.27</v>
      </c>
      <c r="BM28" s="59">
        <v>1.08</v>
      </c>
      <c r="BN28" s="59">
        <v>0</v>
      </c>
      <c r="BO28" s="59">
        <v>76.3</v>
      </c>
      <c r="BP28" s="59">
        <v>23.7</v>
      </c>
      <c r="BQ28" s="59">
        <v>8.26</v>
      </c>
      <c r="BR28" s="59">
        <v>81.93</v>
      </c>
      <c r="BS28" s="59">
        <v>0</v>
      </c>
      <c r="BT28" s="58">
        <f t="shared" si="23"/>
        <v>231.81</v>
      </c>
      <c r="BU28" s="59">
        <v>0.45</v>
      </c>
      <c r="BV28" s="59">
        <v>0</v>
      </c>
      <c r="BW28" s="59">
        <v>20.350000000000001</v>
      </c>
      <c r="BX28" s="59">
        <v>209.19</v>
      </c>
      <c r="BY28" s="59">
        <v>0</v>
      </c>
      <c r="BZ28" s="59">
        <v>0</v>
      </c>
      <c r="CA28" s="59">
        <v>1.82</v>
      </c>
      <c r="CB28" s="58">
        <f t="shared" si="24"/>
        <v>3204</v>
      </c>
      <c r="CC28" s="59">
        <v>0</v>
      </c>
      <c r="CD28" s="59">
        <v>2988.59</v>
      </c>
      <c r="CE28" s="74">
        <v>215.41</v>
      </c>
    </row>
    <row r="29" spans="1:83" x14ac:dyDescent="0.35">
      <c r="A29" s="50" t="s">
        <v>194</v>
      </c>
      <c r="B29" s="58">
        <f t="shared" si="13"/>
        <v>47638.410000000011</v>
      </c>
      <c r="C29" s="58">
        <f t="shared" si="0"/>
        <v>559.40000000000009</v>
      </c>
      <c r="D29" s="58">
        <f t="shared" si="1"/>
        <v>315.07000000000005</v>
      </c>
      <c r="E29" s="58">
        <f t="shared" si="14"/>
        <v>19837.54</v>
      </c>
      <c r="F29" s="58">
        <f t="shared" si="2"/>
        <v>18427.73</v>
      </c>
      <c r="G29" s="58">
        <f t="shared" si="3"/>
        <v>225.5</v>
      </c>
      <c r="H29" s="58">
        <f t="shared" si="4"/>
        <v>7766.51</v>
      </c>
      <c r="I29" s="58">
        <f t="shared" si="5"/>
        <v>506.65999999999997</v>
      </c>
      <c r="J29" s="58">
        <f t="shared" si="15"/>
        <v>498.02000000000004</v>
      </c>
      <c r="K29" s="59">
        <v>0</v>
      </c>
      <c r="L29" s="59">
        <v>144.83000000000001</v>
      </c>
      <c r="M29" s="59">
        <v>3.99</v>
      </c>
      <c r="N29" s="59">
        <v>233.26</v>
      </c>
      <c r="O29" s="59">
        <v>0</v>
      </c>
      <c r="P29" s="59">
        <v>115.94</v>
      </c>
      <c r="Q29" s="59">
        <v>0</v>
      </c>
      <c r="R29" s="58">
        <f t="shared" si="16"/>
        <v>8390.74</v>
      </c>
      <c r="S29" s="59">
        <v>321.99</v>
      </c>
      <c r="T29" s="59">
        <v>69.12</v>
      </c>
      <c r="U29" s="59">
        <v>1895.79</v>
      </c>
      <c r="V29" s="59">
        <v>3542.29</v>
      </c>
      <c r="W29" s="59">
        <v>73.16</v>
      </c>
      <c r="X29" s="59">
        <v>2206.31</v>
      </c>
      <c r="Y29" s="59">
        <v>282.08</v>
      </c>
      <c r="Z29" s="58">
        <f t="shared" si="17"/>
        <v>13965.5</v>
      </c>
      <c r="AA29" s="59">
        <v>0</v>
      </c>
      <c r="AB29" s="59">
        <v>13784.93</v>
      </c>
      <c r="AC29" s="59">
        <v>0</v>
      </c>
      <c r="AD29" s="59">
        <v>0</v>
      </c>
      <c r="AE29" s="59">
        <v>180.57</v>
      </c>
      <c r="AF29" s="58">
        <f t="shared" si="18"/>
        <v>15860.730000000001</v>
      </c>
      <c r="AG29" s="59">
        <v>234.09</v>
      </c>
      <c r="AH29" s="59">
        <v>101.12</v>
      </c>
      <c r="AI29" s="59">
        <v>1045.4000000000001</v>
      </c>
      <c r="AJ29" s="59">
        <v>11332.9</v>
      </c>
      <c r="AK29" s="59">
        <v>85.19</v>
      </c>
      <c r="AL29" s="59">
        <v>3058.34</v>
      </c>
      <c r="AM29" s="59">
        <v>3.69</v>
      </c>
      <c r="AN29" s="58">
        <f t="shared" si="19"/>
        <v>5893.93</v>
      </c>
      <c r="AO29" s="58">
        <f t="shared" si="6"/>
        <v>3.3200000000000003</v>
      </c>
      <c r="AP29" s="58">
        <f t="shared" si="7"/>
        <v>0</v>
      </c>
      <c r="AQ29" s="58">
        <f t="shared" si="8"/>
        <v>293.35000000000002</v>
      </c>
      <c r="AR29" s="58">
        <f t="shared" si="9"/>
        <v>3103.87</v>
      </c>
      <c r="AS29" s="58">
        <f t="shared" si="10"/>
        <v>67.149999999999991</v>
      </c>
      <c r="AT29" s="58">
        <f t="shared" si="11"/>
        <v>2205.35</v>
      </c>
      <c r="AU29" s="58">
        <f t="shared" si="12"/>
        <v>220.89</v>
      </c>
      <c r="AV29" s="58">
        <f t="shared" si="20"/>
        <v>2085.71</v>
      </c>
      <c r="AW29" s="59">
        <v>0.91</v>
      </c>
      <c r="AX29" s="59">
        <v>0</v>
      </c>
      <c r="AY29" s="59">
        <v>104.58</v>
      </c>
      <c r="AZ29" s="59">
        <v>1290.08</v>
      </c>
      <c r="BA29" s="59">
        <v>35.76</v>
      </c>
      <c r="BB29" s="59">
        <v>440.5</v>
      </c>
      <c r="BC29" s="59">
        <v>213.88</v>
      </c>
      <c r="BD29" s="58">
        <f t="shared" si="21"/>
        <v>2928.13</v>
      </c>
      <c r="BE29" s="59">
        <v>0.88</v>
      </c>
      <c r="BF29" s="59">
        <v>0</v>
      </c>
      <c r="BG29" s="59">
        <v>82.21</v>
      </c>
      <c r="BH29" s="59">
        <v>1149.76</v>
      </c>
      <c r="BI29" s="59">
        <v>6.62</v>
      </c>
      <c r="BJ29" s="59">
        <v>1688.66</v>
      </c>
      <c r="BK29" s="59">
        <v>0</v>
      </c>
      <c r="BL29" s="58">
        <f t="shared" si="22"/>
        <v>254.19</v>
      </c>
      <c r="BM29" s="59">
        <v>1.08</v>
      </c>
      <c r="BN29" s="59">
        <v>0</v>
      </c>
      <c r="BO29" s="59">
        <v>84.57</v>
      </c>
      <c r="BP29" s="59">
        <v>67.58</v>
      </c>
      <c r="BQ29" s="59">
        <v>24.77</v>
      </c>
      <c r="BR29" s="59">
        <v>76.19</v>
      </c>
      <c r="BS29" s="59">
        <v>0</v>
      </c>
      <c r="BT29" s="58">
        <f t="shared" si="23"/>
        <v>625.90000000000009</v>
      </c>
      <c r="BU29" s="59">
        <v>0.45</v>
      </c>
      <c r="BV29" s="59">
        <v>0</v>
      </c>
      <c r="BW29" s="59">
        <v>21.99</v>
      </c>
      <c r="BX29" s="59">
        <v>596.45000000000005</v>
      </c>
      <c r="BY29" s="59">
        <v>0</v>
      </c>
      <c r="BZ29" s="59">
        <v>0</v>
      </c>
      <c r="CA29" s="59">
        <v>7.01</v>
      </c>
      <c r="CB29" s="58">
        <f t="shared" si="24"/>
        <v>3029.49</v>
      </c>
      <c r="CC29" s="59">
        <v>0</v>
      </c>
      <c r="CD29" s="59">
        <v>2814.08</v>
      </c>
      <c r="CE29" s="74">
        <v>215.41</v>
      </c>
    </row>
    <row r="30" spans="1:83" x14ac:dyDescent="0.35">
      <c r="A30" s="50" t="s">
        <v>195</v>
      </c>
      <c r="B30" s="58">
        <f t="shared" si="13"/>
        <v>51683.500000000015</v>
      </c>
      <c r="C30" s="58">
        <f t="shared" si="0"/>
        <v>490.09</v>
      </c>
      <c r="D30" s="58">
        <f t="shared" si="1"/>
        <v>298.47000000000003</v>
      </c>
      <c r="E30" s="58">
        <f t="shared" si="14"/>
        <v>20124.47</v>
      </c>
      <c r="F30" s="58">
        <f t="shared" si="2"/>
        <v>22000.230000000003</v>
      </c>
      <c r="G30" s="58">
        <f t="shared" si="3"/>
        <v>250.86</v>
      </c>
      <c r="H30" s="58">
        <f t="shared" si="4"/>
        <v>8140.0099999999993</v>
      </c>
      <c r="I30" s="58">
        <f t="shared" si="5"/>
        <v>379.37</v>
      </c>
      <c r="J30" s="58">
        <f t="shared" si="15"/>
        <v>502.08</v>
      </c>
      <c r="K30" s="59">
        <v>0</v>
      </c>
      <c r="L30" s="59">
        <v>154.9</v>
      </c>
      <c r="M30" s="59">
        <v>10.1</v>
      </c>
      <c r="N30" s="59">
        <v>221.25</v>
      </c>
      <c r="O30" s="59">
        <v>0</v>
      </c>
      <c r="P30" s="59">
        <v>115.83</v>
      </c>
      <c r="Q30" s="59">
        <v>0</v>
      </c>
      <c r="R30" s="58">
        <f t="shared" si="16"/>
        <v>9245.3299999999981</v>
      </c>
      <c r="S30" s="59">
        <v>267.01</v>
      </c>
      <c r="T30" s="59">
        <v>61.37</v>
      </c>
      <c r="U30" s="59">
        <v>1987.43</v>
      </c>
      <c r="V30" s="59">
        <v>4299.9799999999996</v>
      </c>
      <c r="W30" s="59">
        <v>86.25</v>
      </c>
      <c r="X30" s="59">
        <v>2335.1999999999998</v>
      </c>
      <c r="Y30" s="59">
        <v>208.09</v>
      </c>
      <c r="Z30" s="58">
        <f t="shared" si="17"/>
        <v>13770.529999999999</v>
      </c>
      <c r="AA30" s="59">
        <v>0</v>
      </c>
      <c r="AB30" s="59">
        <v>13683.31</v>
      </c>
      <c r="AC30" s="59">
        <v>0</v>
      </c>
      <c r="AD30" s="59">
        <v>0</v>
      </c>
      <c r="AE30" s="59">
        <v>87.22</v>
      </c>
      <c r="AF30" s="58">
        <f t="shared" si="18"/>
        <v>18356.73</v>
      </c>
      <c r="AG30" s="59">
        <v>217.39</v>
      </c>
      <c r="AH30" s="59">
        <v>82.2</v>
      </c>
      <c r="AI30" s="59">
        <v>1143.21</v>
      </c>
      <c r="AJ30" s="59">
        <v>13728.53</v>
      </c>
      <c r="AK30" s="59">
        <v>94.54</v>
      </c>
      <c r="AL30" s="59">
        <v>3069.94</v>
      </c>
      <c r="AM30" s="59">
        <v>20.92</v>
      </c>
      <c r="AN30" s="58">
        <f t="shared" si="19"/>
        <v>6693.9899999999989</v>
      </c>
      <c r="AO30" s="58">
        <f t="shared" si="6"/>
        <v>5.69</v>
      </c>
      <c r="AP30" s="58">
        <f t="shared" si="7"/>
        <v>0</v>
      </c>
      <c r="AQ30" s="58">
        <f t="shared" si="8"/>
        <v>400.98999999999995</v>
      </c>
      <c r="AR30" s="58">
        <f t="shared" si="9"/>
        <v>3535.06</v>
      </c>
      <c r="AS30" s="58">
        <f t="shared" si="10"/>
        <v>70.069999999999993</v>
      </c>
      <c r="AT30" s="58">
        <f t="shared" si="11"/>
        <v>2531.8199999999997</v>
      </c>
      <c r="AU30" s="58">
        <f t="shared" si="12"/>
        <v>150.35999999999999</v>
      </c>
      <c r="AV30" s="58">
        <f t="shared" si="20"/>
        <v>2396.5299999999997</v>
      </c>
      <c r="AW30" s="59">
        <v>2.98</v>
      </c>
      <c r="AX30" s="59">
        <v>0</v>
      </c>
      <c r="AY30" s="59">
        <v>157.38999999999999</v>
      </c>
      <c r="AZ30" s="59">
        <v>1617.9</v>
      </c>
      <c r="BA30" s="59">
        <v>36.590000000000003</v>
      </c>
      <c r="BB30" s="59">
        <v>433.41</v>
      </c>
      <c r="BC30" s="59">
        <v>148.26</v>
      </c>
      <c r="BD30" s="58">
        <f t="shared" si="21"/>
        <v>3342.02</v>
      </c>
      <c r="BE30" s="59">
        <v>1</v>
      </c>
      <c r="BF30" s="59">
        <v>0</v>
      </c>
      <c r="BG30" s="59">
        <v>120.9</v>
      </c>
      <c r="BH30" s="59">
        <v>1171.18</v>
      </c>
      <c r="BI30" s="59">
        <v>7.26</v>
      </c>
      <c r="BJ30" s="59">
        <v>2039.58</v>
      </c>
      <c r="BK30" s="59">
        <v>2.1</v>
      </c>
      <c r="BL30" s="58">
        <f t="shared" si="22"/>
        <v>237.07</v>
      </c>
      <c r="BM30" s="59">
        <v>1.35</v>
      </c>
      <c r="BN30" s="59">
        <v>0</v>
      </c>
      <c r="BO30" s="59">
        <v>77.319999999999993</v>
      </c>
      <c r="BP30" s="59">
        <v>73.349999999999994</v>
      </c>
      <c r="BQ30" s="59">
        <v>26.22</v>
      </c>
      <c r="BR30" s="59">
        <v>58.83</v>
      </c>
      <c r="BS30" s="59">
        <v>0</v>
      </c>
      <c r="BT30" s="58">
        <f t="shared" si="23"/>
        <v>718.37</v>
      </c>
      <c r="BU30" s="59">
        <v>0.36</v>
      </c>
      <c r="BV30" s="59">
        <v>0</v>
      </c>
      <c r="BW30" s="59">
        <v>45.38</v>
      </c>
      <c r="BX30" s="59">
        <v>672.63</v>
      </c>
      <c r="BY30" s="59">
        <v>0</v>
      </c>
      <c r="BZ30" s="59">
        <v>0</v>
      </c>
      <c r="CA30" s="59">
        <v>0</v>
      </c>
      <c r="CB30" s="58">
        <f t="shared" si="24"/>
        <v>3114.8399999999997</v>
      </c>
      <c r="CC30" s="59">
        <v>0</v>
      </c>
      <c r="CD30" s="59">
        <v>2899.43</v>
      </c>
      <c r="CE30" s="74">
        <v>215.41</v>
      </c>
    </row>
    <row r="31" spans="1:83" x14ac:dyDescent="0.35">
      <c r="A31" s="50" t="s">
        <v>196</v>
      </c>
      <c r="B31" s="58">
        <f t="shared" si="13"/>
        <v>38598.300000000003</v>
      </c>
      <c r="C31" s="58">
        <f t="shared" si="0"/>
        <v>488.60999999999996</v>
      </c>
      <c r="D31" s="58">
        <f t="shared" si="1"/>
        <v>290.84000000000003</v>
      </c>
      <c r="E31" s="58">
        <f t="shared" si="14"/>
        <v>19880.690000000002</v>
      </c>
      <c r="F31" s="58">
        <f t="shared" si="2"/>
        <v>10963.43</v>
      </c>
      <c r="G31" s="58">
        <f t="shared" si="3"/>
        <v>148.19</v>
      </c>
      <c r="H31" s="58">
        <f t="shared" si="4"/>
        <v>6546.7199999999993</v>
      </c>
      <c r="I31" s="58">
        <f t="shared" si="5"/>
        <v>279.82</v>
      </c>
      <c r="J31" s="58">
        <f t="shared" si="15"/>
        <v>496.27</v>
      </c>
      <c r="K31" s="59">
        <v>0</v>
      </c>
      <c r="L31" s="59">
        <v>151.52000000000001</v>
      </c>
      <c r="M31" s="59">
        <v>8.92</v>
      </c>
      <c r="N31" s="59">
        <v>220</v>
      </c>
      <c r="O31" s="59">
        <v>0</v>
      </c>
      <c r="P31" s="59">
        <v>115.83</v>
      </c>
      <c r="Q31" s="59">
        <v>0</v>
      </c>
      <c r="R31" s="58">
        <f t="shared" si="16"/>
        <v>7141.91</v>
      </c>
      <c r="S31" s="59">
        <v>332.7</v>
      </c>
      <c r="T31" s="59">
        <v>71.42</v>
      </c>
      <c r="U31" s="59">
        <v>1679.75</v>
      </c>
      <c r="V31" s="59">
        <v>2706.45</v>
      </c>
      <c r="W31" s="59">
        <v>61.21</v>
      </c>
      <c r="X31" s="59">
        <v>2082.29</v>
      </c>
      <c r="Y31" s="59">
        <v>208.09</v>
      </c>
      <c r="Z31" s="58">
        <f t="shared" si="17"/>
        <v>14346.859999999999</v>
      </c>
      <c r="AA31" s="59">
        <v>0</v>
      </c>
      <c r="AB31" s="59">
        <v>14259.64</v>
      </c>
      <c r="AC31" s="59">
        <v>0</v>
      </c>
      <c r="AD31" s="59">
        <v>0</v>
      </c>
      <c r="AE31" s="59">
        <v>87.22</v>
      </c>
      <c r="AF31" s="58">
        <f t="shared" si="18"/>
        <v>8983.1299999999992</v>
      </c>
      <c r="AG31" s="59">
        <v>151.21</v>
      </c>
      <c r="AH31" s="59">
        <v>67.900000000000006</v>
      </c>
      <c r="AI31" s="59">
        <v>570.07000000000005</v>
      </c>
      <c r="AJ31" s="59">
        <v>5749.55</v>
      </c>
      <c r="AK31" s="59">
        <v>47.73</v>
      </c>
      <c r="AL31" s="59">
        <v>2387.91</v>
      </c>
      <c r="AM31" s="59">
        <v>8.76</v>
      </c>
      <c r="AN31" s="58">
        <f t="shared" si="19"/>
        <v>4434.2</v>
      </c>
      <c r="AO31" s="58">
        <f t="shared" si="6"/>
        <v>4.7</v>
      </c>
      <c r="AP31" s="58">
        <f t="shared" si="7"/>
        <v>0</v>
      </c>
      <c r="AQ31" s="58">
        <f t="shared" si="8"/>
        <v>381.78999999999996</v>
      </c>
      <c r="AR31" s="58">
        <f t="shared" si="9"/>
        <v>2072.02</v>
      </c>
      <c r="AS31" s="58">
        <f t="shared" si="10"/>
        <v>39.25</v>
      </c>
      <c r="AT31" s="58">
        <f t="shared" si="11"/>
        <v>1873.4699999999998</v>
      </c>
      <c r="AU31" s="58">
        <f t="shared" si="12"/>
        <v>62.970000000000006</v>
      </c>
      <c r="AV31" s="58">
        <f t="shared" si="20"/>
        <v>1571.9699999999998</v>
      </c>
      <c r="AW31" s="59">
        <v>1.99</v>
      </c>
      <c r="AX31" s="59">
        <v>0</v>
      </c>
      <c r="AY31" s="59">
        <v>112.78</v>
      </c>
      <c r="AZ31" s="59">
        <v>948.31</v>
      </c>
      <c r="BA31" s="59">
        <v>20.76</v>
      </c>
      <c r="BB31" s="59">
        <v>426.04</v>
      </c>
      <c r="BC31" s="59">
        <v>62.09</v>
      </c>
      <c r="BD31" s="58">
        <f t="shared" si="21"/>
        <v>2128.16</v>
      </c>
      <c r="BE31" s="59">
        <v>1</v>
      </c>
      <c r="BF31" s="59">
        <v>0</v>
      </c>
      <c r="BG31" s="59">
        <v>100.47</v>
      </c>
      <c r="BH31" s="59">
        <v>686.47</v>
      </c>
      <c r="BI31" s="59">
        <v>4.01</v>
      </c>
      <c r="BJ31" s="59">
        <v>1335.33</v>
      </c>
      <c r="BK31" s="59">
        <v>0.88</v>
      </c>
      <c r="BL31" s="58">
        <f t="shared" si="22"/>
        <v>237.8</v>
      </c>
      <c r="BM31" s="59">
        <v>1.35</v>
      </c>
      <c r="BN31" s="59">
        <v>0</v>
      </c>
      <c r="BO31" s="59">
        <v>66.88</v>
      </c>
      <c r="BP31" s="59">
        <v>42.99</v>
      </c>
      <c r="BQ31" s="59">
        <v>14.48</v>
      </c>
      <c r="BR31" s="59">
        <v>112.1</v>
      </c>
      <c r="BS31" s="59">
        <v>0</v>
      </c>
      <c r="BT31" s="58">
        <f t="shared" si="23"/>
        <v>496.27</v>
      </c>
      <c r="BU31" s="59">
        <v>0.36</v>
      </c>
      <c r="BV31" s="59">
        <v>0</v>
      </c>
      <c r="BW31" s="59">
        <v>101.66</v>
      </c>
      <c r="BX31" s="59">
        <v>394.25</v>
      </c>
      <c r="BY31" s="59">
        <v>0</v>
      </c>
      <c r="BZ31" s="59">
        <v>0</v>
      </c>
      <c r="CA31" s="59">
        <v>0</v>
      </c>
      <c r="CB31" s="58">
        <f t="shared" si="24"/>
        <v>3195.93</v>
      </c>
      <c r="CC31" s="59">
        <v>0</v>
      </c>
      <c r="CD31" s="59">
        <v>2980.52</v>
      </c>
      <c r="CE31" s="74">
        <v>215.41</v>
      </c>
    </row>
    <row r="32" spans="1:83" x14ac:dyDescent="0.35">
      <c r="A32" s="50" t="s">
        <v>197</v>
      </c>
      <c r="B32" s="58">
        <f t="shared" si="13"/>
        <v>34865</v>
      </c>
      <c r="C32" s="58">
        <f t="shared" si="0"/>
        <v>412.13000000000005</v>
      </c>
      <c r="D32" s="58">
        <f t="shared" si="1"/>
        <v>251.31</v>
      </c>
      <c r="E32" s="58">
        <f t="shared" si="14"/>
        <v>20260.440000000002</v>
      </c>
      <c r="F32" s="58">
        <f t="shared" si="2"/>
        <v>6970.5999999999995</v>
      </c>
      <c r="G32" s="58">
        <f t="shared" si="3"/>
        <v>97.8</v>
      </c>
      <c r="H32" s="58">
        <f t="shared" si="4"/>
        <v>6624.58</v>
      </c>
      <c r="I32" s="58">
        <f t="shared" si="5"/>
        <v>248.14</v>
      </c>
      <c r="J32" s="58">
        <f t="shared" si="15"/>
        <v>453.89000000000004</v>
      </c>
      <c r="K32" s="59">
        <v>0</v>
      </c>
      <c r="L32" s="59">
        <v>136.5</v>
      </c>
      <c r="M32" s="59">
        <v>7.8</v>
      </c>
      <c r="N32" s="59">
        <v>193.29</v>
      </c>
      <c r="O32" s="59">
        <v>0</v>
      </c>
      <c r="P32" s="59">
        <v>116.3</v>
      </c>
      <c r="Q32" s="59">
        <v>0</v>
      </c>
      <c r="R32" s="58">
        <f t="shared" si="16"/>
        <v>6409.85</v>
      </c>
      <c r="S32" s="59">
        <v>268.68</v>
      </c>
      <c r="T32" s="59">
        <v>62.09</v>
      </c>
      <c r="U32" s="59">
        <v>1607.98</v>
      </c>
      <c r="V32" s="59">
        <v>2045.1</v>
      </c>
      <c r="W32" s="59">
        <v>50.08</v>
      </c>
      <c r="X32" s="59">
        <v>2167.83</v>
      </c>
      <c r="Y32" s="59">
        <v>208.09</v>
      </c>
      <c r="Z32" s="58">
        <f t="shared" si="17"/>
        <v>14973.619999999999</v>
      </c>
      <c r="AA32" s="59">
        <v>0</v>
      </c>
      <c r="AB32" s="59">
        <v>14886.4</v>
      </c>
      <c r="AC32" s="59">
        <v>0</v>
      </c>
      <c r="AD32" s="59">
        <v>0</v>
      </c>
      <c r="AE32" s="59">
        <v>87.22</v>
      </c>
      <c r="AF32" s="58">
        <f t="shared" si="18"/>
        <v>6198.89</v>
      </c>
      <c r="AG32" s="59">
        <v>138.03</v>
      </c>
      <c r="AH32" s="59">
        <v>52.72</v>
      </c>
      <c r="AI32" s="59">
        <v>516.24</v>
      </c>
      <c r="AJ32" s="59">
        <v>3210.76</v>
      </c>
      <c r="AK32" s="59">
        <v>25.5</v>
      </c>
      <c r="AL32" s="59">
        <v>2250.75</v>
      </c>
      <c r="AM32" s="59">
        <v>4.8899999999999997</v>
      </c>
      <c r="AN32" s="58">
        <f t="shared" si="19"/>
        <v>3693.1</v>
      </c>
      <c r="AO32" s="58">
        <f t="shared" si="6"/>
        <v>5.4200000000000008</v>
      </c>
      <c r="AP32" s="58">
        <f t="shared" si="7"/>
        <v>0</v>
      </c>
      <c r="AQ32" s="58">
        <f t="shared" si="8"/>
        <v>321.78000000000003</v>
      </c>
      <c r="AR32" s="58">
        <f t="shared" si="9"/>
        <v>1306.04</v>
      </c>
      <c r="AS32" s="58">
        <f t="shared" si="10"/>
        <v>22.22</v>
      </c>
      <c r="AT32" s="58">
        <f t="shared" si="11"/>
        <v>2002.48</v>
      </c>
      <c r="AU32" s="58">
        <f t="shared" si="12"/>
        <v>35.160000000000004</v>
      </c>
      <c r="AV32" s="58">
        <f t="shared" si="20"/>
        <v>1194.72</v>
      </c>
      <c r="AW32" s="59">
        <v>2.71</v>
      </c>
      <c r="AX32" s="59">
        <v>0</v>
      </c>
      <c r="AY32" s="59">
        <v>112.51</v>
      </c>
      <c r="AZ32" s="59">
        <v>597.74</v>
      </c>
      <c r="BA32" s="59">
        <v>11.89</v>
      </c>
      <c r="BB32" s="59">
        <v>435.2</v>
      </c>
      <c r="BC32" s="59">
        <v>34.67</v>
      </c>
      <c r="BD32" s="58">
        <f t="shared" si="21"/>
        <v>1988.06</v>
      </c>
      <c r="BE32" s="59">
        <v>1</v>
      </c>
      <c r="BF32" s="59">
        <v>0</v>
      </c>
      <c r="BG32" s="59">
        <v>105.27</v>
      </c>
      <c r="BH32" s="59">
        <v>432.7</v>
      </c>
      <c r="BI32" s="59">
        <v>2.2999999999999998</v>
      </c>
      <c r="BJ32" s="59">
        <v>1446.3</v>
      </c>
      <c r="BK32" s="59">
        <v>0.49</v>
      </c>
      <c r="BL32" s="58">
        <f t="shared" si="22"/>
        <v>223.29000000000002</v>
      </c>
      <c r="BM32" s="59">
        <v>1.35</v>
      </c>
      <c r="BN32" s="59">
        <v>0</v>
      </c>
      <c r="BO32" s="59">
        <v>65.83</v>
      </c>
      <c r="BP32" s="59">
        <v>27.1</v>
      </c>
      <c r="BQ32" s="59">
        <v>8.0299999999999994</v>
      </c>
      <c r="BR32" s="59">
        <v>120.98</v>
      </c>
      <c r="BS32" s="59">
        <v>0</v>
      </c>
      <c r="BT32" s="58">
        <f t="shared" si="23"/>
        <v>287.02999999999997</v>
      </c>
      <c r="BU32" s="59">
        <v>0.36</v>
      </c>
      <c r="BV32" s="59">
        <v>0</v>
      </c>
      <c r="BW32" s="59">
        <v>38.17</v>
      </c>
      <c r="BX32" s="59">
        <v>248.5</v>
      </c>
      <c r="BY32" s="59">
        <v>0</v>
      </c>
      <c r="BZ32" s="59">
        <v>0</v>
      </c>
      <c r="CA32" s="59">
        <v>0</v>
      </c>
      <c r="CB32" s="58">
        <f t="shared" si="24"/>
        <v>3135.6499999999996</v>
      </c>
      <c r="CC32" s="59">
        <v>0</v>
      </c>
      <c r="CD32" s="59">
        <v>2920.24</v>
      </c>
      <c r="CE32" s="74">
        <v>215.41</v>
      </c>
    </row>
    <row r="33" spans="1:83" x14ac:dyDescent="0.35">
      <c r="A33" s="50" t="s">
        <v>198</v>
      </c>
      <c r="B33" s="58">
        <f t="shared" si="13"/>
        <v>47218.41</v>
      </c>
      <c r="C33" s="58">
        <f t="shared" si="0"/>
        <v>597.16</v>
      </c>
      <c r="D33" s="58">
        <f t="shared" si="1"/>
        <v>265.02</v>
      </c>
      <c r="E33" s="58">
        <f t="shared" si="14"/>
        <v>19948.070000000003</v>
      </c>
      <c r="F33" s="58">
        <f t="shared" si="2"/>
        <v>18007.25</v>
      </c>
      <c r="G33" s="58">
        <f t="shared" si="3"/>
        <v>217.73</v>
      </c>
      <c r="H33" s="58">
        <f t="shared" si="4"/>
        <v>7832.92</v>
      </c>
      <c r="I33" s="58">
        <f t="shared" si="5"/>
        <v>350.26</v>
      </c>
      <c r="J33" s="58">
        <f t="shared" si="15"/>
        <v>465.28999999999996</v>
      </c>
      <c r="K33" s="59">
        <v>0</v>
      </c>
      <c r="L33" s="59">
        <v>139.26</v>
      </c>
      <c r="M33" s="59">
        <v>7.8</v>
      </c>
      <c r="N33" s="59">
        <v>200.84</v>
      </c>
      <c r="O33" s="59">
        <v>0</v>
      </c>
      <c r="P33" s="59">
        <v>117.39</v>
      </c>
      <c r="Q33" s="59">
        <v>0</v>
      </c>
      <c r="R33" s="58">
        <f t="shared" si="16"/>
        <v>8197.86</v>
      </c>
      <c r="S33" s="59">
        <v>366.86</v>
      </c>
      <c r="T33" s="59">
        <v>62.07</v>
      </c>
      <c r="U33" s="59">
        <v>1608.65</v>
      </c>
      <c r="V33" s="59">
        <v>3350.69</v>
      </c>
      <c r="W33" s="59">
        <v>67.7</v>
      </c>
      <c r="X33" s="59">
        <v>2533.8000000000002</v>
      </c>
      <c r="Y33" s="59">
        <v>208.09</v>
      </c>
      <c r="Z33" s="58">
        <f t="shared" si="17"/>
        <v>14283.119999999999</v>
      </c>
      <c r="AA33" s="59">
        <v>0</v>
      </c>
      <c r="AB33" s="59">
        <v>14195.9</v>
      </c>
      <c r="AC33" s="59">
        <v>0</v>
      </c>
      <c r="AD33" s="59">
        <v>0</v>
      </c>
      <c r="AE33" s="59">
        <v>87.22</v>
      </c>
      <c r="AF33" s="58">
        <f t="shared" si="18"/>
        <v>15794.060000000001</v>
      </c>
      <c r="AG33" s="59">
        <v>226.27</v>
      </c>
      <c r="AH33" s="59">
        <v>63.69</v>
      </c>
      <c r="AI33" s="59">
        <v>1035.8</v>
      </c>
      <c r="AJ33" s="59">
        <v>11396.35</v>
      </c>
      <c r="AK33" s="59">
        <v>83.88</v>
      </c>
      <c r="AL33" s="59">
        <v>2970.71</v>
      </c>
      <c r="AM33" s="59">
        <v>17.36</v>
      </c>
      <c r="AN33" s="58">
        <f t="shared" si="19"/>
        <v>5495.97</v>
      </c>
      <c r="AO33" s="58">
        <f t="shared" si="6"/>
        <v>4.03</v>
      </c>
      <c r="AP33" s="58">
        <f t="shared" si="7"/>
        <v>0</v>
      </c>
      <c r="AQ33" s="58">
        <f t="shared" si="8"/>
        <v>333.22</v>
      </c>
      <c r="AR33" s="58">
        <f t="shared" si="9"/>
        <v>2843.96</v>
      </c>
      <c r="AS33" s="58">
        <f t="shared" si="10"/>
        <v>66.150000000000006</v>
      </c>
      <c r="AT33" s="58">
        <f t="shared" si="11"/>
        <v>2123.8000000000002</v>
      </c>
      <c r="AU33" s="58">
        <f t="shared" si="12"/>
        <v>124.80999999999999</v>
      </c>
      <c r="AV33" s="58">
        <f t="shared" si="20"/>
        <v>2020.6599999999999</v>
      </c>
      <c r="AW33" s="59">
        <v>1.32</v>
      </c>
      <c r="AX33" s="59">
        <v>0</v>
      </c>
      <c r="AY33" s="59">
        <v>121.17</v>
      </c>
      <c r="AZ33" s="59">
        <v>1301.5999999999999</v>
      </c>
      <c r="BA33" s="59">
        <v>34.909999999999997</v>
      </c>
      <c r="BB33" s="59">
        <v>438.59</v>
      </c>
      <c r="BC33" s="59">
        <v>123.07</v>
      </c>
      <c r="BD33" s="58">
        <f t="shared" si="21"/>
        <v>2671.1800000000003</v>
      </c>
      <c r="BE33" s="59">
        <v>1</v>
      </c>
      <c r="BF33" s="59">
        <v>0</v>
      </c>
      <c r="BG33" s="59">
        <v>90.69</v>
      </c>
      <c r="BH33" s="59">
        <v>942.22</v>
      </c>
      <c r="BI33" s="59">
        <v>6.13</v>
      </c>
      <c r="BJ33" s="59">
        <v>1629.4</v>
      </c>
      <c r="BK33" s="59">
        <v>1.74</v>
      </c>
      <c r="BL33" s="58">
        <f t="shared" si="22"/>
        <v>207.83999999999997</v>
      </c>
      <c r="BM33" s="59">
        <v>1.35</v>
      </c>
      <c r="BN33" s="59">
        <v>0</v>
      </c>
      <c r="BO33" s="59">
        <v>66.56</v>
      </c>
      <c r="BP33" s="59">
        <v>59.01</v>
      </c>
      <c r="BQ33" s="59">
        <v>25.11</v>
      </c>
      <c r="BR33" s="59">
        <v>55.81</v>
      </c>
      <c r="BS33" s="59">
        <v>0</v>
      </c>
      <c r="BT33" s="58">
        <f t="shared" si="23"/>
        <v>596.29</v>
      </c>
      <c r="BU33" s="59">
        <v>0.36</v>
      </c>
      <c r="BV33" s="59">
        <v>0</v>
      </c>
      <c r="BW33" s="59">
        <v>54.8</v>
      </c>
      <c r="BX33" s="59">
        <v>541.13</v>
      </c>
      <c r="BY33" s="59">
        <v>0</v>
      </c>
      <c r="BZ33" s="59">
        <v>0</v>
      </c>
      <c r="CA33" s="59">
        <v>0</v>
      </c>
      <c r="CB33" s="58">
        <f t="shared" si="24"/>
        <v>2982.1099999999997</v>
      </c>
      <c r="CC33" s="59">
        <v>0</v>
      </c>
      <c r="CD33" s="59">
        <v>2766.7</v>
      </c>
      <c r="CE33" s="74">
        <v>215.41</v>
      </c>
    </row>
    <row r="34" spans="1:83" x14ac:dyDescent="0.35">
      <c r="A34" s="50" t="s">
        <v>199</v>
      </c>
      <c r="B34" s="58">
        <f t="shared" si="13"/>
        <v>50936.680000000008</v>
      </c>
      <c r="C34" s="58">
        <f t="shared" si="0"/>
        <v>424.15000000000003</v>
      </c>
      <c r="D34" s="58">
        <f t="shared" si="1"/>
        <v>265.21999999999997</v>
      </c>
      <c r="E34" s="58">
        <f t="shared" si="14"/>
        <v>20260.54</v>
      </c>
      <c r="F34" s="58">
        <f t="shared" si="2"/>
        <v>21291.88</v>
      </c>
      <c r="G34" s="58">
        <f t="shared" si="3"/>
        <v>203.3</v>
      </c>
      <c r="H34" s="58">
        <f t="shared" si="4"/>
        <v>8105.22</v>
      </c>
      <c r="I34" s="58">
        <f t="shared" si="5"/>
        <v>386.37</v>
      </c>
      <c r="J34" s="58">
        <f t="shared" si="15"/>
        <v>458.78000000000003</v>
      </c>
      <c r="K34" s="59">
        <v>0</v>
      </c>
      <c r="L34" s="59">
        <v>139.38999999999999</v>
      </c>
      <c r="M34" s="59">
        <v>5.58</v>
      </c>
      <c r="N34" s="59">
        <v>205.27</v>
      </c>
      <c r="O34" s="59">
        <v>0</v>
      </c>
      <c r="P34" s="59">
        <v>108.54</v>
      </c>
      <c r="Q34" s="59">
        <v>0</v>
      </c>
      <c r="R34" s="58">
        <f t="shared" si="16"/>
        <v>9077.2999999999993</v>
      </c>
      <c r="S34" s="59">
        <v>278.26</v>
      </c>
      <c r="T34" s="59">
        <v>56.75</v>
      </c>
      <c r="U34" s="59">
        <v>1914.39</v>
      </c>
      <c r="V34" s="59">
        <v>4118.25</v>
      </c>
      <c r="W34" s="59">
        <v>51.5</v>
      </c>
      <c r="X34" s="59">
        <v>2450.52</v>
      </c>
      <c r="Y34" s="59">
        <v>207.63</v>
      </c>
      <c r="Z34" s="58">
        <f t="shared" si="17"/>
        <v>14081.75</v>
      </c>
      <c r="AA34" s="59">
        <v>0.73</v>
      </c>
      <c r="AB34" s="59">
        <v>13981.93</v>
      </c>
      <c r="AC34" s="59">
        <v>0</v>
      </c>
      <c r="AD34" s="59">
        <v>11.83</v>
      </c>
      <c r="AE34" s="59">
        <v>87.26</v>
      </c>
      <c r="AF34" s="58">
        <f t="shared" si="18"/>
        <v>17828.189999999999</v>
      </c>
      <c r="AG34" s="59">
        <v>138.49</v>
      </c>
      <c r="AH34" s="59">
        <v>69.08</v>
      </c>
      <c r="AI34" s="59">
        <v>1081.25</v>
      </c>
      <c r="AJ34" s="59">
        <v>13318.49</v>
      </c>
      <c r="AK34" s="59">
        <v>91.39</v>
      </c>
      <c r="AL34" s="59">
        <v>3108.27</v>
      </c>
      <c r="AM34" s="59">
        <v>21.22</v>
      </c>
      <c r="AN34" s="58">
        <f t="shared" si="19"/>
        <v>6501.7300000000005</v>
      </c>
      <c r="AO34" s="58">
        <f t="shared" si="6"/>
        <v>6.67</v>
      </c>
      <c r="AP34" s="58">
        <f t="shared" si="7"/>
        <v>0</v>
      </c>
      <c r="AQ34" s="58">
        <f t="shared" si="8"/>
        <v>458.55999999999995</v>
      </c>
      <c r="AR34" s="58">
        <f t="shared" si="9"/>
        <v>3479.77</v>
      </c>
      <c r="AS34" s="58">
        <f t="shared" si="10"/>
        <v>48.58</v>
      </c>
      <c r="AT34" s="58">
        <f t="shared" si="11"/>
        <v>2350.63</v>
      </c>
      <c r="AU34" s="58">
        <f t="shared" si="12"/>
        <v>157.52000000000001</v>
      </c>
      <c r="AV34" s="58">
        <f t="shared" si="20"/>
        <v>2393.42</v>
      </c>
      <c r="AW34" s="59">
        <v>3.75</v>
      </c>
      <c r="AX34" s="59">
        <v>0</v>
      </c>
      <c r="AY34" s="59">
        <v>201.75</v>
      </c>
      <c r="AZ34" s="59">
        <v>1580.45</v>
      </c>
      <c r="BA34" s="59">
        <v>25.99</v>
      </c>
      <c r="BB34" s="59">
        <v>427.95</v>
      </c>
      <c r="BC34" s="59">
        <v>153.53</v>
      </c>
      <c r="BD34" s="58">
        <f t="shared" si="21"/>
        <v>3107.7699999999995</v>
      </c>
      <c r="BE34" s="59">
        <v>1.07</v>
      </c>
      <c r="BF34" s="59">
        <v>0</v>
      </c>
      <c r="BG34" s="59">
        <v>48.45</v>
      </c>
      <c r="BH34" s="59">
        <v>1199.71</v>
      </c>
      <c r="BI34" s="59">
        <v>5.37</v>
      </c>
      <c r="BJ34" s="59">
        <v>1849.18</v>
      </c>
      <c r="BK34" s="59">
        <v>3.99</v>
      </c>
      <c r="BL34" s="58">
        <f t="shared" si="22"/>
        <v>261.09000000000003</v>
      </c>
      <c r="BM34" s="59">
        <v>1.5</v>
      </c>
      <c r="BN34" s="59">
        <v>0</v>
      </c>
      <c r="BO34" s="59">
        <v>97.85</v>
      </c>
      <c r="BP34" s="59">
        <v>71.02</v>
      </c>
      <c r="BQ34" s="59">
        <v>17.22</v>
      </c>
      <c r="BR34" s="59">
        <v>73.5</v>
      </c>
      <c r="BS34" s="59">
        <v>0</v>
      </c>
      <c r="BT34" s="58">
        <f t="shared" si="23"/>
        <v>739.45</v>
      </c>
      <c r="BU34" s="59">
        <v>0.35</v>
      </c>
      <c r="BV34" s="59">
        <v>0</v>
      </c>
      <c r="BW34" s="59">
        <v>110.51</v>
      </c>
      <c r="BX34" s="59">
        <v>628.59</v>
      </c>
      <c r="BY34" s="59">
        <v>0</v>
      </c>
      <c r="BZ34" s="59">
        <v>0</v>
      </c>
      <c r="CA34" s="59">
        <v>0</v>
      </c>
      <c r="CB34" s="58">
        <f t="shared" si="24"/>
        <v>2988.93</v>
      </c>
      <c r="CC34" s="59">
        <v>0</v>
      </c>
      <c r="CD34" s="59">
        <v>2818.83</v>
      </c>
      <c r="CE34" s="74">
        <v>170.1</v>
      </c>
    </row>
    <row r="35" spans="1:83" x14ac:dyDescent="0.35">
      <c r="A35" s="50" t="s">
        <v>200</v>
      </c>
      <c r="B35" s="58">
        <f t="shared" si="13"/>
        <v>39103.049999999996</v>
      </c>
      <c r="C35" s="58">
        <f t="shared" si="0"/>
        <v>391.01000000000005</v>
      </c>
      <c r="D35" s="58">
        <f t="shared" si="1"/>
        <v>251.6</v>
      </c>
      <c r="E35" s="58">
        <f t="shared" si="14"/>
        <v>19839.239999999998</v>
      </c>
      <c r="F35" s="58">
        <f t="shared" si="2"/>
        <v>11061.01</v>
      </c>
      <c r="G35" s="58">
        <f t="shared" si="3"/>
        <v>185.94</v>
      </c>
      <c r="H35" s="58">
        <f t="shared" si="4"/>
        <v>7088.58</v>
      </c>
      <c r="I35" s="58">
        <f t="shared" si="5"/>
        <v>285.66999999999996</v>
      </c>
      <c r="J35" s="58">
        <f t="shared" si="15"/>
        <v>457.11</v>
      </c>
      <c r="K35" s="59">
        <v>0</v>
      </c>
      <c r="L35" s="59">
        <v>148.84</v>
      </c>
      <c r="M35" s="59">
        <v>3.04</v>
      </c>
      <c r="N35" s="59">
        <v>198.01</v>
      </c>
      <c r="O35" s="59">
        <v>0</v>
      </c>
      <c r="P35" s="59">
        <v>107.22</v>
      </c>
      <c r="Q35" s="59">
        <v>0</v>
      </c>
      <c r="R35" s="58">
        <f t="shared" si="16"/>
        <v>7175.82</v>
      </c>
      <c r="S35" s="59">
        <v>272.73</v>
      </c>
      <c r="T35" s="59">
        <v>52.36</v>
      </c>
      <c r="U35" s="59">
        <v>1450.3</v>
      </c>
      <c r="V35" s="59">
        <v>2742.69</v>
      </c>
      <c r="W35" s="59">
        <v>50.45</v>
      </c>
      <c r="X35" s="59">
        <v>2399.66</v>
      </c>
      <c r="Y35" s="59">
        <v>207.63</v>
      </c>
      <c r="Z35" s="58">
        <f t="shared" si="17"/>
        <v>14774.58</v>
      </c>
      <c r="AA35" s="59">
        <v>0.73</v>
      </c>
      <c r="AB35" s="59">
        <v>14667.97</v>
      </c>
      <c r="AC35" s="59">
        <v>0</v>
      </c>
      <c r="AD35" s="59">
        <v>18.62</v>
      </c>
      <c r="AE35" s="59">
        <v>87.26</v>
      </c>
      <c r="AF35" s="58">
        <f t="shared" si="18"/>
        <v>9061.44</v>
      </c>
      <c r="AG35" s="59">
        <v>106.8</v>
      </c>
      <c r="AH35" s="59">
        <v>50.4</v>
      </c>
      <c r="AI35" s="59">
        <v>559.92999999999995</v>
      </c>
      <c r="AJ35" s="59">
        <v>5861.95</v>
      </c>
      <c r="AK35" s="59">
        <v>70.63</v>
      </c>
      <c r="AL35" s="59">
        <v>2402.4699999999998</v>
      </c>
      <c r="AM35" s="59">
        <v>9.26</v>
      </c>
      <c r="AN35" s="58">
        <f t="shared" si="19"/>
        <v>4780.78</v>
      </c>
      <c r="AO35" s="58">
        <f t="shared" si="6"/>
        <v>10.75</v>
      </c>
      <c r="AP35" s="58">
        <f t="shared" si="7"/>
        <v>0</v>
      </c>
      <c r="AQ35" s="58">
        <f t="shared" si="8"/>
        <v>474.78</v>
      </c>
      <c r="AR35" s="58">
        <f t="shared" si="9"/>
        <v>2088.2600000000002</v>
      </c>
      <c r="AS35" s="58">
        <f t="shared" si="10"/>
        <v>46.24</v>
      </c>
      <c r="AT35" s="58">
        <f t="shared" si="11"/>
        <v>2091.9699999999998</v>
      </c>
      <c r="AU35" s="58">
        <f t="shared" si="12"/>
        <v>68.78</v>
      </c>
      <c r="AV35" s="58">
        <f t="shared" si="20"/>
        <v>1590.72</v>
      </c>
      <c r="AW35" s="59">
        <v>7.83</v>
      </c>
      <c r="AX35" s="59">
        <v>0</v>
      </c>
      <c r="AY35" s="59">
        <v>113.88</v>
      </c>
      <c r="AZ35" s="59">
        <v>948.45</v>
      </c>
      <c r="BA35" s="59">
        <v>25.96</v>
      </c>
      <c r="BB35" s="59">
        <v>427.56</v>
      </c>
      <c r="BC35" s="59">
        <v>67.040000000000006</v>
      </c>
      <c r="BD35" s="58">
        <f t="shared" si="21"/>
        <v>2437.33</v>
      </c>
      <c r="BE35" s="59">
        <v>1.07</v>
      </c>
      <c r="BF35" s="59">
        <v>0</v>
      </c>
      <c r="BG35" s="59">
        <v>112.25</v>
      </c>
      <c r="BH35" s="59">
        <v>719.96</v>
      </c>
      <c r="BI35" s="59">
        <v>4.6399999999999997</v>
      </c>
      <c r="BJ35" s="59">
        <v>1597.67</v>
      </c>
      <c r="BK35" s="59">
        <v>1.74</v>
      </c>
      <c r="BL35" s="58">
        <f t="shared" si="22"/>
        <v>224.20999999999998</v>
      </c>
      <c r="BM35" s="59">
        <v>1.5</v>
      </c>
      <c r="BN35" s="59">
        <v>0</v>
      </c>
      <c r="BO35" s="59">
        <v>97.71</v>
      </c>
      <c r="BP35" s="59">
        <v>42.62</v>
      </c>
      <c r="BQ35" s="59">
        <v>15.64</v>
      </c>
      <c r="BR35" s="59">
        <v>66.739999999999995</v>
      </c>
      <c r="BS35" s="59">
        <v>0</v>
      </c>
      <c r="BT35" s="58">
        <f t="shared" si="23"/>
        <v>528.52</v>
      </c>
      <c r="BU35" s="59">
        <v>0.35</v>
      </c>
      <c r="BV35" s="59">
        <v>0</v>
      </c>
      <c r="BW35" s="59">
        <v>150.94</v>
      </c>
      <c r="BX35" s="59">
        <v>377.23</v>
      </c>
      <c r="BY35" s="59">
        <v>0</v>
      </c>
      <c r="BZ35" s="59">
        <v>0</v>
      </c>
      <c r="CA35" s="59">
        <v>0</v>
      </c>
      <c r="CB35" s="58">
        <f t="shared" si="24"/>
        <v>2853.3199999999997</v>
      </c>
      <c r="CC35" s="59">
        <v>0</v>
      </c>
      <c r="CD35" s="59">
        <v>2683.22</v>
      </c>
      <c r="CE35" s="74">
        <v>170.1</v>
      </c>
    </row>
    <row r="36" spans="1:83" x14ac:dyDescent="0.35">
      <c r="A36" s="50" t="s">
        <v>201</v>
      </c>
      <c r="B36" s="58">
        <f t="shared" si="13"/>
        <v>34813.960000000006</v>
      </c>
      <c r="C36" s="58">
        <f t="shared" si="0"/>
        <v>427.09000000000003</v>
      </c>
      <c r="D36" s="58">
        <f t="shared" si="1"/>
        <v>250.84000000000003</v>
      </c>
      <c r="E36" s="58">
        <f t="shared" si="14"/>
        <v>20623.700000000004</v>
      </c>
      <c r="F36" s="58">
        <f t="shared" si="2"/>
        <v>6369.92</v>
      </c>
      <c r="G36" s="58">
        <f t="shared" si="3"/>
        <v>184.09000000000003</v>
      </c>
      <c r="H36" s="58">
        <f t="shared" si="4"/>
        <v>6713.27</v>
      </c>
      <c r="I36" s="58">
        <f t="shared" si="5"/>
        <v>245.04999999999998</v>
      </c>
      <c r="J36" s="58">
        <f t="shared" si="15"/>
        <v>408.94</v>
      </c>
      <c r="K36" s="59">
        <v>0</v>
      </c>
      <c r="L36" s="59">
        <v>144.96</v>
      </c>
      <c r="M36" s="59">
        <v>2.68</v>
      </c>
      <c r="N36" s="59">
        <v>152.97999999999999</v>
      </c>
      <c r="O36" s="59">
        <v>0</v>
      </c>
      <c r="P36" s="59">
        <v>108.32</v>
      </c>
      <c r="Q36" s="59">
        <v>0</v>
      </c>
      <c r="R36" s="58">
        <f t="shared" si="16"/>
        <v>6224.7699999999995</v>
      </c>
      <c r="S36" s="59">
        <v>299.24</v>
      </c>
      <c r="T36" s="59">
        <v>58.96</v>
      </c>
      <c r="U36" s="59">
        <v>1319.96</v>
      </c>
      <c r="V36" s="59">
        <v>2037.25</v>
      </c>
      <c r="W36" s="59">
        <v>47.54</v>
      </c>
      <c r="X36" s="59">
        <v>2254.19</v>
      </c>
      <c r="Y36" s="59">
        <v>207.63</v>
      </c>
      <c r="Z36" s="58">
        <f t="shared" si="17"/>
        <v>15382.140000000001</v>
      </c>
      <c r="AA36" s="59">
        <v>0.73</v>
      </c>
      <c r="AB36" s="59">
        <v>15274.03</v>
      </c>
      <c r="AC36" s="59">
        <v>0</v>
      </c>
      <c r="AD36" s="59">
        <v>20.12</v>
      </c>
      <c r="AE36" s="59">
        <v>87.26</v>
      </c>
      <c r="AF36" s="58">
        <f t="shared" si="18"/>
        <v>5776.86</v>
      </c>
      <c r="AG36" s="59">
        <v>112.95</v>
      </c>
      <c r="AH36" s="59">
        <v>46.92</v>
      </c>
      <c r="AI36" s="59">
        <v>469.31</v>
      </c>
      <c r="AJ36" s="59">
        <v>2858.32</v>
      </c>
      <c r="AK36" s="59">
        <v>65.260000000000005</v>
      </c>
      <c r="AL36" s="59">
        <v>2219.66</v>
      </c>
      <c r="AM36" s="59">
        <v>4.4400000000000004</v>
      </c>
      <c r="AN36" s="58">
        <f t="shared" si="19"/>
        <v>3791.7599999999998</v>
      </c>
      <c r="AO36" s="58">
        <f t="shared" si="6"/>
        <v>14.17</v>
      </c>
      <c r="AP36" s="58">
        <f t="shared" si="7"/>
        <v>0</v>
      </c>
      <c r="AQ36" s="58">
        <f t="shared" si="8"/>
        <v>498.33</v>
      </c>
      <c r="AR36" s="58">
        <f t="shared" si="9"/>
        <v>1151.27</v>
      </c>
      <c r="AS36" s="58">
        <f t="shared" si="10"/>
        <v>51.17</v>
      </c>
      <c r="AT36" s="58">
        <f t="shared" si="11"/>
        <v>2043.84</v>
      </c>
      <c r="AU36" s="58">
        <f t="shared" si="12"/>
        <v>32.979999999999997</v>
      </c>
      <c r="AV36" s="58">
        <f t="shared" si="20"/>
        <v>1128.1500000000001</v>
      </c>
      <c r="AW36" s="59">
        <v>11.25</v>
      </c>
      <c r="AX36" s="59">
        <v>0</v>
      </c>
      <c r="AY36" s="59">
        <v>102.69</v>
      </c>
      <c r="AZ36" s="59">
        <v>522.88</v>
      </c>
      <c r="BA36" s="59">
        <v>26.29</v>
      </c>
      <c r="BB36" s="59">
        <v>432.89</v>
      </c>
      <c r="BC36" s="59">
        <v>32.15</v>
      </c>
      <c r="BD36" s="58">
        <f t="shared" si="21"/>
        <v>2126.8000000000002</v>
      </c>
      <c r="BE36" s="59">
        <v>1.07</v>
      </c>
      <c r="BF36" s="59">
        <v>0</v>
      </c>
      <c r="BG36" s="59">
        <v>199.88</v>
      </c>
      <c r="BH36" s="59">
        <v>396.92</v>
      </c>
      <c r="BI36" s="59">
        <v>4.43</v>
      </c>
      <c r="BJ36" s="59">
        <v>1523.67</v>
      </c>
      <c r="BK36" s="59">
        <v>0.83</v>
      </c>
      <c r="BL36" s="58">
        <f t="shared" si="22"/>
        <v>229.75</v>
      </c>
      <c r="BM36" s="59">
        <v>1.5</v>
      </c>
      <c r="BN36" s="59">
        <v>0</v>
      </c>
      <c r="BO36" s="59">
        <v>97.02</v>
      </c>
      <c r="BP36" s="59">
        <v>23.5</v>
      </c>
      <c r="BQ36" s="59">
        <v>20.45</v>
      </c>
      <c r="BR36" s="59">
        <v>87.28</v>
      </c>
      <c r="BS36" s="59">
        <v>0</v>
      </c>
      <c r="BT36" s="58">
        <f t="shared" si="23"/>
        <v>307.06</v>
      </c>
      <c r="BU36" s="59">
        <v>0.35</v>
      </c>
      <c r="BV36" s="59">
        <v>0</v>
      </c>
      <c r="BW36" s="59">
        <v>98.74</v>
      </c>
      <c r="BX36" s="59">
        <v>207.97</v>
      </c>
      <c r="BY36" s="59">
        <v>0</v>
      </c>
      <c r="BZ36" s="59">
        <v>0</v>
      </c>
      <c r="CA36" s="59">
        <v>0</v>
      </c>
      <c r="CB36" s="58">
        <f t="shared" si="24"/>
        <v>3229.49</v>
      </c>
      <c r="CC36" s="59">
        <v>0</v>
      </c>
      <c r="CD36" s="59">
        <v>3059.39</v>
      </c>
      <c r="CE36" s="74">
        <v>170.1</v>
      </c>
    </row>
    <row r="37" spans="1:83" x14ac:dyDescent="0.35">
      <c r="A37" s="50" t="s">
        <v>202</v>
      </c>
      <c r="B37" s="58">
        <f t="shared" si="13"/>
        <v>46967.6</v>
      </c>
      <c r="C37" s="58">
        <f t="shared" si="0"/>
        <v>452.58000000000004</v>
      </c>
      <c r="D37" s="58">
        <f t="shared" si="1"/>
        <v>267.77</v>
      </c>
      <c r="E37" s="58">
        <f t="shared" si="14"/>
        <v>20257.46</v>
      </c>
      <c r="F37" s="58">
        <f t="shared" si="2"/>
        <v>17341.169999999998</v>
      </c>
      <c r="G37" s="58">
        <f t="shared" si="3"/>
        <v>224.17999999999998</v>
      </c>
      <c r="H37" s="58">
        <f t="shared" si="4"/>
        <v>8073.5400000000009</v>
      </c>
      <c r="I37" s="58">
        <f t="shared" si="5"/>
        <v>350.9</v>
      </c>
      <c r="J37" s="58">
        <f t="shared" si="15"/>
        <v>436.03</v>
      </c>
      <c r="K37" s="59">
        <v>0</v>
      </c>
      <c r="L37" s="59">
        <v>152.38</v>
      </c>
      <c r="M37" s="59">
        <v>5.54</v>
      </c>
      <c r="N37" s="59">
        <v>170.58</v>
      </c>
      <c r="O37" s="59">
        <v>0</v>
      </c>
      <c r="P37" s="59">
        <v>107.53</v>
      </c>
      <c r="Q37" s="59">
        <v>0</v>
      </c>
      <c r="R37" s="58">
        <f t="shared" si="16"/>
        <v>8064.4600000000009</v>
      </c>
      <c r="S37" s="59">
        <v>329.69</v>
      </c>
      <c r="T37" s="59">
        <v>58.32</v>
      </c>
      <c r="U37" s="59">
        <v>1580.71</v>
      </c>
      <c r="V37" s="59">
        <v>3396.54</v>
      </c>
      <c r="W37" s="59">
        <v>51.27</v>
      </c>
      <c r="X37" s="59">
        <v>2440.3000000000002</v>
      </c>
      <c r="Y37" s="59">
        <v>207.63</v>
      </c>
      <c r="Z37" s="58">
        <f t="shared" si="17"/>
        <v>14554.689999999999</v>
      </c>
      <c r="AA37" s="59">
        <v>0.73</v>
      </c>
      <c r="AB37" s="59">
        <v>14443.22</v>
      </c>
      <c r="AC37" s="59">
        <v>0</v>
      </c>
      <c r="AD37" s="59">
        <v>23.48</v>
      </c>
      <c r="AE37" s="59">
        <v>87.26</v>
      </c>
      <c r="AF37" s="58">
        <f t="shared" si="18"/>
        <v>15138.93</v>
      </c>
      <c r="AG37" s="59">
        <v>115.55</v>
      </c>
      <c r="AH37" s="59">
        <v>57.07</v>
      </c>
      <c r="AI37" s="59">
        <v>983.05</v>
      </c>
      <c r="AJ37" s="59">
        <v>10796.92</v>
      </c>
      <c r="AK37" s="59">
        <v>90.52</v>
      </c>
      <c r="AL37" s="59">
        <v>3078.81</v>
      </c>
      <c r="AM37" s="59">
        <v>17.010000000000002</v>
      </c>
      <c r="AN37" s="58">
        <f t="shared" si="19"/>
        <v>5700.27</v>
      </c>
      <c r="AO37" s="58">
        <f t="shared" si="6"/>
        <v>6.6099999999999994</v>
      </c>
      <c r="AP37" s="58">
        <f t="shared" si="7"/>
        <v>0</v>
      </c>
      <c r="AQ37" s="58">
        <f t="shared" si="8"/>
        <v>341.82</v>
      </c>
      <c r="AR37" s="58">
        <f t="shared" si="9"/>
        <v>2807.03</v>
      </c>
      <c r="AS37" s="58">
        <f t="shared" si="10"/>
        <v>58.91</v>
      </c>
      <c r="AT37" s="58">
        <f t="shared" si="11"/>
        <v>2359.6400000000003</v>
      </c>
      <c r="AU37" s="58">
        <f t="shared" si="12"/>
        <v>126.26</v>
      </c>
      <c r="AV37" s="58">
        <f t="shared" si="20"/>
        <v>1985.9</v>
      </c>
      <c r="AW37" s="59">
        <v>3.69</v>
      </c>
      <c r="AX37" s="59">
        <v>0</v>
      </c>
      <c r="AY37" s="59">
        <v>124.24</v>
      </c>
      <c r="AZ37" s="59">
        <v>1274.9000000000001</v>
      </c>
      <c r="BA37" s="59">
        <v>26.33</v>
      </c>
      <c r="BB37" s="59">
        <v>433.68</v>
      </c>
      <c r="BC37" s="59">
        <v>123.06</v>
      </c>
      <c r="BD37" s="58">
        <f t="shared" si="21"/>
        <v>2814.45</v>
      </c>
      <c r="BE37" s="59">
        <v>1.07</v>
      </c>
      <c r="BF37" s="59">
        <v>0</v>
      </c>
      <c r="BG37" s="59">
        <v>27.76</v>
      </c>
      <c r="BH37" s="59">
        <v>967.77</v>
      </c>
      <c r="BI37" s="59">
        <v>5.26</v>
      </c>
      <c r="BJ37" s="59">
        <v>1809.39</v>
      </c>
      <c r="BK37" s="59">
        <v>3.2</v>
      </c>
      <c r="BL37" s="58">
        <f t="shared" si="22"/>
        <v>291.75</v>
      </c>
      <c r="BM37" s="59">
        <v>1.5</v>
      </c>
      <c r="BN37" s="59">
        <v>0</v>
      </c>
      <c r="BO37" s="59">
        <v>89.07</v>
      </c>
      <c r="BP37" s="59">
        <v>57.29</v>
      </c>
      <c r="BQ37" s="59">
        <v>27.32</v>
      </c>
      <c r="BR37" s="59">
        <v>116.57</v>
      </c>
      <c r="BS37" s="59">
        <v>0</v>
      </c>
      <c r="BT37" s="58">
        <f t="shared" si="23"/>
        <v>608.16999999999996</v>
      </c>
      <c r="BU37" s="59">
        <v>0.35</v>
      </c>
      <c r="BV37" s="59">
        <v>0</v>
      </c>
      <c r="BW37" s="59">
        <v>100.75</v>
      </c>
      <c r="BX37" s="59">
        <v>507.07</v>
      </c>
      <c r="BY37" s="59">
        <v>0</v>
      </c>
      <c r="BZ37" s="59">
        <v>0</v>
      </c>
      <c r="CA37" s="59">
        <v>0</v>
      </c>
      <c r="CB37" s="58">
        <f t="shared" si="24"/>
        <v>3073.22</v>
      </c>
      <c r="CC37" s="59">
        <v>0</v>
      </c>
      <c r="CD37" s="59">
        <v>2903.12</v>
      </c>
      <c r="CE37" s="74">
        <v>170.1</v>
      </c>
    </row>
    <row r="38" spans="1:83" x14ac:dyDescent="0.35">
      <c r="A38" s="50" t="s">
        <v>203</v>
      </c>
      <c r="B38" s="58">
        <f t="shared" si="13"/>
        <v>52534.189999999995</v>
      </c>
      <c r="C38" s="58">
        <f t="shared" ref="C38:C69" si="25">K38+S38+AG38+AO38+AA38</f>
        <v>468.6</v>
      </c>
      <c r="D38" s="58">
        <f t="shared" ref="D38:D69" si="26">L38+T38+AH38+AP38+CC38</f>
        <v>272.77999999999997</v>
      </c>
      <c r="E38" s="58">
        <f t="shared" si="14"/>
        <v>20692.16</v>
      </c>
      <c r="F38" s="58">
        <f t="shared" ref="F38:F69" si="27">N38+V38+AJ38+AR38+CE38</f>
        <v>22167.02</v>
      </c>
      <c r="G38" s="58">
        <f t="shared" ref="G38:G69" si="28">O38+W38+AD38+AK38+AS38</f>
        <v>245.5</v>
      </c>
      <c r="H38" s="58">
        <f t="shared" ref="H38:H69" si="29">P38+X38+AE38+AL38+AT38</f>
        <v>8298</v>
      </c>
      <c r="I38" s="58">
        <f t="shared" ref="I38:I69" si="30">Q38+Y38+AM38+AU38</f>
        <v>390.13</v>
      </c>
      <c r="J38" s="58">
        <f t="shared" ref="J38:J52" si="31">SUM(K38:Q38)</f>
        <v>484.22</v>
      </c>
      <c r="K38" s="59">
        <v>0.18</v>
      </c>
      <c r="L38" s="59">
        <v>159.46</v>
      </c>
      <c r="M38" s="59">
        <v>10.91</v>
      </c>
      <c r="N38" s="59">
        <v>187.94</v>
      </c>
      <c r="O38" s="59">
        <v>0</v>
      </c>
      <c r="P38" s="59">
        <v>125.73</v>
      </c>
      <c r="Q38" s="59">
        <v>0</v>
      </c>
      <c r="R38" s="58">
        <f t="shared" si="16"/>
        <v>10062.439999999999</v>
      </c>
      <c r="S38" s="59">
        <v>318.95999999999998</v>
      </c>
      <c r="T38" s="59">
        <v>56.91</v>
      </c>
      <c r="U38" s="59">
        <v>2105.62</v>
      </c>
      <c r="V38" s="59">
        <v>4816.05</v>
      </c>
      <c r="W38" s="59">
        <v>56.87</v>
      </c>
      <c r="X38" s="59">
        <v>2505.8000000000002</v>
      </c>
      <c r="Y38" s="59">
        <v>202.23</v>
      </c>
      <c r="Z38" s="58">
        <f t="shared" si="17"/>
        <v>14113.99</v>
      </c>
      <c r="AA38" s="59">
        <v>3.43</v>
      </c>
      <c r="AB38" s="59">
        <v>13997.31</v>
      </c>
      <c r="AC38" s="59">
        <v>0</v>
      </c>
      <c r="AD38" s="59">
        <v>27.23</v>
      </c>
      <c r="AE38" s="59">
        <v>86.02</v>
      </c>
      <c r="AF38" s="58">
        <f t="shared" si="18"/>
        <v>18144.73</v>
      </c>
      <c r="AG38" s="59">
        <v>139.12</v>
      </c>
      <c r="AH38" s="59">
        <v>56.41</v>
      </c>
      <c r="AI38" s="59">
        <v>1062.3699999999999</v>
      </c>
      <c r="AJ38" s="59">
        <v>13535.31</v>
      </c>
      <c r="AK38" s="59">
        <v>107.53</v>
      </c>
      <c r="AL38" s="59">
        <v>3221.6</v>
      </c>
      <c r="AM38" s="59">
        <v>22.39</v>
      </c>
      <c r="AN38" s="58">
        <f t="shared" si="19"/>
        <v>6627</v>
      </c>
      <c r="AO38" s="58">
        <f t="shared" ref="AO38:AO69" si="32">AW38+BE38+BM38+BU38</f>
        <v>6.91</v>
      </c>
      <c r="AP38" s="58">
        <f t="shared" ref="AP38:AP69" si="33">AX38+BF38+BN38+BV38</f>
        <v>0</v>
      </c>
      <c r="AQ38" s="58">
        <f t="shared" ref="AQ38:AQ69" si="34">AY38+BG38+BO38+BW38</f>
        <v>570.63</v>
      </c>
      <c r="AR38" s="58">
        <f t="shared" ref="AR38:AR69" si="35">AZ38+BH38+BP38+BX38</f>
        <v>3471.2299999999996</v>
      </c>
      <c r="AS38" s="58">
        <f t="shared" ref="AS38:AS69" si="36">BA38+BI38+BQ38+BY38</f>
        <v>53.87</v>
      </c>
      <c r="AT38" s="58">
        <f t="shared" ref="AT38:AT69" si="37">BB38+BJ38+BR38+BZ38</f>
        <v>2358.85</v>
      </c>
      <c r="AU38" s="58">
        <f t="shared" ref="AU38:AU69" si="38">BC38+BK38+BS38+CA38</f>
        <v>165.51</v>
      </c>
      <c r="AV38" s="58">
        <f t="shared" si="20"/>
        <v>2385.8599999999997</v>
      </c>
      <c r="AW38" s="59">
        <v>4.2</v>
      </c>
      <c r="AX38" s="59">
        <v>0</v>
      </c>
      <c r="AY38" s="59">
        <v>192.85</v>
      </c>
      <c r="AZ38" s="59">
        <v>1579.6</v>
      </c>
      <c r="BA38" s="59">
        <v>20.63</v>
      </c>
      <c r="BB38" s="59">
        <v>426.63</v>
      </c>
      <c r="BC38" s="59">
        <v>161.94999999999999</v>
      </c>
      <c r="BD38" s="58">
        <f t="shared" si="21"/>
        <v>3124.2400000000002</v>
      </c>
      <c r="BE38" s="59">
        <v>1.04</v>
      </c>
      <c r="BF38" s="59">
        <v>0</v>
      </c>
      <c r="BG38" s="59">
        <v>107.47</v>
      </c>
      <c r="BH38" s="59">
        <v>1181.97</v>
      </c>
      <c r="BI38" s="59">
        <v>5.27</v>
      </c>
      <c r="BJ38" s="59">
        <v>1824.93</v>
      </c>
      <c r="BK38" s="59">
        <v>3.56</v>
      </c>
      <c r="BL38" s="58">
        <f t="shared" si="22"/>
        <v>322.04000000000002</v>
      </c>
      <c r="BM38" s="59">
        <v>0.84</v>
      </c>
      <c r="BN38" s="59">
        <v>0</v>
      </c>
      <c r="BO38" s="59">
        <v>116.61</v>
      </c>
      <c r="BP38" s="59">
        <v>69.430000000000007</v>
      </c>
      <c r="BQ38" s="59">
        <v>27.87</v>
      </c>
      <c r="BR38" s="59">
        <v>107.29</v>
      </c>
      <c r="BS38" s="59">
        <v>0</v>
      </c>
      <c r="BT38" s="58">
        <f t="shared" si="23"/>
        <v>794.86</v>
      </c>
      <c r="BU38" s="59">
        <v>0.83</v>
      </c>
      <c r="BV38" s="59">
        <v>0</v>
      </c>
      <c r="BW38" s="59">
        <v>153.69999999999999</v>
      </c>
      <c r="BX38" s="59">
        <v>640.23</v>
      </c>
      <c r="BY38" s="59">
        <v>0.1</v>
      </c>
      <c r="BZ38" s="59">
        <v>0</v>
      </c>
      <c r="CA38" s="59">
        <v>0</v>
      </c>
      <c r="CB38" s="58">
        <f t="shared" si="24"/>
        <v>3101.8100000000004</v>
      </c>
      <c r="CC38" s="59">
        <v>0</v>
      </c>
      <c r="CD38" s="59">
        <v>2945.32</v>
      </c>
      <c r="CE38" s="74">
        <v>156.49</v>
      </c>
    </row>
    <row r="39" spans="1:83" x14ac:dyDescent="0.35">
      <c r="A39" s="50" t="s">
        <v>204</v>
      </c>
      <c r="B39" s="58">
        <f t="shared" si="13"/>
        <v>38351.049999999996</v>
      </c>
      <c r="C39" s="58">
        <f t="shared" si="25"/>
        <v>386.52</v>
      </c>
      <c r="D39" s="58">
        <f t="shared" si="26"/>
        <v>285.5</v>
      </c>
      <c r="E39" s="58">
        <f t="shared" si="14"/>
        <v>20053.68</v>
      </c>
      <c r="F39" s="58">
        <f t="shared" si="27"/>
        <v>10242.179999999998</v>
      </c>
      <c r="G39" s="58">
        <f t="shared" si="28"/>
        <v>214.16000000000003</v>
      </c>
      <c r="H39" s="58">
        <f t="shared" si="29"/>
        <v>6886.8099999999995</v>
      </c>
      <c r="I39" s="58">
        <f t="shared" si="30"/>
        <v>282.2</v>
      </c>
      <c r="J39" s="58">
        <f t="shared" si="31"/>
        <v>482.88</v>
      </c>
      <c r="K39" s="59">
        <v>0.18</v>
      </c>
      <c r="L39" s="59">
        <v>161.84</v>
      </c>
      <c r="M39" s="59">
        <v>1.88</v>
      </c>
      <c r="N39" s="59">
        <v>193.35</v>
      </c>
      <c r="O39" s="59">
        <v>0</v>
      </c>
      <c r="P39" s="59">
        <v>125.63</v>
      </c>
      <c r="Q39" s="59">
        <v>0</v>
      </c>
      <c r="R39" s="58">
        <f t="shared" si="16"/>
        <v>5952.6899999999987</v>
      </c>
      <c r="S39" s="59">
        <v>284.39</v>
      </c>
      <c r="T39" s="59">
        <v>59.15</v>
      </c>
      <c r="U39" s="59">
        <v>974.11</v>
      </c>
      <c r="V39" s="59">
        <v>2124.16</v>
      </c>
      <c r="W39" s="59">
        <v>51.49</v>
      </c>
      <c r="X39" s="59">
        <v>2257.16</v>
      </c>
      <c r="Y39" s="59">
        <v>202.23</v>
      </c>
      <c r="Z39" s="58">
        <f t="shared" si="17"/>
        <v>15170.31</v>
      </c>
      <c r="AA39" s="59">
        <v>3.43</v>
      </c>
      <c r="AB39" s="59">
        <v>15042.73</v>
      </c>
      <c r="AC39" s="59">
        <v>0</v>
      </c>
      <c r="AD39" s="59">
        <v>38.130000000000003</v>
      </c>
      <c r="AE39" s="59">
        <v>86.02</v>
      </c>
      <c r="AF39" s="58">
        <f t="shared" si="18"/>
        <v>9391.98</v>
      </c>
      <c r="AG39" s="59">
        <v>96.08</v>
      </c>
      <c r="AH39" s="59">
        <v>64.510000000000005</v>
      </c>
      <c r="AI39" s="59">
        <v>746.56</v>
      </c>
      <c r="AJ39" s="59">
        <v>6032.74</v>
      </c>
      <c r="AK39" s="59">
        <v>78.900000000000006</v>
      </c>
      <c r="AL39" s="59">
        <v>2363.66</v>
      </c>
      <c r="AM39" s="59">
        <v>9.5299999999999994</v>
      </c>
      <c r="AN39" s="58">
        <f t="shared" si="19"/>
        <v>4275.04</v>
      </c>
      <c r="AO39" s="58">
        <f t="shared" si="32"/>
        <v>2.44</v>
      </c>
      <c r="AP39" s="58">
        <f t="shared" si="33"/>
        <v>0</v>
      </c>
      <c r="AQ39" s="58">
        <f t="shared" si="34"/>
        <v>384.88</v>
      </c>
      <c r="AR39" s="58">
        <f t="shared" si="35"/>
        <v>1717.3</v>
      </c>
      <c r="AS39" s="58">
        <f t="shared" si="36"/>
        <v>45.64</v>
      </c>
      <c r="AT39" s="58">
        <f t="shared" si="37"/>
        <v>2054.34</v>
      </c>
      <c r="AU39" s="58">
        <f t="shared" si="38"/>
        <v>70.440000000000012</v>
      </c>
      <c r="AV39" s="58">
        <f t="shared" si="20"/>
        <v>1449.7300000000002</v>
      </c>
      <c r="AW39" s="59">
        <v>-0.27</v>
      </c>
      <c r="AX39" s="59">
        <v>0</v>
      </c>
      <c r="AY39" s="59">
        <v>160.12</v>
      </c>
      <c r="AZ39" s="59">
        <v>781.46</v>
      </c>
      <c r="BA39" s="59">
        <v>20.27</v>
      </c>
      <c r="BB39" s="59">
        <v>419.22</v>
      </c>
      <c r="BC39" s="59">
        <v>68.930000000000007</v>
      </c>
      <c r="BD39" s="58">
        <f t="shared" si="21"/>
        <v>2220.61</v>
      </c>
      <c r="BE39" s="59">
        <v>1.04</v>
      </c>
      <c r="BF39" s="59">
        <v>0</v>
      </c>
      <c r="BG39" s="59">
        <v>73.709999999999994</v>
      </c>
      <c r="BH39" s="59">
        <v>584.75</v>
      </c>
      <c r="BI39" s="59">
        <v>4.49</v>
      </c>
      <c r="BJ39" s="59">
        <v>1555.11</v>
      </c>
      <c r="BK39" s="59">
        <v>1.51</v>
      </c>
      <c r="BL39" s="58">
        <f t="shared" si="22"/>
        <v>208.41000000000003</v>
      </c>
      <c r="BM39" s="59">
        <v>0.84</v>
      </c>
      <c r="BN39" s="59">
        <v>0</v>
      </c>
      <c r="BO39" s="59">
        <v>72.430000000000007</v>
      </c>
      <c r="BP39" s="59">
        <v>34.35</v>
      </c>
      <c r="BQ39" s="59">
        <v>20.78</v>
      </c>
      <c r="BR39" s="59">
        <v>80.010000000000005</v>
      </c>
      <c r="BS39" s="59">
        <v>0</v>
      </c>
      <c r="BT39" s="58">
        <f t="shared" si="23"/>
        <v>396.29</v>
      </c>
      <c r="BU39" s="59">
        <v>0.83</v>
      </c>
      <c r="BV39" s="59">
        <v>0</v>
      </c>
      <c r="BW39" s="59">
        <v>78.62</v>
      </c>
      <c r="BX39" s="59">
        <v>316.74</v>
      </c>
      <c r="BY39" s="59">
        <v>0.1</v>
      </c>
      <c r="BZ39" s="59">
        <v>0</v>
      </c>
      <c r="CA39" s="59">
        <v>0</v>
      </c>
      <c r="CB39" s="58">
        <f t="shared" si="24"/>
        <v>3078.15</v>
      </c>
      <c r="CC39" s="59">
        <v>0</v>
      </c>
      <c r="CD39" s="59">
        <v>2903.52</v>
      </c>
      <c r="CE39" s="74">
        <v>174.63</v>
      </c>
    </row>
    <row r="40" spans="1:83" x14ac:dyDescent="0.35">
      <c r="A40" s="50" t="s">
        <v>205</v>
      </c>
      <c r="B40" s="58">
        <f t="shared" si="13"/>
        <v>33593.22</v>
      </c>
      <c r="C40" s="58">
        <f t="shared" si="25"/>
        <v>364</v>
      </c>
      <c r="D40" s="58">
        <f t="shared" si="26"/>
        <v>257.60000000000002</v>
      </c>
      <c r="E40" s="58">
        <f t="shared" si="14"/>
        <v>20180.3</v>
      </c>
      <c r="F40" s="58">
        <f t="shared" si="27"/>
        <v>5616.17</v>
      </c>
      <c r="G40" s="58">
        <f t="shared" si="28"/>
        <v>225.21</v>
      </c>
      <c r="H40" s="58">
        <f t="shared" si="29"/>
        <v>6713.5499999999993</v>
      </c>
      <c r="I40" s="58">
        <f t="shared" si="30"/>
        <v>236.39</v>
      </c>
      <c r="J40" s="58">
        <f t="shared" si="31"/>
        <v>443.74</v>
      </c>
      <c r="K40" s="59">
        <v>0.18</v>
      </c>
      <c r="L40" s="59">
        <v>145.52000000000001</v>
      </c>
      <c r="M40" s="59">
        <v>2.17</v>
      </c>
      <c r="N40" s="59">
        <v>170.8</v>
      </c>
      <c r="O40" s="59">
        <v>0</v>
      </c>
      <c r="P40" s="59">
        <v>125.07</v>
      </c>
      <c r="Q40" s="59">
        <v>0</v>
      </c>
      <c r="R40" s="58">
        <f t="shared" si="16"/>
        <v>6072.7</v>
      </c>
      <c r="S40" s="59">
        <v>264.22000000000003</v>
      </c>
      <c r="T40" s="59">
        <v>54.29</v>
      </c>
      <c r="U40" s="59">
        <v>1482.91</v>
      </c>
      <c r="V40" s="59">
        <v>1731.71</v>
      </c>
      <c r="W40" s="59">
        <v>52.09</v>
      </c>
      <c r="X40" s="59">
        <v>2285.25</v>
      </c>
      <c r="Y40" s="59">
        <v>202.23</v>
      </c>
      <c r="Z40" s="58">
        <f t="shared" si="17"/>
        <v>15611.300000000001</v>
      </c>
      <c r="AA40" s="59">
        <v>3.43</v>
      </c>
      <c r="AB40" s="59">
        <v>15467.67</v>
      </c>
      <c r="AC40" s="59">
        <v>0</v>
      </c>
      <c r="AD40" s="59">
        <v>54.18</v>
      </c>
      <c r="AE40" s="59">
        <v>86.02</v>
      </c>
      <c r="AF40" s="58">
        <f t="shared" si="18"/>
        <v>5199.53</v>
      </c>
      <c r="AG40" s="59">
        <v>85.33</v>
      </c>
      <c r="AH40" s="59">
        <v>57.79</v>
      </c>
      <c r="AI40" s="59">
        <v>497.83</v>
      </c>
      <c r="AJ40" s="59">
        <v>2333.7199999999998</v>
      </c>
      <c r="AK40" s="59">
        <v>71.73</v>
      </c>
      <c r="AL40" s="59">
        <v>2149.06</v>
      </c>
      <c r="AM40" s="59">
        <v>4.07</v>
      </c>
      <c r="AN40" s="58">
        <f t="shared" si="19"/>
        <v>3602.2200000000003</v>
      </c>
      <c r="AO40" s="58">
        <f t="shared" si="32"/>
        <v>10.840000000000002</v>
      </c>
      <c r="AP40" s="58">
        <f t="shared" si="33"/>
        <v>0</v>
      </c>
      <c r="AQ40" s="58">
        <f t="shared" si="34"/>
        <v>240.62</v>
      </c>
      <c r="AR40" s="58">
        <f t="shared" si="35"/>
        <v>1205.3100000000002</v>
      </c>
      <c r="AS40" s="58">
        <f t="shared" si="36"/>
        <v>47.21</v>
      </c>
      <c r="AT40" s="58">
        <f t="shared" si="37"/>
        <v>2068.15</v>
      </c>
      <c r="AU40" s="58">
        <f t="shared" si="38"/>
        <v>30.09</v>
      </c>
      <c r="AV40" s="58">
        <f t="shared" si="20"/>
        <v>1117.2</v>
      </c>
      <c r="AW40" s="59">
        <v>8.1300000000000008</v>
      </c>
      <c r="AX40" s="59">
        <v>0</v>
      </c>
      <c r="AY40" s="59">
        <v>61.89</v>
      </c>
      <c r="AZ40" s="59">
        <v>548.48</v>
      </c>
      <c r="BA40" s="59">
        <v>21.64</v>
      </c>
      <c r="BB40" s="59">
        <v>447.62</v>
      </c>
      <c r="BC40" s="59">
        <v>29.44</v>
      </c>
      <c r="BD40" s="58">
        <f t="shared" si="21"/>
        <v>2028.44</v>
      </c>
      <c r="BE40" s="59">
        <v>1.04</v>
      </c>
      <c r="BF40" s="59">
        <v>0</v>
      </c>
      <c r="BG40" s="59">
        <v>72.28</v>
      </c>
      <c r="BH40" s="59">
        <v>410.41</v>
      </c>
      <c r="BI40" s="59">
        <v>4.45</v>
      </c>
      <c r="BJ40" s="59">
        <v>1539.61</v>
      </c>
      <c r="BK40" s="59">
        <v>0.65</v>
      </c>
      <c r="BL40" s="58">
        <f t="shared" si="22"/>
        <v>177.67000000000002</v>
      </c>
      <c r="BM40" s="59">
        <v>0.84</v>
      </c>
      <c r="BN40" s="59">
        <v>0</v>
      </c>
      <c r="BO40" s="59">
        <v>50.78</v>
      </c>
      <c r="BP40" s="59">
        <v>24.11</v>
      </c>
      <c r="BQ40" s="59">
        <v>21.02</v>
      </c>
      <c r="BR40" s="59">
        <v>80.92</v>
      </c>
      <c r="BS40" s="59">
        <v>0</v>
      </c>
      <c r="BT40" s="58">
        <f t="shared" si="23"/>
        <v>278.91000000000003</v>
      </c>
      <c r="BU40" s="59">
        <v>0.83</v>
      </c>
      <c r="BV40" s="59">
        <v>0</v>
      </c>
      <c r="BW40" s="59">
        <v>55.67</v>
      </c>
      <c r="BX40" s="59">
        <v>222.31</v>
      </c>
      <c r="BY40" s="59">
        <v>0.1</v>
      </c>
      <c r="BZ40" s="59">
        <v>0</v>
      </c>
      <c r="CA40" s="59">
        <v>0</v>
      </c>
      <c r="CB40" s="58">
        <f t="shared" si="24"/>
        <v>2663.73</v>
      </c>
      <c r="CC40" s="59">
        <v>0</v>
      </c>
      <c r="CD40" s="59">
        <v>2489.1</v>
      </c>
      <c r="CE40" s="74">
        <v>174.63</v>
      </c>
    </row>
    <row r="41" spans="1:83" x14ac:dyDescent="0.35">
      <c r="A41" s="50" t="s">
        <v>206</v>
      </c>
      <c r="B41" s="58">
        <f t="shared" si="13"/>
        <v>43977.979999999989</v>
      </c>
      <c r="C41" s="58">
        <f t="shared" si="25"/>
        <v>408.21000000000004</v>
      </c>
      <c r="D41" s="58">
        <f t="shared" si="26"/>
        <v>249.09</v>
      </c>
      <c r="E41" s="58">
        <f t="shared" si="14"/>
        <v>19643.829999999998</v>
      </c>
      <c r="F41" s="58">
        <f t="shared" si="27"/>
        <v>15288.099999999999</v>
      </c>
      <c r="G41" s="58">
        <f t="shared" si="28"/>
        <v>266.74</v>
      </c>
      <c r="H41" s="58">
        <f t="shared" si="29"/>
        <v>7785.99</v>
      </c>
      <c r="I41" s="58">
        <f t="shared" si="30"/>
        <v>336.02</v>
      </c>
      <c r="J41" s="58">
        <f t="shared" si="31"/>
        <v>452.62</v>
      </c>
      <c r="K41" s="59">
        <v>0.18</v>
      </c>
      <c r="L41" s="59">
        <v>150.91</v>
      </c>
      <c r="M41" s="59">
        <v>4.71</v>
      </c>
      <c r="N41" s="59">
        <v>169.37</v>
      </c>
      <c r="O41" s="59">
        <v>0</v>
      </c>
      <c r="P41" s="59">
        <v>127.45</v>
      </c>
      <c r="Q41" s="59">
        <v>0</v>
      </c>
      <c r="R41" s="58">
        <f t="shared" si="16"/>
        <v>7490.9199999999992</v>
      </c>
      <c r="S41" s="59">
        <v>295.36</v>
      </c>
      <c r="T41" s="59">
        <v>61.12</v>
      </c>
      <c r="U41" s="59">
        <v>1517.05</v>
      </c>
      <c r="V41" s="59">
        <v>3034.91</v>
      </c>
      <c r="W41" s="59">
        <v>53.04</v>
      </c>
      <c r="X41" s="59">
        <v>2327.21</v>
      </c>
      <c r="Y41" s="59">
        <v>202.23</v>
      </c>
      <c r="Z41" s="58">
        <f t="shared" si="17"/>
        <v>14605.85</v>
      </c>
      <c r="AA41" s="59">
        <v>3.43</v>
      </c>
      <c r="AB41" s="59">
        <v>14448.15</v>
      </c>
      <c r="AC41" s="59">
        <v>0</v>
      </c>
      <c r="AD41" s="59">
        <v>68.25</v>
      </c>
      <c r="AE41" s="59">
        <v>86.02</v>
      </c>
      <c r="AF41" s="58">
        <f t="shared" si="18"/>
        <v>13838.900000000001</v>
      </c>
      <c r="AG41" s="59">
        <v>105.5</v>
      </c>
      <c r="AH41" s="59">
        <v>37.06</v>
      </c>
      <c r="AI41" s="59">
        <v>944.01</v>
      </c>
      <c r="AJ41" s="59">
        <v>9648.36</v>
      </c>
      <c r="AK41" s="59">
        <v>99.75</v>
      </c>
      <c r="AL41" s="59">
        <v>2988.28</v>
      </c>
      <c r="AM41" s="59">
        <v>15.94</v>
      </c>
      <c r="AN41" s="58">
        <f t="shared" si="19"/>
        <v>5018.66</v>
      </c>
      <c r="AO41" s="58">
        <f t="shared" si="32"/>
        <v>3.74</v>
      </c>
      <c r="AP41" s="58">
        <f t="shared" si="33"/>
        <v>0</v>
      </c>
      <c r="AQ41" s="58">
        <f t="shared" si="34"/>
        <v>333.51000000000005</v>
      </c>
      <c r="AR41" s="58">
        <f t="shared" si="35"/>
        <v>2260.83</v>
      </c>
      <c r="AS41" s="58">
        <f t="shared" si="36"/>
        <v>45.7</v>
      </c>
      <c r="AT41" s="58">
        <f t="shared" si="37"/>
        <v>2257.0300000000002</v>
      </c>
      <c r="AU41" s="58">
        <f t="shared" si="38"/>
        <v>117.85</v>
      </c>
      <c r="AV41" s="58">
        <f t="shared" si="20"/>
        <v>1668.2</v>
      </c>
      <c r="AW41" s="59">
        <v>1.03</v>
      </c>
      <c r="AX41" s="59">
        <v>0</v>
      </c>
      <c r="AY41" s="59">
        <v>75.12</v>
      </c>
      <c r="AZ41" s="59">
        <v>1028.8</v>
      </c>
      <c r="BA41" s="59">
        <v>20.66</v>
      </c>
      <c r="BB41" s="59">
        <v>427.27</v>
      </c>
      <c r="BC41" s="59">
        <v>115.32</v>
      </c>
      <c r="BD41" s="58">
        <f t="shared" si="21"/>
        <v>2672.2000000000003</v>
      </c>
      <c r="BE41" s="59">
        <v>1.04</v>
      </c>
      <c r="BF41" s="59">
        <v>0</v>
      </c>
      <c r="BG41" s="59">
        <v>140.46</v>
      </c>
      <c r="BH41" s="59">
        <v>769.82</v>
      </c>
      <c r="BI41" s="59">
        <v>5.07</v>
      </c>
      <c r="BJ41" s="59">
        <v>1753.28</v>
      </c>
      <c r="BK41" s="59">
        <v>2.5299999999999998</v>
      </c>
      <c r="BL41" s="58">
        <f t="shared" si="22"/>
        <v>208.42000000000002</v>
      </c>
      <c r="BM41" s="59">
        <v>0.84</v>
      </c>
      <c r="BN41" s="59">
        <v>0</v>
      </c>
      <c r="BO41" s="59">
        <v>66.010000000000005</v>
      </c>
      <c r="BP41" s="59">
        <v>45.22</v>
      </c>
      <c r="BQ41" s="59">
        <v>19.87</v>
      </c>
      <c r="BR41" s="59">
        <v>76.48</v>
      </c>
      <c r="BS41" s="59">
        <v>0</v>
      </c>
      <c r="BT41" s="58">
        <f t="shared" si="23"/>
        <v>469.84000000000003</v>
      </c>
      <c r="BU41" s="59">
        <v>0.83</v>
      </c>
      <c r="BV41" s="59">
        <v>0</v>
      </c>
      <c r="BW41" s="59">
        <v>51.92</v>
      </c>
      <c r="BX41" s="59">
        <v>416.99</v>
      </c>
      <c r="BY41" s="59">
        <v>0.1</v>
      </c>
      <c r="BZ41" s="59">
        <v>0</v>
      </c>
      <c r="CA41" s="59">
        <v>0</v>
      </c>
      <c r="CB41" s="58">
        <f t="shared" si="24"/>
        <v>2571.0300000000002</v>
      </c>
      <c r="CC41" s="59">
        <v>0</v>
      </c>
      <c r="CD41" s="59">
        <v>2396.4</v>
      </c>
      <c r="CE41" s="74">
        <v>174.63</v>
      </c>
    </row>
    <row r="42" spans="1:83" x14ac:dyDescent="0.35">
      <c r="A42" s="50" t="s">
        <v>207</v>
      </c>
      <c r="B42" s="58">
        <f t="shared" si="13"/>
        <v>47853.02</v>
      </c>
      <c r="C42" s="58">
        <f t="shared" si="25"/>
        <v>475.63</v>
      </c>
      <c r="D42" s="58">
        <f t="shared" si="26"/>
        <v>261.02</v>
      </c>
      <c r="E42" s="58">
        <f t="shared" si="14"/>
        <v>19723.28</v>
      </c>
      <c r="F42" s="58">
        <f t="shared" si="27"/>
        <v>18800.39</v>
      </c>
      <c r="G42" s="58">
        <f t="shared" si="28"/>
        <v>306.32999999999993</v>
      </c>
      <c r="H42" s="58">
        <f t="shared" si="29"/>
        <v>7890.66</v>
      </c>
      <c r="I42" s="58">
        <f t="shared" si="30"/>
        <v>395.71</v>
      </c>
      <c r="J42" s="58">
        <f t="shared" si="31"/>
        <v>472.37999999999994</v>
      </c>
      <c r="K42" s="59">
        <v>13.61</v>
      </c>
      <c r="L42" s="59">
        <v>159.41999999999999</v>
      </c>
      <c r="M42" s="59">
        <v>23.04</v>
      </c>
      <c r="N42" s="59">
        <v>168.38</v>
      </c>
      <c r="O42" s="59">
        <v>0</v>
      </c>
      <c r="P42" s="59">
        <v>107.93</v>
      </c>
      <c r="Q42" s="59">
        <v>0</v>
      </c>
      <c r="R42" s="58">
        <f t="shared" si="16"/>
        <v>8545.5799999999981</v>
      </c>
      <c r="S42" s="59">
        <v>315.44</v>
      </c>
      <c r="T42" s="59">
        <v>63.8</v>
      </c>
      <c r="U42" s="59">
        <v>1518.34</v>
      </c>
      <c r="V42" s="59">
        <v>4027.95</v>
      </c>
      <c r="W42" s="59">
        <v>69.36</v>
      </c>
      <c r="X42" s="59">
        <v>2326.73</v>
      </c>
      <c r="Y42" s="59">
        <v>223.96</v>
      </c>
      <c r="Z42" s="58">
        <f t="shared" si="17"/>
        <v>14365.76</v>
      </c>
      <c r="AA42" s="59">
        <v>3.43</v>
      </c>
      <c r="AB42" s="59">
        <v>14202.51</v>
      </c>
      <c r="AC42" s="59">
        <v>0</v>
      </c>
      <c r="AD42" s="59">
        <v>74.66</v>
      </c>
      <c r="AE42" s="59">
        <v>85.16</v>
      </c>
      <c r="AF42" s="58">
        <f t="shared" si="18"/>
        <v>15360.800000000001</v>
      </c>
      <c r="AG42" s="59">
        <v>137.31</v>
      </c>
      <c r="AH42" s="59">
        <v>37.799999999999997</v>
      </c>
      <c r="AI42" s="59">
        <v>993.42</v>
      </c>
      <c r="AJ42" s="59">
        <v>11028.78</v>
      </c>
      <c r="AK42" s="59">
        <v>114.41</v>
      </c>
      <c r="AL42" s="59">
        <v>3028.91</v>
      </c>
      <c r="AM42" s="59">
        <v>20.170000000000002</v>
      </c>
      <c r="AN42" s="58">
        <f t="shared" si="19"/>
        <v>6425.73</v>
      </c>
      <c r="AO42" s="58">
        <f t="shared" si="32"/>
        <v>5.84</v>
      </c>
      <c r="AP42" s="58">
        <f t="shared" si="33"/>
        <v>0</v>
      </c>
      <c r="AQ42" s="58">
        <f t="shared" si="34"/>
        <v>523.06999999999994</v>
      </c>
      <c r="AR42" s="58">
        <f t="shared" si="35"/>
        <v>3355.41</v>
      </c>
      <c r="AS42" s="58">
        <f t="shared" si="36"/>
        <v>47.9</v>
      </c>
      <c r="AT42" s="58">
        <f t="shared" si="37"/>
        <v>2341.9300000000003</v>
      </c>
      <c r="AU42" s="58">
        <f t="shared" si="38"/>
        <v>151.57999999999998</v>
      </c>
      <c r="AV42" s="58">
        <f t="shared" si="20"/>
        <v>2245.1</v>
      </c>
      <c r="AW42" s="59">
        <v>3.7</v>
      </c>
      <c r="AX42" s="59">
        <v>0</v>
      </c>
      <c r="AY42" s="59">
        <v>143.93</v>
      </c>
      <c r="AZ42" s="59">
        <v>1501.87</v>
      </c>
      <c r="BA42" s="59">
        <v>21.78</v>
      </c>
      <c r="BB42" s="59">
        <v>425</v>
      </c>
      <c r="BC42" s="59">
        <v>148.82</v>
      </c>
      <c r="BD42" s="58">
        <f t="shared" si="21"/>
        <v>3203.17</v>
      </c>
      <c r="BE42" s="59">
        <v>1.05</v>
      </c>
      <c r="BF42" s="59">
        <v>0</v>
      </c>
      <c r="BG42" s="59">
        <v>186.73</v>
      </c>
      <c r="BH42" s="59">
        <v>1171.1600000000001</v>
      </c>
      <c r="BI42" s="59">
        <v>5.3</v>
      </c>
      <c r="BJ42" s="59">
        <v>1836.17</v>
      </c>
      <c r="BK42" s="59">
        <v>2.76</v>
      </c>
      <c r="BL42" s="58">
        <f t="shared" si="22"/>
        <v>294.51</v>
      </c>
      <c r="BM42" s="59">
        <v>0.67</v>
      </c>
      <c r="BN42" s="59">
        <v>0</v>
      </c>
      <c r="BO42" s="59">
        <v>121.65</v>
      </c>
      <c r="BP42" s="59">
        <v>70.709999999999994</v>
      </c>
      <c r="BQ42" s="59">
        <v>20.72</v>
      </c>
      <c r="BR42" s="59">
        <v>80.760000000000005</v>
      </c>
      <c r="BS42" s="59">
        <v>0</v>
      </c>
      <c r="BT42" s="58">
        <f t="shared" si="23"/>
        <v>682.94999999999993</v>
      </c>
      <c r="BU42" s="59">
        <v>0.42</v>
      </c>
      <c r="BV42" s="59">
        <v>0</v>
      </c>
      <c r="BW42" s="59">
        <v>70.760000000000005</v>
      </c>
      <c r="BX42" s="59">
        <v>611.66999999999996</v>
      </c>
      <c r="BY42" s="59">
        <v>0.1</v>
      </c>
      <c r="BZ42" s="59">
        <v>0</v>
      </c>
      <c r="CA42" s="59">
        <v>0</v>
      </c>
      <c r="CB42" s="58">
        <f t="shared" si="24"/>
        <v>2682.77</v>
      </c>
      <c r="CC42" s="59">
        <v>0</v>
      </c>
      <c r="CD42" s="59">
        <v>2462.9</v>
      </c>
      <c r="CE42" s="74">
        <v>219.87</v>
      </c>
    </row>
    <row r="43" spans="1:83" x14ac:dyDescent="0.35">
      <c r="A43" s="50" t="s">
        <v>208</v>
      </c>
      <c r="B43" s="58">
        <f t="shared" si="13"/>
        <v>36313.300000000003</v>
      </c>
      <c r="C43" s="58">
        <f t="shared" si="25"/>
        <v>444.04</v>
      </c>
      <c r="D43" s="58">
        <f t="shared" si="26"/>
        <v>253.66</v>
      </c>
      <c r="E43" s="58">
        <f t="shared" si="14"/>
        <v>19427.620000000003</v>
      </c>
      <c r="F43" s="58">
        <f t="shared" si="27"/>
        <v>8791.4800000000014</v>
      </c>
      <c r="G43" s="58">
        <f t="shared" si="28"/>
        <v>294.97000000000003</v>
      </c>
      <c r="H43" s="58">
        <f t="shared" si="29"/>
        <v>6807.4099999999989</v>
      </c>
      <c r="I43" s="58">
        <f t="shared" si="30"/>
        <v>294.12</v>
      </c>
      <c r="J43" s="58">
        <f t="shared" si="31"/>
        <v>451.65999999999997</v>
      </c>
      <c r="K43" s="59">
        <v>13.61</v>
      </c>
      <c r="L43" s="59">
        <v>153.63999999999999</v>
      </c>
      <c r="M43" s="59">
        <v>22.13</v>
      </c>
      <c r="N43" s="59">
        <v>155.54</v>
      </c>
      <c r="O43" s="59">
        <v>0</v>
      </c>
      <c r="P43" s="59">
        <v>106.74</v>
      </c>
      <c r="Q43" s="59">
        <v>0</v>
      </c>
      <c r="R43" s="58">
        <f t="shared" si="16"/>
        <v>6395.3300000000008</v>
      </c>
      <c r="S43" s="59">
        <v>310.67</v>
      </c>
      <c r="T43" s="59">
        <v>55.9</v>
      </c>
      <c r="U43" s="59">
        <v>1336.2</v>
      </c>
      <c r="V43" s="59">
        <v>2119.61</v>
      </c>
      <c r="W43" s="59">
        <v>68.03</v>
      </c>
      <c r="X43" s="59">
        <v>2280.96</v>
      </c>
      <c r="Y43" s="59">
        <v>223.96</v>
      </c>
      <c r="Z43" s="58">
        <f t="shared" si="17"/>
        <v>15354.76</v>
      </c>
      <c r="AA43" s="59">
        <v>3.43</v>
      </c>
      <c r="AB43" s="59">
        <v>15172.64</v>
      </c>
      <c r="AC43" s="59">
        <v>0</v>
      </c>
      <c r="AD43" s="59">
        <v>93.53</v>
      </c>
      <c r="AE43" s="59">
        <v>85.16</v>
      </c>
      <c r="AF43" s="58">
        <f t="shared" si="18"/>
        <v>7751.369999999999</v>
      </c>
      <c r="AG43" s="59">
        <v>112.63</v>
      </c>
      <c r="AH43" s="59">
        <v>44.12</v>
      </c>
      <c r="AI43" s="59">
        <v>531.04</v>
      </c>
      <c r="AJ43" s="59">
        <v>4677.78</v>
      </c>
      <c r="AK43" s="59">
        <v>86.54</v>
      </c>
      <c r="AL43" s="59">
        <v>2291.02</v>
      </c>
      <c r="AM43" s="59">
        <v>8.24</v>
      </c>
      <c r="AN43" s="58">
        <f t="shared" si="19"/>
        <v>4140.4699999999993</v>
      </c>
      <c r="AO43" s="58">
        <f t="shared" si="32"/>
        <v>3.7</v>
      </c>
      <c r="AP43" s="58">
        <f t="shared" si="33"/>
        <v>0</v>
      </c>
      <c r="AQ43" s="58">
        <f t="shared" si="34"/>
        <v>365.77</v>
      </c>
      <c r="AR43" s="58">
        <f t="shared" si="35"/>
        <v>1618.6799999999998</v>
      </c>
      <c r="AS43" s="58">
        <f t="shared" si="36"/>
        <v>46.87</v>
      </c>
      <c r="AT43" s="58">
        <f t="shared" si="37"/>
        <v>2043.53</v>
      </c>
      <c r="AU43" s="58">
        <f t="shared" si="38"/>
        <v>61.92</v>
      </c>
      <c r="AV43" s="58">
        <f t="shared" si="20"/>
        <v>1353.1</v>
      </c>
      <c r="AW43" s="59">
        <v>1.56</v>
      </c>
      <c r="AX43" s="59">
        <v>0</v>
      </c>
      <c r="AY43" s="59">
        <v>113.61</v>
      </c>
      <c r="AZ43" s="59">
        <v>724.52</v>
      </c>
      <c r="BA43" s="59">
        <v>22.07</v>
      </c>
      <c r="BB43" s="59">
        <v>430.55</v>
      </c>
      <c r="BC43" s="59">
        <v>60.79</v>
      </c>
      <c r="BD43" s="58">
        <f t="shared" si="21"/>
        <v>2187.3000000000002</v>
      </c>
      <c r="BE43" s="59">
        <v>1.05</v>
      </c>
      <c r="BF43" s="59">
        <v>0</v>
      </c>
      <c r="BG43" s="59">
        <v>81.77</v>
      </c>
      <c r="BH43" s="59">
        <v>564.98</v>
      </c>
      <c r="BI43" s="59">
        <v>4.43</v>
      </c>
      <c r="BJ43" s="59">
        <v>1533.94</v>
      </c>
      <c r="BK43" s="59">
        <v>1.1299999999999999</v>
      </c>
      <c r="BL43" s="58">
        <f t="shared" si="22"/>
        <v>223.45</v>
      </c>
      <c r="BM43" s="59">
        <v>0.67</v>
      </c>
      <c r="BN43" s="59">
        <v>0</v>
      </c>
      <c r="BO43" s="59">
        <v>89.36</v>
      </c>
      <c r="BP43" s="59">
        <v>34.11</v>
      </c>
      <c r="BQ43" s="59">
        <v>20.27</v>
      </c>
      <c r="BR43" s="59">
        <v>79.040000000000006</v>
      </c>
      <c r="BS43" s="59">
        <v>0</v>
      </c>
      <c r="BT43" s="58">
        <f t="shared" si="23"/>
        <v>376.62</v>
      </c>
      <c r="BU43" s="59">
        <v>0.42</v>
      </c>
      <c r="BV43" s="59">
        <v>0</v>
      </c>
      <c r="BW43" s="59">
        <v>81.03</v>
      </c>
      <c r="BX43" s="59">
        <v>295.07</v>
      </c>
      <c r="BY43" s="59">
        <v>0.1</v>
      </c>
      <c r="BZ43" s="59">
        <v>0</v>
      </c>
      <c r="CA43" s="59">
        <v>0</v>
      </c>
      <c r="CB43" s="58">
        <f t="shared" si="24"/>
        <v>2219.71</v>
      </c>
      <c r="CC43" s="59">
        <v>0</v>
      </c>
      <c r="CD43" s="59">
        <v>1999.84</v>
      </c>
      <c r="CE43" s="74">
        <v>219.87</v>
      </c>
    </row>
    <row r="44" spans="1:83" x14ac:dyDescent="0.35">
      <c r="A44" s="50" t="s">
        <v>209</v>
      </c>
      <c r="B44" s="58">
        <f t="shared" si="13"/>
        <v>34331.949999999997</v>
      </c>
      <c r="C44" s="58">
        <f t="shared" si="25"/>
        <v>421.05</v>
      </c>
      <c r="D44" s="58">
        <f t="shared" si="26"/>
        <v>262.87</v>
      </c>
      <c r="E44" s="58">
        <f t="shared" si="14"/>
        <v>19829.59</v>
      </c>
      <c r="F44" s="58">
        <f t="shared" si="27"/>
        <v>6589.0099999999993</v>
      </c>
      <c r="G44" s="58">
        <f t="shared" si="28"/>
        <v>290.27999999999997</v>
      </c>
      <c r="H44" s="58">
        <f t="shared" si="29"/>
        <v>6672.61</v>
      </c>
      <c r="I44" s="58">
        <f t="shared" si="30"/>
        <v>266.54000000000002</v>
      </c>
      <c r="J44" s="58">
        <f t="shared" si="31"/>
        <v>412.04</v>
      </c>
      <c r="K44" s="59">
        <v>13.61</v>
      </c>
      <c r="L44" s="59">
        <v>144.25</v>
      </c>
      <c r="M44" s="59">
        <v>3.75</v>
      </c>
      <c r="N44" s="59">
        <v>145.76</v>
      </c>
      <c r="O44" s="59">
        <v>0</v>
      </c>
      <c r="P44" s="59">
        <v>104.67</v>
      </c>
      <c r="Q44" s="59">
        <v>0</v>
      </c>
      <c r="R44" s="58">
        <f t="shared" si="16"/>
        <v>6006.45</v>
      </c>
      <c r="S44" s="59">
        <v>291.70999999999998</v>
      </c>
      <c r="T44" s="59">
        <v>59.04</v>
      </c>
      <c r="U44" s="59">
        <v>1414.25</v>
      </c>
      <c r="V44" s="59">
        <v>1704.68</v>
      </c>
      <c r="W44" s="59">
        <v>66.97</v>
      </c>
      <c r="X44" s="59">
        <v>2245.84</v>
      </c>
      <c r="Y44" s="59">
        <v>223.96</v>
      </c>
      <c r="Z44" s="58">
        <f t="shared" si="17"/>
        <v>15605.769999999999</v>
      </c>
      <c r="AA44" s="59">
        <v>3.43</v>
      </c>
      <c r="AB44" s="59">
        <v>15423.63</v>
      </c>
      <c r="AC44" s="59">
        <v>0</v>
      </c>
      <c r="AD44" s="59">
        <v>93.55</v>
      </c>
      <c r="AE44" s="59">
        <v>85.16</v>
      </c>
      <c r="AF44" s="58">
        <f t="shared" si="18"/>
        <v>6296.57</v>
      </c>
      <c r="AG44" s="59">
        <v>108.82</v>
      </c>
      <c r="AH44" s="59">
        <v>59.58</v>
      </c>
      <c r="AI44" s="59">
        <v>452.83</v>
      </c>
      <c r="AJ44" s="59">
        <v>3396.35</v>
      </c>
      <c r="AK44" s="59">
        <v>82.77</v>
      </c>
      <c r="AL44" s="59">
        <v>2191.2199999999998</v>
      </c>
      <c r="AM44" s="59">
        <v>5</v>
      </c>
      <c r="AN44" s="58">
        <f t="shared" si="19"/>
        <v>3588.46</v>
      </c>
      <c r="AO44" s="58">
        <f t="shared" si="32"/>
        <v>3.48</v>
      </c>
      <c r="AP44" s="58">
        <f t="shared" si="33"/>
        <v>0</v>
      </c>
      <c r="AQ44" s="58">
        <f t="shared" si="34"/>
        <v>332.34000000000003</v>
      </c>
      <c r="AR44" s="58">
        <f t="shared" si="35"/>
        <v>1122.3499999999999</v>
      </c>
      <c r="AS44" s="58">
        <f t="shared" si="36"/>
        <v>46.99</v>
      </c>
      <c r="AT44" s="58">
        <f t="shared" si="37"/>
        <v>2045.72</v>
      </c>
      <c r="AU44" s="58">
        <f t="shared" si="38"/>
        <v>37.58</v>
      </c>
      <c r="AV44" s="58">
        <f t="shared" si="20"/>
        <v>1108.3</v>
      </c>
      <c r="AW44" s="59">
        <v>1.34</v>
      </c>
      <c r="AX44" s="59">
        <v>0</v>
      </c>
      <c r="AY44" s="59">
        <v>112.84</v>
      </c>
      <c r="AZ44" s="59">
        <v>502.36</v>
      </c>
      <c r="BA44" s="59">
        <v>22.18</v>
      </c>
      <c r="BB44" s="59">
        <v>432.68</v>
      </c>
      <c r="BC44" s="59">
        <v>36.9</v>
      </c>
      <c r="BD44" s="58">
        <f t="shared" si="21"/>
        <v>2019.5900000000001</v>
      </c>
      <c r="BE44" s="59">
        <v>1.05</v>
      </c>
      <c r="BF44" s="59">
        <v>0</v>
      </c>
      <c r="BG44" s="59">
        <v>87.7</v>
      </c>
      <c r="BH44" s="59">
        <v>391.74</v>
      </c>
      <c r="BI44" s="59">
        <v>4.43</v>
      </c>
      <c r="BJ44" s="59">
        <v>1533.99</v>
      </c>
      <c r="BK44" s="59">
        <v>0.68</v>
      </c>
      <c r="BL44" s="58">
        <f t="shared" si="22"/>
        <v>177.57999999999998</v>
      </c>
      <c r="BM44" s="59">
        <v>0.67</v>
      </c>
      <c r="BN44" s="59">
        <v>0</v>
      </c>
      <c r="BO44" s="59">
        <v>53.93</v>
      </c>
      <c r="BP44" s="59">
        <v>23.65</v>
      </c>
      <c r="BQ44" s="59">
        <v>20.28</v>
      </c>
      <c r="BR44" s="59">
        <v>79.05</v>
      </c>
      <c r="BS44" s="59">
        <v>0</v>
      </c>
      <c r="BT44" s="58">
        <f t="shared" si="23"/>
        <v>282.99</v>
      </c>
      <c r="BU44" s="59">
        <v>0.42</v>
      </c>
      <c r="BV44" s="59">
        <v>0</v>
      </c>
      <c r="BW44" s="59">
        <v>77.87</v>
      </c>
      <c r="BX44" s="59">
        <v>204.6</v>
      </c>
      <c r="BY44" s="59">
        <v>0.1</v>
      </c>
      <c r="BZ44" s="59">
        <v>0</v>
      </c>
      <c r="CA44" s="59">
        <v>0</v>
      </c>
      <c r="CB44" s="58">
        <f t="shared" si="24"/>
        <v>2422.66</v>
      </c>
      <c r="CC44" s="59">
        <v>0</v>
      </c>
      <c r="CD44" s="59">
        <v>2202.79</v>
      </c>
      <c r="CE44" s="74">
        <v>219.87</v>
      </c>
    </row>
    <row r="45" spans="1:83" x14ac:dyDescent="0.35">
      <c r="A45" s="50" t="s">
        <v>210</v>
      </c>
      <c r="B45" s="58">
        <f t="shared" si="13"/>
        <v>45490.420000000006</v>
      </c>
      <c r="C45" s="58">
        <f t="shared" si="25"/>
        <v>447.04</v>
      </c>
      <c r="D45" s="58">
        <f t="shared" si="26"/>
        <v>254.76</v>
      </c>
      <c r="E45" s="58">
        <f t="shared" si="14"/>
        <v>19397.13</v>
      </c>
      <c r="F45" s="58">
        <f t="shared" si="27"/>
        <v>16659.539999999997</v>
      </c>
      <c r="G45" s="58">
        <f t="shared" si="28"/>
        <v>343.83</v>
      </c>
      <c r="H45" s="58">
        <f t="shared" si="29"/>
        <v>8006.5099999999993</v>
      </c>
      <c r="I45" s="58">
        <f t="shared" si="30"/>
        <v>381.61</v>
      </c>
      <c r="J45" s="58">
        <f t="shared" si="31"/>
        <v>439.59999999999997</v>
      </c>
      <c r="K45" s="59">
        <v>13.61</v>
      </c>
      <c r="L45" s="59">
        <v>142.94</v>
      </c>
      <c r="M45" s="59">
        <v>17.88</v>
      </c>
      <c r="N45" s="59">
        <v>159.97</v>
      </c>
      <c r="O45" s="59">
        <v>0</v>
      </c>
      <c r="P45" s="59">
        <v>105.2</v>
      </c>
      <c r="Q45" s="59">
        <v>0</v>
      </c>
      <c r="R45" s="58">
        <f t="shared" si="16"/>
        <v>7817.2400000000007</v>
      </c>
      <c r="S45" s="59">
        <v>296.13</v>
      </c>
      <c r="T45" s="59">
        <v>60.29</v>
      </c>
      <c r="U45" s="59">
        <v>1759.75</v>
      </c>
      <c r="V45" s="59">
        <v>2984.19</v>
      </c>
      <c r="W45" s="59">
        <v>71.97</v>
      </c>
      <c r="X45" s="59">
        <v>2420.9499999999998</v>
      </c>
      <c r="Y45" s="59">
        <v>223.96</v>
      </c>
      <c r="Z45" s="58">
        <f t="shared" si="17"/>
        <v>14444.660000000002</v>
      </c>
      <c r="AA45" s="59">
        <v>3.43</v>
      </c>
      <c r="AB45" s="59">
        <v>14256.12</v>
      </c>
      <c r="AC45" s="59">
        <v>0</v>
      </c>
      <c r="AD45" s="59">
        <v>99.95</v>
      </c>
      <c r="AE45" s="59">
        <v>85.16</v>
      </c>
      <c r="AF45" s="58">
        <f t="shared" si="18"/>
        <v>15523.7</v>
      </c>
      <c r="AG45" s="59">
        <v>128.34</v>
      </c>
      <c r="AH45" s="59">
        <v>51.53</v>
      </c>
      <c r="AI45" s="59">
        <v>899.53</v>
      </c>
      <c r="AJ45" s="59">
        <v>11238.27</v>
      </c>
      <c r="AK45" s="59">
        <v>116.02</v>
      </c>
      <c r="AL45" s="59">
        <v>3071.49</v>
      </c>
      <c r="AM45" s="59">
        <v>18.52</v>
      </c>
      <c r="AN45" s="58">
        <f t="shared" si="19"/>
        <v>4861.13</v>
      </c>
      <c r="AO45" s="58">
        <f t="shared" si="32"/>
        <v>5.53</v>
      </c>
      <c r="AP45" s="58">
        <f t="shared" si="33"/>
        <v>0</v>
      </c>
      <c r="AQ45" s="58">
        <f t="shared" si="34"/>
        <v>279.63</v>
      </c>
      <c r="AR45" s="58">
        <f t="shared" si="35"/>
        <v>2057.2399999999998</v>
      </c>
      <c r="AS45" s="58">
        <f t="shared" si="36"/>
        <v>55.890000000000008</v>
      </c>
      <c r="AT45" s="58">
        <f t="shared" si="37"/>
        <v>2323.71</v>
      </c>
      <c r="AU45" s="58">
        <f t="shared" si="38"/>
        <v>139.13</v>
      </c>
      <c r="AV45" s="58">
        <f t="shared" si="20"/>
        <v>1639.36</v>
      </c>
      <c r="AW45" s="59">
        <v>3.39</v>
      </c>
      <c r="AX45" s="59">
        <v>0</v>
      </c>
      <c r="AY45" s="59">
        <v>117.1</v>
      </c>
      <c r="AZ45" s="59">
        <v>920.81</v>
      </c>
      <c r="BA45" s="59">
        <v>22.5</v>
      </c>
      <c r="BB45" s="59">
        <v>438.96</v>
      </c>
      <c r="BC45" s="59">
        <v>136.6</v>
      </c>
      <c r="BD45" s="58">
        <f t="shared" si="21"/>
        <v>2554.0800000000004</v>
      </c>
      <c r="BE45" s="59">
        <v>1.05</v>
      </c>
      <c r="BF45" s="59">
        <v>0</v>
      </c>
      <c r="BG45" s="59">
        <v>52.39</v>
      </c>
      <c r="BH45" s="59">
        <v>718.05</v>
      </c>
      <c r="BI45" s="59">
        <v>5.12</v>
      </c>
      <c r="BJ45" s="59">
        <v>1774.94</v>
      </c>
      <c r="BK45" s="59">
        <v>2.5299999999999998</v>
      </c>
      <c r="BL45" s="58">
        <f t="shared" si="22"/>
        <v>211.44</v>
      </c>
      <c r="BM45" s="59">
        <v>0.67</v>
      </c>
      <c r="BN45" s="59">
        <v>0</v>
      </c>
      <c r="BO45" s="59">
        <v>29.43</v>
      </c>
      <c r="BP45" s="59">
        <v>43.36</v>
      </c>
      <c r="BQ45" s="59">
        <v>28.17</v>
      </c>
      <c r="BR45" s="59">
        <v>109.81</v>
      </c>
      <c r="BS45" s="59">
        <v>0</v>
      </c>
      <c r="BT45" s="58">
        <f t="shared" si="23"/>
        <v>456.25</v>
      </c>
      <c r="BU45" s="59">
        <v>0.42</v>
      </c>
      <c r="BV45" s="59">
        <v>0</v>
      </c>
      <c r="BW45" s="59">
        <v>80.709999999999994</v>
      </c>
      <c r="BX45" s="59">
        <v>375.02</v>
      </c>
      <c r="BY45" s="59">
        <v>0.1</v>
      </c>
      <c r="BZ45" s="59">
        <v>0</v>
      </c>
      <c r="CA45" s="59">
        <v>0</v>
      </c>
      <c r="CB45" s="58">
        <f t="shared" si="24"/>
        <v>2404.0899999999997</v>
      </c>
      <c r="CC45" s="59">
        <v>0</v>
      </c>
      <c r="CD45" s="59">
        <v>2184.2199999999998</v>
      </c>
      <c r="CE45" s="74">
        <v>219.87</v>
      </c>
    </row>
    <row r="46" spans="1:83" x14ac:dyDescent="0.35">
      <c r="A46" s="50" t="s">
        <v>211</v>
      </c>
      <c r="B46" s="58">
        <f t="shared" si="13"/>
        <v>49294.390000000007</v>
      </c>
      <c r="C46" s="58">
        <f t="shared" si="25"/>
        <v>511.1</v>
      </c>
      <c r="D46" s="58">
        <f t="shared" si="26"/>
        <v>256.8</v>
      </c>
      <c r="E46" s="58">
        <f t="shared" si="14"/>
        <v>19520.73</v>
      </c>
      <c r="F46" s="58">
        <f t="shared" si="27"/>
        <v>19863.410000000003</v>
      </c>
      <c r="G46" s="58">
        <f t="shared" si="28"/>
        <v>572.29</v>
      </c>
      <c r="H46" s="58">
        <f t="shared" si="29"/>
        <v>8132.2699999999986</v>
      </c>
      <c r="I46" s="58">
        <f t="shared" si="30"/>
        <v>437.78999999999996</v>
      </c>
      <c r="J46" s="58">
        <f t="shared" si="31"/>
        <v>424.7</v>
      </c>
      <c r="K46" s="59">
        <v>12.3</v>
      </c>
      <c r="L46" s="59">
        <v>134.02000000000001</v>
      </c>
      <c r="M46" s="59">
        <v>1.73</v>
      </c>
      <c r="N46" s="59">
        <v>173.98</v>
      </c>
      <c r="O46" s="59">
        <v>0</v>
      </c>
      <c r="P46" s="59">
        <v>102.67</v>
      </c>
      <c r="Q46" s="59">
        <v>0</v>
      </c>
      <c r="R46" s="58">
        <f t="shared" si="16"/>
        <v>8664.6200000000008</v>
      </c>
      <c r="S46" s="59">
        <v>345.08</v>
      </c>
      <c r="T46" s="59">
        <v>58.46</v>
      </c>
      <c r="U46" s="59">
        <v>1536.82</v>
      </c>
      <c r="V46" s="59">
        <v>3848.63</v>
      </c>
      <c r="W46" s="59">
        <v>110.26</v>
      </c>
      <c r="X46" s="59">
        <v>2510.19</v>
      </c>
      <c r="Y46" s="59">
        <v>255.18</v>
      </c>
      <c r="Z46" s="58">
        <f t="shared" si="17"/>
        <v>14379.269999999999</v>
      </c>
      <c r="AA46" s="59">
        <v>3.38</v>
      </c>
      <c r="AB46" s="59">
        <v>14189.46</v>
      </c>
      <c r="AC46" s="59">
        <v>0</v>
      </c>
      <c r="AD46" s="59">
        <v>101.44</v>
      </c>
      <c r="AE46" s="59">
        <v>84.99</v>
      </c>
      <c r="AF46" s="58">
        <f t="shared" si="18"/>
        <v>16568.87</v>
      </c>
      <c r="AG46" s="59">
        <v>144.84</v>
      </c>
      <c r="AH46" s="59">
        <v>64.319999999999993</v>
      </c>
      <c r="AI46" s="59">
        <v>1005.61</v>
      </c>
      <c r="AJ46" s="59">
        <v>12264.09</v>
      </c>
      <c r="AK46" s="59">
        <v>86.49</v>
      </c>
      <c r="AL46" s="59">
        <v>2982.2</v>
      </c>
      <c r="AM46" s="59">
        <v>21.32</v>
      </c>
      <c r="AN46" s="58">
        <f t="shared" si="19"/>
        <v>6698.3099999999995</v>
      </c>
      <c r="AO46" s="58">
        <f t="shared" si="32"/>
        <v>5.5</v>
      </c>
      <c r="AP46" s="58">
        <f t="shared" si="33"/>
        <v>0</v>
      </c>
      <c r="AQ46" s="58">
        <f t="shared" si="34"/>
        <v>404.89000000000004</v>
      </c>
      <c r="AR46" s="58">
        <f t="shared" si="35"/>
        <v>3400.31</v>
      </c>
      <c r="AS46" s="58">
        <f t="shared" si="36"/>
        <v>274.10000000000002</v>
      </c>
      <c r="AT46" s="58">
        <f t="shared" si="37"/>
        <v>2452.2199999999998</v>
      </c>
      <c r="AU46" s="58">
        <f t="shared" si="38"/>
        <v>161.29</v>
      </c>
      <c r="AV46" s="58">
        <f t="shared" si="20"/>
        <v>2107.86</v>
      </c>
      <c r="AW46" s="59">
        <v>2.63</v>
      </c>
      <c r="AX46" s="59">
        <v>0</v>
      </c>
      <c r="AY46" s="59">
        <v>123.28</v>
      </c>
      <c r="AZ46" s="59">
        <v>1363.71</v>
      </c>
      <c r="BA46" s="59">
        <v>18.77</v>
      </c>
      <c r="BB46" s="59">
        <v>440.72</v>
      </c>
      <c r="BC46" s="59">
        <v>158.75</v>
      </c>
      <c r="BD46" s="58">
        <f t="shared" si="21"/>
        <v>3655.1</v>
      </c>
      <c r="BE46" s="59">
        <v>1.75</v>
      </c>
      <c r="BF46" s="59">
        <v>0</v>
      </c>
      <c r="BG46" s="59">
        <v>126.21</v>
      </c>
      <c r="BH46" s="59">
        <v>1437.33</v>
      </c>
      <c r="BI46" s="59">
        <v>203.26</v>
      </c>
      <c r="BJ46" s="59">
        <v>1884.01</v>
      </c>
      <c r="BK46" s="59">
        <v>2.54</v>
      </c>
      <c r="BL46" s="58">
        <f t="shared" si="22"/>
        <v>327.45</v>
      </c>
      <c r="BM46" s="59">
        <v>0.84</v>
      </c>
      <c r="BN46" s="59">
        <v>0</v>
      </c>
      <c r="BO46" s="59">
        <v>104.61</v>
      </c>
      <c r="BP46" s="59">
        <v>43.35</v>
      </c>
      <c r="BQ46" s="59">
        <v>51.16</v>
      </c>
      <c r="BR46" s="59">
        <v>127.49</v>
      </c>
      <c r="BS46" s="59">
        <v>0</v>
      </c>
      <c r="BT46" s="58">
        <f t="shared" si="23"/>
        <v>607.9</v>
      </c>
      <c r="BU46" s="59">
        <v>0.28000000000000003</v>
      </c>
      <c r="BV46" s="59">
        <v>0</v>
      </c>
      <c r="BW46" s="59">
        <v>50.79</v>
      </c>
      <c r="BX46" s="59">
        <v>555.91999999999996</v>
      </c>
      <c r="BY46" s="59">
        <v>0.91</v>
      </c>
      <c r="BZ46" s="59">
        <v>0</v>
      </c>
      <c r="CA46" s="59">
        <v>0</v>
      </c>
      <c r="CB46" s="58">
        <f t="shared" si="24"/>
        <v>2558.62</v>
      </c>
      <c r="CC46" s="59">
        <v>0</v>
      </c>
      <c r="CD46" s="59">
        <v>2382.2199999999998</v>
      </c>
      <c r="CE46" s="74">
        <v>176.4</v>
      </c>
    </row>
    <row r="47" spans="1:83" x14ac:dyDescent="0.35">
      <c r="A47" s="50" t="s">
        <v>212</v>
      </c>
      <c r="B47" s="58">
        <f>SUM(C47:I47)</f>
        <v>37275.679999999993</v>
      </c>
      <c r="C47" s="58">
        <f t="shared" si="25"/>
        <v>447.1</v>
      </c>
      <c r="D47" s="58">
        <f t="shared" si="26"/>
        <v>247.16000000000003</v>
      </c>
      <c r="E47" s="58">
        <f t="shared" si="14"/>
        <v>18840.25</v>
      </c>
      <c r="F47" s="58">
        <f t="shared" si="27"/>
        <v>9929.7200000000012</v>
      </c>
      <c r="G47" s="58">
        <f t="shared" si="28"/>
        <v>595.26</v>
      </c>
      <c r="H47" s="58">
        <f t="shared" si="29"/>
        <v>6888.6299999999992</v>
      </c>
      <c r="I47" s="58">
        <f t="shared" si="30"/>
        <v>327.56</v>
      </c>
      <c r="J47" s="58">
        <f t="shared" si="31"/>
        <v>423.36000000000007</v>
      </c>
      <c r="K47" s="59">
        <v>12.3</v>
      </c>
      <c r="L47" s="59">
        <v>130.99</v>
      </c>
      <c r="M47" s="59">
        <v>1.74</v>
      </c>
      <c r="N47" s="59">
        <v>176.54</v>
      </c>
      <c r="O47" s="59">
        <v>0</v>
      </c>
      <c r="P47" s="59">
        <v>101.79</v>
      </c>
      <c r="Q47" s="59">
        <v>0</v>
      </c>
      <c r="R47" s="58">
        <f t="shared" si="16"/>
        <v>6656.06</v>
      </c>
      <c r="S47" s="59">
        <v>309.06</v>
      </c>
      <c r="T47" s="59">
        <v>61.61</v>
      </c>
      <c r="U47" s="59">
        <v>1457.62</v>
      </c>
      <c r="V47" s="59">
        <v>2158.11</v>
      </c>
      <c r="W47" s="59">
        <v>101.89</v>
      </c>
      <c r="X47" s="59">
        <v>2312.59</v>
      </c>
      <c r="Y47" s="59">
        <v>255.18</v>
      </c>
      <c r="Z47" s="58">
        <f t="shared" si="17"/>
        <v>14472.71</v>
      </c>
      <c r="AA47" s="59">
        <v>3.38</v>
      </c>
      <c r="AB47" s="59">
        <v>14182.43</v>
      </c>
      <c r="AC47" s="59">
        <v>0</v>
      </c>
      <c r="AD47" s="59">
        <v>201.91</v>
      </c>
      <c r="AE47" s="59">
        <v>84.99</v>
      </c>
      <c r="AF47" s="58">
        <f t="shared" si="18"/>
        <v>8220.36</v>
      </c>
      <c r="AG47" s="59">
        <v>117.51</v>
      </c>
      <c r="AH47" s="59">
        <v>54.56</v>
      </c>
      <c r="AI47" s="59">
        <v>616.48</v>
      </c>
      <c r="AJ47" s="59">
        <v>5074.3900000000003</v>
      </c>
      <c r="AK47" s="59">
        <v>66.2</v>
      </c>
      <c r="AL47" s="59">
        <v>2282.77</v>
      </c>
      <c r="AM47" s="59">
        <v>8.4499999999999993</v>
      </c>
      <c r="AN47" s="58">
        <f t="shared" si="19"/>
        <v>5123.9900000000016</v>
      </c>
      <c r="AO47" s="58">
        <f t="shared" si="32"/>
        <v>4.8500000000000005</v>
      </c>
      <c r="AP47" s="58">
        <f t="shared" si="33"/>
        <v>0</v>
      </c>
      <c r="AQ47" s="58">
        <f t="shared" si="34"/>
        <v>379.17999999999995</v>
      </c>
      <c r="AR47" s="58">
        <f t="shared" si="35"/>
        <v>2344.2800000000002</v>
      </c>
      <c r="AS47" s="58">
        <f t="shared" si="36"/>
        <v>225.26</v>
      </c>
      <c r="AT47" s="58">
        <f t="shared" si="37"/>
        <v>2106.4900000000002</v>
      </c>
      <c r="AU47" s="58">
        <f t="shared" si="38"/>
        <v>63.93</v>
      </c>
      <c r="AV47" s="58">
        <f t="shared" si="20"/>
        <v>1553.8</v>
      </c>
      <c r="AW47" s="59">
        <v>1.98</v>
      </c>
      <c r="AX47" s="59">
        <v>0</v>
      </c>
      <c r="AY47" s="59">
        <v>116.44</v>
      </c>
      <c r="AZ47" s="59">
        <v>922.84</v>
      </c>
      <c r="BA47" s="59">
        <v>18.36</v>
      </c>
      <c r="BB47" s="59">
        <v>431.26</v>
      </c>
      <c r="BC47" s="59">
        <v>62.92</v>
      </c>
      <c r="BD47" s="58">
        <f t="shared" si="21"/>
        <v>2839.6100000000006</v>
      </c>
      <c r="BE47" s="59">
        <v>1.75</v>
      </c>
      <c r="BF47" s="59">
        <v>0</v>
      </c>
      <c r="BG47" s="59">
        <v>103.58</v>
      </c>
      <c r="BH47" s="59">
        <v>972.66</v>
      </c>
      <c r="BI47" s="59">
        <v>171.45</v>
      </c>
      <c r="BJ47" s="59">
        <v>1589.16</v>
      </c>
      <c r="BK47" s="59">
        <v>1.01</v>
      </c>
      <c r="BL47" s="58">
        <f t="shared" si="22"/>
        <v>234.69</v>
      </c>
      <c r="BM47" s="59">
        <v>0.84</v>
      </c>
      <c r="BN47" s="59">
        <v>0</v>
      </c>
      <c r="BO47" s="59">
        <v>80.78</v>
      </c>
      <c r="BP47" s="59">
        <v>32.46</v>
      </c>
      <c r="BQ47" s="59">
        <v>34.54</v>
      </c>
      <c r="BR47" s="59">
        <v>86.07</v>
      </c>
      <c r="BS47" s="59">
        <v>0</v>
      </c>
      <c r="BT47" s="58">
        <f t="shared" si="23"/>
        <v>495.89000000000004</v>
      </c>
      <c r="BU47" s="59">
        <v>0.28000000000000003</v>
      </c>
      <c r="BV47" s="59">
        <v>0</v>
      </c>
      <c r="BW47" s="59">
        <v>78.38</v>
      </c>
      <c r="BX47" s="59">
        <v>416.32</v>
      </c>
      <c r="BY47" s="59">
        <v>0.91</v>
      </c>
      <c r="BZ47" s="59">
        <v>0</v>
      </c>
      <c r="CA47" s="59">
        <v>0</v>
      </c>
      <c r="CB47" s="58">
        <f t="shared" si="24"/>
        <v>2379.2000000000003</v>
      </c>
      <c r="CC47" s="59">
        <v>0</v>
      </c>
      <c r="CD47" s="59">
        <v>2202.8000000000002</v>
      </c>
      <c r="CE47" s="74">
        <v>176.4</v>
      </c>
    </row>
    <row r="48" spans="1:83" x14ac:dyDescent="0.35">
      <c r="A48" s="50" t="s">
        <v>213</v>
      </c>
      <c r="B48" s="58">
        <f t="shared" si="13"/>
        <v>32590.22</v>
      </c>
      <c r="C48" s="58">
        <f t="shared" si="25"/>
        <v>409.69000000000005</v>
      </c>
      <c r="D48" s="58">
        <f t="shared" si="26"/>
        <v>245.53</v>
      </c>
      <c r="E48" s="58">
        <f t="shared" si="14"/>
        <v>18374.140000000003</v>
      </c>
      <c r="F48" s="58">
        <f t="shared" si="27"/>
        <v>5984.1399999999994</v>
      </c>
      <c r="G48" s="58">
        <f t="shared" si="28"/>
        <v>648.84</v>
      </c>
      <c r="H48" s="58">
        <f t="shared" si="29"/>
        <v>6635.94</v>
      </c>
      <c r="I48" s="58">
        <f t="shared" si="30"/>
        <v>291.94000000000005</v>
      </c>
      <c r="J48" s="58">
        <f t="shared" si="31"/>
        <v>396.85</v>
      </c>
      <c r="K48" s="59">
        <v>12.3</v>
      </c>
      <c r="L48" s="59">
        <v>135</v>
      </c>
      <c r="M48" s="59">
        <v>1.41</v>
      </c>
      <c r="N48" s="59">
        <v>151.37</v>
      </c>
      <c r="O48" s="59">
        <v>0</v>
      </c>
      <c r="P48" s="59">
        <v>96.77</v>
      </c>
      <c r="Q48" s="59">
        <v>0</v>
      </c>
      <c r="R48" s="58">
        <f t="shared" si="16"/>
        <v>5951.1</v>
      </c>
      <c r="S48" s="59">
        <v>284.11</v>
      </c>
      <c r="T48" s="59">
        <v>58.31</v>
      </c>
      <c r="U48" s="59">
        <v>1276.28</v>
      </c>
      <c r="V48" s="59">
        <v>1746.49</v>
      </c>
      <c r="W48" s="59">
        <v>98.29</v>
      </c>
      <c r="X48" s="59">
        <v>2232.44</v>
      </c>
      <c r="Y48" s="59">
        <v>255.18</v>
      </c>
      <c r="Z48" s="58">
        <f t="shared" si="17"/>
        <v>14851.729999999998</v>
      </c>
      <c r="AA48" s="59">
        <v>3.38</v>
      </c>
      <c r="AB48" s="59">
        <v>14493.65</v>
      </c>
      <c r="AC48" s="59">
        <v>0</v>
      </c>
      <c r="AD48" s="59">
        <v>269.70999999999998</v>
      </c>
      <c r="AE48" s="59">
        <v>84.99</v>
      </c>
      <c r="AF48" s="58">
        <f t="shared" si="18"/>
        <v>5641.39</v>
      </c>
      <c r="AG48" s="59">
        <v>104.78</v>
      </c>
      <c r="AH48" s="59">
        <v>52.22</v>
      </c>
      <c r="AI48" s="59">
        <v>391.36</v>
      </c>
      <c r="AJ48" s="59">
        <v>2877.63</v>
      </c>
      <c r="AK48" s="59">
        <v>62.32</v>
      </c>
      <c r="AL48" s="59">
        <v>2148.79</v>
      </c>
      <c r="AM48" s="59">
        <v>4.29</v>
      </c>
      <c r="AN48" s="58">
        <f t="shared" si="19"/>
        <v>3616.5499999999997</v>
      </c>
      <c r="AO48" s="58">
        <f t="shared" si="32"/>
        <v>5.12</v>
      </c>
      <c r="AP48" s="58">
        <f t="shared" si="33"/>
        <v>0</v>
      </c>
      <c r="AQ48" s="58">
        <f t="shared" si="34"/>
        <v>255.24</v>
      </c>
      <c r="AR48" s="58">
        <f t="shared" si="35"/>
        <v>1032.25</v>
      </c>
      <c r="AS48" s="58">
        <f t="shared" si="36"/>
        <v>218.52</v>
      </c>
      <c r="AT48" s="58">
        <f t="shared" si="37"/>
        <v>2072.9499999999998</v>
      </c>
      <c r="AU48" s="58">
        <f t="shared" si="38"/>
        <v>32.47</v>
      </c>
      <c r="AV48" s="58">
        <f t="shared" si="20"/>
        <v>1026.8599999999999</v>
      </c>
      <c r="AW48" s="59">
        <v>2.25</v>
      </c>
      <c r="AX48" s="59">
        <v>0</v>
      </c>
      <c r="AY48" s="59">
        <v>101.61</v>
      </c>
      <c r="AZ48" s="59">
        <v>434.51</v>
      </c>
      <c r="BA48" s="59">
        <v>18.649999999999999</v>
      </c>
      <c r="BB48" s="59">
        <v>437.88</v>
      </c>
      <c r="BC48" s="59">
        <v>31.96</v>
      </c>
      <c r="BD48" s="58">
        <f t="shared" si="21"/>
        <v>2236.92</v>
      </c>
      <c r="BE48" s="59">
        <v>1.75</v>
      </c>
      <c r="BF48" s="59">
        <v>0</v>
      </c>
      <c r="BG48" s="59">
        <v>50.38</v>
      </c>
      <c r="BH48" s="59">
        <v>457.97</v>
      </c>
      <c r="BI48" s="59">
        <v>168.11</v>
      </c>
      <c r="BJ48" s="59">
        <v>1558.2</v>
      </c>
      <c r="BK48" s="59">
        <v>0.51</v>
      </c>
      <c r="BL48" s="58">
        <f t="shared" si="22"/>
        <v>165.55</v>
      </c>
      <c r="BM48" s="59">
        <v>0.84</v>
      </c>
      <c r="BN48" s="59">
        <v>0</v>
      </c>
      <c r="BO48" s="59">
        <v>46.88</v>
      </c>
      <c r="BP48" s="59">
        <v>10.11</v>
      </c>
      <c r="BQ48" s="59">
        <v>30.85</v>
      </c>
      <c r="BR48" s="59">
        <v>76.87</v>
      </c>
      <c r="BS48" s="59">
        <v>0</v>
      </c>
      <c r="BT48" s="58">
        <f t="shared" si="23"/>
        <v>187.22</v>
      </c>
      <c r="BU48" s="59">
        <v>0.28000000000000003</v>
      </c>
      <c r="BV48" s="59">
        <v>0</v>
      </c>
      <c r="BW48" s="59">
        <v>56.37</v>
      </c>
      <c r="BX48" s="59">
        <v>129.66</v>
      </c>
      <c r="BY48" s="59">
        <v>0.91</v>
      </c>
      <c r="BZ48" s="59">
        <v>0</v>
      </c>
      <c r="CA48" s="59">
        <v>0</v>
      </c>
      <c r="CB48" s="58">
        <f t="shared" si="24"/>
        <v>2132.6</v>
      </c>
      <c r="CC48" s="59">
        <v>0</v>
      </c>
      <c r="CD48" s="59">
        <v>1956.2</v>
      </c>
      <c r="CE48" s="74">
        <v>176.4</v>
      </c>
    </row>
    <row r="49" spans="1:83" x14ac:dyDescent="0.35">
      <c r="A49" s="50" t="s">
        <v>214</v>
      </c>
      <c r="B49" s="58">
        <f t="shared" si="13"/>
        <v>44241.750000000007</v>
      </c>
      <c r="C49" s="58">
        <f t="shared" si="25"/>
        <v>477.37</v>
      </c>
      <c r="D49" s="58">
        <f t="shared" si="26"/>
        <v>236.67000000000002</v>
      </c>
      <c r="E49" s="58">
        <f t="shared" si="14"/>
        <v>18257.260000000002</v>
      </c>
      <c r="F49" s="58">
        <f t="shared" si="27"/>
        <v>16430.68</v>
      </c>
      <c r="G49" s="58">
        <f t="shared" si="28"/>
        <v>697.01</v>
      </c>
      <c r="H49" s="58">
        <f t="shared" si="29"/>
        <v>7734.58</v>
      </c>
      <c r="I49" s="58">
        <f t="shared" si="30"/>
        <v>408.18</v>
      </c>
      <c r="J49" s="58">
        <f t="shared" si="31"/>
        <v>348.73</v>
      </c>
      <c r="K49" s="59">
        <v>12.3</v>
      </c>
      <c r="L49" s="59">
        <v>109.4</v>
      </c>
      <c r="M49" s="59">
        <v>1.64</v>
      </c>
      <c r="N49" s="59">
        <v>126.21</v>
      </c>
      <c r="O49" s="59">
        <v>0</v>
      </c>
      <c r="P49" s="59">
        <v>99.18</v>
      </c>
      <c r="Q49" s="59">
        <v>0</v>
      </c>
      <c r="R49" s="58">
        <f t="shared" si="16"/>
        <v>7354.16</v>
      </c>
      <c r="S49" s="59">
        <v>308.73</v>
      </c>
      <c r="T49" s="59">
        <v>60.64</v>
      </c>
      <c r="U49" s="59">
        <v>1617.9</v>
      </c>
      <c r="V49" s="59">
        <v>2648.37</v>
      </c>
      <c r="W49" s="59">
        <v>103.76</v>
      </c>
      <c r="X49" s="59">
        <v>2359.58</v>
      </c>
      <c r="Y49" s="59">
        <v>255.18</v>
      </c>
      <c r="Z49" s="58">
        <f t="shared" si="17"/>
        <v>13689.619999999999</v>
      </c>
      <c r="AA49" s="59">
        <v>3.38</v>
      </c>
      <c r="AB49" s="59">
        <v>13329.8</v>
      </c>
      <c r="AC49" s="59">
        <v>0</v>
      </c>
      <c r="AD49" s="59">
        <v>271.45</v>
      </c>
      <c r="AE49" s="59">
        <v>84.99</v>
      </c>
      <c r="AF49" s="58">
        <f t="shared" si="18"/>
        <v>14922.960000000001</v>
      </c>
      <c r="AG49" s="59">
        <v>147.6</v>
      </c>
      <c r="AH49" s="59">
        <v>66.63</v>
      </c>
      <c r="AI49" s="59">
        <v>1020</v>
      </c>
      <c r="AJ49" s="59">
        <v>10699.95</v>
      </c>
      <c r="AK49" s="59">
        <v>83.73</v>
      </c>
      <c r="AL49" s="59">
        <v>2887.18</v>
      </c>
      <c r="AM49" s="59">
        <v>17.87</v>
      </c>
      <c r="AN49" s="58">
        <f t="shared" si="19"/>
        <v>5833.7500000000009</v>
      </c>
      <c r="AO49" s="58">
        <f t="shared" si="32"/>
        <v>5.36</v>
      </c>
      <c r="AP49" s="58">
        <f t="shared" si="33"/>
        <v>0</v>
      </c>
      <c r="AQ49" s="58">
        <f t="shared" si="34"/>
        <v>371.78999999999996</v>
      </c>
      <c r="AR49" s="58">
        <f t="shared" si="35"/>
        <v>2779.75</v>
      </c>
      <c r="AS49" s="58">
        <f t="shared" si="36"/>
        <v>238.07</v>
      </c>
      <c r="AT49" s="58">
        <f t="shared" si="37"/>
        <v>2303.65</v>
      </c>
      <c r="AU49" s="58">
        <f t="shared" si="38"/>
        <v>135.13</v>
      </c>
      <c r="AV49" s="58">
        <f t="shared" si="20"/>
        <v>1835.27</v>
      </c>
      <c r="AW49" s="59">
        <v>2.4900000000000002</v>
      </c>
      <c r="AX49" s="59">
        <v>0</v>
      </c>
      <c r="AY49" s="59">
        <v>126.92</v>
      </c>
      <c r="AZ49" s="59">
        <v>1113.75</v>
      </c>
      <c r="BA49" s="59">
        <v>18.75</v>
      </c>
      <c r="BB49" s="59">
        <v>440.36</v>
      </c>
      <c r="BC49" s="59">
        <v>133</v>
      </c>
      <c r="BD49" s="58">
        <f t="shared" si="21"/>
        <v>3297.7700000000004</v>
      </c>
      <c r="BE49" s="59">
        <v>1.75</v>
      </c>
      <c r="BF49" s="59">
        <v>0</v>
      </c>
      <c r="BG49" s="59">
        <v>121.35</v>
      </c>
      <c r="BH49" s="59">
        <v>1173.8800000000001</v>
      </c>
      <c r="BI49" s="59">
        <v>194.63</v>
      </c>
      <c r="BJ49" s="59">
        <v>1804.03</v>
      </c>
      <c r="BK49" s="59">
        <v>2.13</v>
      </c>
      <c r="BL49" s="58">
        <f t="shared" si="22"/>
        <v>186.84</v>
      </c>
      <c r="BM49" s="59">
        <v>0.84</v>
      </c>
      <c r="BN49" s="59">
        <v>0</v>
      </c>
      <c r="BO49" s="59">
        <v>67.36</v>
      </c>
      <c r="BP49" s="59">
        <v>35.6</v>
      </c>
      <c r="BQ49" s="59">
        <v>23.78</v>
      </c>
      <c r="BR49" s="59">
        <v>59.26</v>
      </c>
      <c r="BS49" s="59">
        <v>0</v>
      </c>
      <c r="BT49" s="58">
        <f t="shared" si="23"/>
        <v>513.87</v>
      </c>
      <c r="BU49" s="59">
        <v>0.28000000000000003</v>
      </c>
      <c r="BV49" s="59">
        <v>0</v>
      </c>
      <c r="BW49" s="59">
        <v>56.16</v>
      </c>
      <c r="BX49" s="59">
        <v>456.52</v>
      </c>
      <c r="BY49" s="59">
        <v>0.91</v>
      </c>
      <c r="BZ49" s="59">
        <v>0</v>
      </c>
      <c r="CA49" s="59">
        <v>0</v>
      </c>
      <c r="CB49" s="58">
        <f t="shared" si="24"/>
        <v>2092.5300000000002</v>
      </c>
      <c r="CC49" s="59">
        <v>0</v>
      </c>
      <c r="CD49" s="59">
        <v>1916.13</v>
      </c>
      <c r="CE49" s="74">
        <v>176.4</v>
      </c>
    </row>
    <row r="50" spans="1:83" x14ac:dyDescent="0.35">
      <c r="A50" s="50" t="s">
        <v>215</v>
      </c>
      <c r="B50" s="58">
        <f t="shared" si="13"/>
        <v>46424.35</v>
      </c>
      <c r="C50" s="58">
        <f t="shared" si="25"/>
        <v>496.29999999999995</v>
      </c>
      <c r="D50" s="58">
        <f t="shared" si="26"/>
        <v>210.34</v>
      </c>
      <c r="E50" s="58">
        <f t="shared" si="14"/>
        <v>18075.109999999997</v>
      </c>
      <c r="F50" s="58">
        <f t="shared" si="27"/>
        <v>18742.16</v>
      </c>
      <c r="G50" s="58">
        <f t="shared" si="28"/>
        <v>815.8</v>
      </c>
      <c r="H50" s="58">
        <f t="shared" si="29"/>
        <v>7704.4400000000005</v>
      </c>
      <c r="I50" s="58">
        <f t="shared" si="30"/>
        <v>380.2</v>
      </c>
      <c r="J50" s="58">
        <f t="shared" si="31"/>
        <v>316.08</v>
      </c>
      <c r="K50" s="59">
        <v>10.88</v>
      </c>
      <c r="L50" s="59">
        <v>97.64</v>
      </c>
      <c r="M50" s="59">
        <v>16.600000000000001</v>
      </c>
      <c r="N50" s="59">
        <v>113.02</v>
      </c>
      <c r="O50" s="59">
        <v>0</v>
      </c>
      <c r="P50" s="59">
        <v>77.94</v>
      </c>
      <c r="Q50" s="59">
        <v>0</v>
      </c>
      <c r="R50" s="58">
        <f t="shared" si="16"/>
        <v>6467.61</v>
      </c>
      <c r="S50" s="59">
        <v>314.23</v>
      </c>
      <c r="T50" s="59">
        <v>19.14</v>
      </c>
      <c r="U50" s="59">
        <v>587.70000000000005</v>
      </c>
      <c r="V50" s="59">
        <v>3114.63</v>
      </c>
      <c r="W50" s="59">
        <v>146.38999999999999</v>
      </c>
      <c r="X50" s="59">
        <v>2094.81</v>
      </c>
      <c r="Y50" s="59">
        <v>190.71</v>
      </c>
      <c r="Z50" s="58">
        <f t="shared" si="17"/>
        <v>13783.21</v>
      </c>
      <c r="AA50" s="59">
        <v>3.37</v>
      </c>
      <c r="AB50" s="59">
        <v>13475.55</v>
      </c>
      <c r="AC50" s="59">
        <v>0</v>
      </c>
      <c r="AD50" s="59">
        <v>217.21</v>
      </c>
      <c r="AE50" s="59">
        <v>87.08</v>
      </c>
      <c r="AF50" s="58">
        <f t="shared" si="18"/>
        <v>17293.03</v>
      </c>
      <c r="AG50" s="59">
        <v>156.41999999999999</v>
      </c>
      <c r="AH50" s="59">
        <v>61.07</v>
      </c>
      <c r="AI50" s="59">
        <v>1014.89</v>
      </c>
      <c r="AJ50" s="59">
        <v>12767.96</v>
      </c>
      <c r="AK50" s="59">
        <v>141.69999999999999</v>
      </c>
      <c r="AL50" s="59">
        <v>3128.8</v>
      </c>
      <c r="AM50" s="59">
        <v>22.19</v>
      </c>
      <c r="AN50" s="58">
        <f t="shared" si="19"/>
        <v>6380.5700000000006</v>
      </c>
      <c r="AO50" s="58">
        <f t="shared" si="32"/>
        <v>11.4</v>
      </c>
      <c r="AP50" s="58">
        <f t="shared" si="33"/>
        <v>0</v>
      </c>
      <c r="AQ50" s="58">
        <f t="shared" si="34"/>
        <v>977.06000000000006</v>
      </c>
      <c r="AR50" s="58">
        <f t="shared" si="35"/>
        <v>2598.5</v>
      </c>
      <c r="AS50" s="58">
        <f t="shared" si="36"/>
        <v>310.5</v>
      </c>
      <c r="AT50" s="58">
        <f t="shared" si="37"/>
        <v>2315.81</v>
      </c>
      <c r="AU50" s="58">
        <f t="shared" si="38"/>
        <v>167.29999999999998</v>
      </c>
      <c r="AV50" s="58">
        <f t="shared" si="20"/>
        <v>2012.3200000000002</v>
      </c>
      <c r="AW50" s="59">
        <v>2.31</v>
      </c>
      <c r="AX50" s="59">
        <v>0</v>
      </c>
      <c r="AY50" s="59">
        <v>238.28</v>
      </c>
      <c r="AZ50" s="59">
        <v>1133.24</v>
      </c>
      <c r="BA50" s="59">
        <v>27.43</v>
      </c>
      <c r="BB50" s="59">
        <v>447.68</v>
      </c>
      <c r="BC50" s="59">
        <v>163.38</v>
      </c>
      <c r="BD50" s="58">
        <f t="shared" si="21"/>
        <v>3608.3</v>
      </c>
      <c r="BE50" s="59">
        <v>8.64</v>
      </c>
      <c r="BF50" s="59">
        <v>0</v>
      </c>
      <c r="BG50" s="59">
        <v>419.81</v>
      </c>
      <c r="BH50" s="59">
        <v>1168.53</v>
      </c>
      <c r="BI50" s="59">
        <v>242.68</v>
      </c>
      <c r="BJ50" s="59">
        <v>1764.72</v>
      </c>
      <c r="BK50" s="59">
        <v>3.92</v>
      </c>
      <c r="BL50" s="58">
        <f t="shared" si="22"/>
        <v>360.6</v>
      </c>
      <c r="BM50" s="59">
        <v>0</v>
      </c>
      <c r="BN50" s="59">
        <v>0</v>
      </c>
      <c r="BO50" s="59">
        <v>179.36</v>
      </c>
      <c r="BP50" s="59">
        <v>38.39</v>
      </c>
      <c r="BQ50" s="59">
        <v>39.44</v>
      </c>
      <c r="BR50" s="59">
        <v>103.41</v>
      </c>
      <c r="BS50" s="59">
        <v>0</v>
      </c>
      <c r="BT50" s="58">
        <f t="shared" si="23"/>
        <v>399.34999999999997</v>
      </c>
      <c r="BU50" s="59">
        <v>0.45</v>
      </c>
      <c r="BV50" s="59">
        <v>0</v>
      </c>
      <c r="BW50" s="59">
        <v>139.61000000000001</v>
      </c>
      <c r="BX50" s="59">
        <v>258.33999999999997</v>
      </c>
      <c r="BY50" s="59">
        <v>0.95</v>
      </c>
      <c r="BZ50" s="59">
        <v>0</v>
      </c>
      <c r="CA50" s="59">
        <v>0</v>
      </c>
      <c r="CB50" s="58">
        <f t="shared" si="24"/>
        <v>2183.85</v>
      </c>
      <c r="CC50" s="59">
        <v>32.49</v>
      </c>
      <c r="CD50" s="59">
        <v>2003.31</v>
      </c>
      <c r="CE50" s="74">
        <v>148.05000000000001</v>
      </c>
    </row>
    <row r="51" spans="1:83" x14ac:dyDescent="0.35">
      <c r="A51" s="50" t="s">
        <v>216</v>
      </c>
      <c r="B51" s="58">
        <f t="shared" si="13"/>
        <v>34013.479999999996</v>
      </c>
      <c r="C51" s="58">
        <f t="shared" si="25"/>
        <v>415.14</v>
      </c>
      <c r="D51" s="58">
        <f t="shared" si="26"/>
        <v>190.03</v>
      </c>
      <c r="E51" s="58">
        <f t="shared" si="14"/>
        <v>18303.59</v>
      </c>
      <c r="F51" s="58">
        <f t="shared" si="27"/>
        <v>7894.12</v>
      </c>
      <c r="G51" s="58">
        <f t="shared" si="28"/>
        <v>574.67999999999995</v>
      </c>
      <c r="H51" s="58">
        <f t="shared" si="29"/>
        <v>6381.0899999999992</v>
      </c>
      <c r="I51" s="58">
        <f t="shared" si="30"/>
        <v>254.82999999999998</v>
      </c>
      <c r="J51" s="58">
        <f t="shared" si="31"/>
        <v>304.61</v>
      </c>
      <c r="K51" s="59">
        <v>10.88</v>
      </c>
      <c r="L51" s="59">
        <v>96.52</v>
      </c>
      <c r="M51" s="59">
        <v>16.600000000000001</v>
      </c>
      <c r="N51" s="59">
        <v>104.76</v>
      </c>
      <c r="O51" s="59">
        <v>0</v>
      </c>
      <c r="P51" s="59">
        <v>75.849999999999994</v>
      </c>
      <c r="Q51" s="59">
        <v>0</v>
      </c>
      <c r="R51" s="58">
        <f t="shared" si="16"/>
        <v>4731.170000000001</v>
      </c>
      <c r="S51" s="59">
        <v>270.79000000000002</v>
      </c>
      <c r="T51" s="59">
        <v>18.739999999999998</v>
      </c>
      <c r="U51" s="59">
        <v>581.26</v>
      </c>
      <c r="V51" s="59">
        <v>1648.89</v>
      </c>
      <c r="W51" s="59">
        <v>79.53</v>
      </c>
      <c r="X51" s="59">
        <v>1941.25</v>
      </c>
      <c r="Y51" s="59">
        <v>190.71</v>
      </c>
      <c r="Z51" s="58">
        <f t="shared" si="17"/>
        <v>14136.45</v>
      </c>
      <c r="AA51" s="59">
        <v>3.37</v>
      </c>
      <c r="AB51" s="59">
        <v>13803.28</v>
      </c>
      <c r="AC51" s="59">
        <v>0</v>
      </c>
      <c r="AD51" s="59">
        <v>242.72</v>
      </c>
      <c r="AE51" s="59">
        <v>87.08</v>
      </c>
      <c r="AF51" s="58">
        <f t="shared" si="18"/>
        <v>7473.3700000000008</v>
      </c>
      <c r="AG51" s="59">
        <v>114.95</v>
      </c>
      <c r="AH51" s="59">
        <v>42.15</v>
      </c>
      <c r="AI51" s="59">
        <v>684.34</v>
      </c>
      <c r="AJ51" s="59">
        <v>4398.1499999999996</v>
      </c>
      <c r="AK51" s="59">
        <v>48.81</v>
      </c>
      <c r="AL51" s="59">
        <v>2177.46</v>
      </c>
      <c r="AM51" s="59">
        <v>7.51</v>
      </c>
      <c r="AN51" s="58">
        <f t="shared" si="19"/>
        <v>4969.1399999999994</v>
      </c>
      <c r="AO51" s="58">
        <f t="shared" si="32"/>
        <v>15.149999999999999</v>
      </c>
      <c r="AP51" s="58">
        <f t="shared" si="33"/>
        <v>0</v>
      </c>
      <c r="AQ51" s="58">
        <f t="shared" si="34"/>
        <v>1000.04</v>
      </c>
      <c r="AR51" s="58">
        <f t="shared" si="35"/>
        <v>1594.27</v>
      </c>
      <c r="AS51" s="58">
        <f t="shared" si="36"/>
        <v>203.61999999999998</v>
      </c>
      <c r="AT51" s="58">
        <f t="shared" si="37"/>
        <v>2099.4499999999998</v>
      </c>
      <c r="AU51" s="58">
        <f t="shared" si="38"/>
        <v>56.61</v>
      </c>
      <c r="AV51" s="58">
        <f t="shared" si="20"/>
        <v>1402.8799999999999</v>
      </c>
      <c r="AW51" s="59">
        <v>6.06</v>
      </c>
      <c r="AX51" s="59">
        <v>0</v>
      </c>
      <c r="AY51" s="59">
        <v>221.31</v>
      </c>
      <c r="AZ51" s="59">
        <v>660.91</v>
      </c>
      <c r="BA51" s="59">
        <v>16</v>
      </c>
      <c r="BB51" s="59">
        <v>443.32</v>
      </c>
      <c r="BC51" s="59">
        <v>55.28</v>
      </c>
      <c r="BD51" s="58">
        <f t="shared" si="21"/>
        <v>2841.4300000000003</v>
      </c>
      <c r="BE51" s="59">
        <v>8.64</v>
      </c>
      <c r="BF51" s="59">
        <v>0</v>
      </c>
      <c r="BG51" s="59">
        <v>398.25</v>
      </c>
      <c r="BH51" s="59">
        <v>681.49</v>
      </c>
      <c r="BI51" s="59">
        <v>153.19999999999999</v>
      </c>
      <c r="BJ51" s="59">
        <v>1598.52</v>
      </c>
      <c r="BK51" s="59">
        <v>1.33</v>
      </c>
      <c r="BL51" s="58">
        <f t="shared" si="22"/>
        <v>368.37</v>
      </c>
      <c r="BM51" s="59">
        <v>0</v>
      </c>
      <c r="BN51" s="59">
        <v>0</v>
      </c>
      <c r="BO51" s="59">
        <v>244.7</v>
      </c>
      <c r="BP51" s="59">
        <v>32.590000000000003</v>
      </c>
      <c r="BQ51" s="59">
        <v>33.47</v>
      </c>
      <c r="BR51" s="59">
        <v>57.61</v>
      </c>
      <c r="BS51" s="59">
        <v>0</v>
      </c>
      <c r="BT51" s="58">
        <f t="shared" si="23"/>
        <v>356.46</v>
      </c>
      <c r="BU51" s="59">
        <v>0.45</v>
      </c>
      <c r="BV51" s="59">
        <v>0</v>
      </c>
      <c r="BW51" s="59">
        <v>135.78</v>
      </c>
      <c r="BX51" s="59">
        <v>219.28</v>
      </c>
      <c r="BY51" s="59">
        <v>0.95</v>
      </c>
      <c r="BZ51" s="59">
        <v>0</v>
      </c>
      <c r="CA51" s="59">
        <v>0</v>
      </c>
      <c r="CB51" s="58">
        <f t="shared" si="24"/>
        <v>2398.7400000000002</v>
      </c>
      <c r="CC51" s="59">
        <v>32.619999999999997</v>
      </c>
      <c r="CD51" s="59">
        <v>2218.0700000000002</v>
      </c>
      <c r="CE51" s="74">
        <v>148.05000000000001</v>
      </c>
    </row>
    <row r="52" spans="1:83" x14ac:dyDescent="0.35">
      <c r="A52" s="50" t="s">
        <v>217</v>
      </c>
      <c r="B52" s="58">
        <f t="shared" si="13"/>
        <v>31112.07</v>
      </c>
      <c r="C52" s="58">
        <f t="shared" si="25"/>
        <v>389.88</v>
      </c>
      <c r="D52" s="58">
        <f t="shared" si="26"/>
        <v>187.59</v>
      </c>
      <c r="E52" s="58">
        <f t="shared" si="14"/>
        <v>18100.57</v>
      </c>
      <c r="F52" s="58">
        <f t="shared" si="27"/>
        <v>5446.1600000000008</v>
      </c>
      <c r="G52" s="58">
        <f t="shared" si="28"/>
        <v>513.18000000000006</v>
      </c>
      <c r="H52" s="58">
        <f t="shared" si="29"/>
        <v>6247.4100000000008</v>
      </c>
      <c r="I52" s="58">
        <f t="shared" si="30"/>
        <v>227.28</v>
      </c>
      <c r="J52" s="58">
        <f t="shared" si="31"/>
        <v>317.19</v>
      </c>
      <c r="K52" s="59">
        <v>10.88</v>
      </c>
      <c r="L52" s="59">
        <v>94.47</v>
      </c>
      <c r="M52" s="59">
        <v>16.600000000000001</v>
      </c>
      <c r="N52" s="59">
        <v>116.76</v>
      </c>
      <c r="O52" s="59">
        <v>0</v>
      </c>
      <c r="P52" s="59">
        <v>78.48</v>
      </c>
      <c r="Q52" s="59">
        <v>0</v>
      </c>
      <c r="R52" s="58">
        <f t="shared" si="16"/>
        <v>4500.53</v>
      </c>
      <c r="S52" s="59">
        <v>255.8</v>
      </c>
      <c r="T52" s="59">
        <v>17.5</v>
      </c>
      <c r="U52" s="59">
        <v>561.21</v>
      </c>
      <c r="V52" s="59">
        <v>1443.16</v>
      </c>
      <c r="W52" s="59">
        <v>70.739999999999995</v>
      </c>
      <c r="X52" s="59">
        <v>1961.41</v>
      </c>
      <c r="Y52" s="59">
        <v>190.71</v>
      </c>
      <c r="Z52" s="58">
        <f t="shared" si="17"/>
        <v>14377.09</v>
      </c>
      <c r="AA52" s="59">
        <v>3.37</v>
      </c>
      <c r="AB52" s="59">
        <v>14001.5</v>
      </c>
      <c r="AC52" s="59">
        <v>0</v>
      </c>
      <c r="AD52" s="59">
        <v>285.14</v>
      </c>
      <c r="AE52" s="59">
        <v>87.08</v>
      </c>
      <c r="AF52" s="58">
        <f t="shared" si="18"/>
        <v>5183.1499999999996</v>
      </c>
      <c r="AG52" s="59">
        <v>107.56</v>
      </c>
      <c r="AH52" s="59">
        <v>43.75</v>
      </c>
      <c r="AI52" s="59">
        <v>357.52</v>
      </c>
      <c r="AJ52" s="59">
        <v>2588.67</v>
      </c>
      <c r="AK52" s="59">
        <v>28.73</v>
      </c>
      <c r="AL52" s="59">
        <v>2052.64</v>
      </c>
      <c r="AM52" s="59">
        <v>4.28</v>
      </c>
      <c r="AN52" s="58">
        <f t="shared" ref="AN52:AN101" si="39">SUM(AO52:AU52)</f>
        <v>4434.2600000000011</v>
      </c>
      <c r="AO52" s="58">
        <f t="shared" si="32"/>
        <v>12.27</v>
      </c>
      <c r="AP52" s="58">
        <f t="shared" si="33"/>
        <v>0</v>
      </c>
      <c r="AQ52" s="58">
        <f t="shared" si="34"/>
        <v>1043.81</v>
      </c>
      <c r="AR52" s="58">
        <f t="shared" si="35"/>
        <v>1149.5200000000002</v>
      </c>
      <c r="AS52" s="58">
        <f t="shared" si="36"/>
        <v>128.57</v>
      </c>
      <c r="AT52" s="58">
        <f t="shared" si="37"/>
        <v>2067.8000000000002</v>
      </c>
      <c r="AU52" s="58">
        <f t="shared" si="38"/>
        <v>32.29</v>
      </c>
      <c r="AV52" s="58">
        <f t="shared" si="20"/>
        <v>1190.6199999999999</v>
      </c>
      <c r="AW52" s="59">
        <v>3.18</v>
      </c>
      <c r="AX52" s="59">
        <v>0</v>
      </c>
      <c r="AY52" s="59">
        <v>226.33</v>
      </c>
      <c r="AZ52" s="59">
        <v>526.41999999999996</v>
      </c>
      <c r="BA52" s="59">
        <v>12.74</v>
      </c>
      <c r="BB52" s="59">
        <v>390.42</v>
      </c>
      <c r="BC52" s="59">
        <v>31.53</v>
      </c>
      <c r="BD52" s="58">
        <f t="shared" si="21"/>
        <v>2647.1400000000003</v>
      </c>
      <c r="BE52" s="59">
        <v>8.64</v>
      </c>
      <c r="BF52" s="59">
        <v>0</v>
      </c>
      <c r="BG52" s="59">
        <v>403.63</v>
      </c>
      <c r="BH52" s="59">
        <v>542.82000000000005</v>
      </c>
      <c r="BI52" s="59">
        <v>104.21</v>
      </c>
      <c r="BJ52" s="59">
        <v>1587.08</v>
      </c>
      <c r="BK52" s="59">
        <v>0.76</v>
      </c>
      <c r="BL52" s="58">
        <f t="shared" si="22"/>
        <v>371.91</v>
      </c>
      <c r="BM52" s="59">
        <v>0</v>
      </c>
      <c r="BN52" s="59">
        <v>0</v>
      </c>
      <c r="BO52" s="59">
        <v>260.55</v>
      </c>
      <c r="BP52" s="59">
        <v>10.39</v>
      </c>
      <c r="BQ52" s="59">
        <v>10.67</v>
      </c>
      <c r="BR52" s="59">
        <v>90.3</v>
      </c>
      <c r="BS52" s="59">
        <v>0</v>
      </c>
      <c r="BT52" s="58">
        <f t="shared" si="23"/>
        <v>224.58999999999997</v>
      </c>
      <c r="BU52" s="59">
        <v>0.45</v>
      </c>
      <c r="BV52" s="59">
        <v>0</v>
      </c>
      <c r="BW52" s="59">
        <v>153.30000000000001</v>
      </c>
      <c r="BX52" s="59">
        <v>69.89</v>
      </c>
      <c r="BY52" s="59">
        <v>0.95</v>
      </c>
      <c r="BZ52" s="59">
        <v>0</v>
      </c>
      <c r="CA52" s="59">
        <v>0</v>
      </c>
      <c r="CB52" s="58">
        <f t="shared" si="24"/>
        <v>2299.85</v>
      </c>
      <c r="CC52" s="59">
        <v>31.87</v>
      </c>
      <c r="CD52" s="59">
        <v>2119.9299999999998</v>
      </c>
      <c r="CE52" s="74">
        <v>148.05000000000001</v>
      </c>
    </row>
    <row r="53" spans="1:83" x14ac:dyDescent="0.35">
      <c r="A53" s="50" t="s">
        <v>218</v>
      </c>
      <c r="B53" s="58">
        <f t="shared" si="13"/>
        <v>41996.73</v>
      </c>
      <c r="C53" s="58">
        <f t="shared" si="25"/>
        <v>431.22</v>
      </c>
      <c r="D53" s="58">
        <f t="shared" si="26"/>
        <v>227.71000000000004</v>
      </c>
      <c r="E53" s="58">
        <f t="shared" si="14"/>
        <v>17476.79</v>
      </c>
      <c r="F53" s="58">
        <f t="shared" si="27"/>
        <v>15337.39</v>
      </c>
      <c r="G53" s="58">
        <f t="shared" si="28"/>
        <v>847.16000000000008</v>
      </c>
      <c r="H53" s="58">
        <f t="shared" si="29"/>
        <v>7332.43</v>
      </c>
      <c r="I53" s="58">
        <f t="shared" si="30"/>
        <v>344.03</v>
      </c>
      <c r="J53" s="58">
        <f t="shared" ref="J53:J94" si="40">SUM(K53:Q53)</f>
        <v>351.90999999999997</v>
      </c>
      <c r="K53" s="59">
        <v>10.88</v>
      </c>
      <c r="L53" s="59">
        <v>120.72</v>
      </c>
      <c r="M53" s="59">
        <v>16.600000000000001</v>
      </c>
      <c r="N53" s="59">
        <v>125.14</v>
      </c>
      <c r="O53" s="59">
        <v>0</v>
      </c>
      <c r="P53" s="59">
        <v>78.569999999999993</v>
      </c>
      <c r="Q53" s="59">
        <v>0</v>
      </c>
      <c r="R53" s="58">
        <f t="shared" si="16"/>
        <v>5934.36</v>
      </c>
      <c r="S53" s="59">
        <v>267.41000000000003</v>
      </c>
      <c r="T53" s="59">
        <v>19.8</v>
      </c>
      <c r="U53" s="59">
        <v>591.45000000000005</v>
      </c>
      <c r="V53" s="59">
        <v>2479.2600000000002</v>
      </c>
      <c r="W53" s="59">
        <v>118.12</v>
      </c>
      <c r="X53" s="59">
        <v>2267.61</v>
      </c>
      <c r="Y53" s="59">
        <v>190.71</v>
      </c>
      <c r="Z53" s="58">
        <f t="shared" si="17"/>
        <v>13533.390000000001</v>
      </c>
      <c r="AA53" s="59">
        <v>3.37</v>
      </c>
      <c r="AB53" s="59">
        <v>13149.52</v>
      </c>
      <c r="AC53" s="59">
        <v>0</v>
      </c>
      <c r="AD53" s="59">
        <v>293.42</v>
      </c>
      <c r="AE53" s="59">
        <v>87.08</v>
      </c>
      <c r="AF53" s="58">
        <f t="shared" si="18"/>
        <v>13917.140000000001</v>
      </c>
      <c r="AG53" s="59">
        <v>135.31</v>
      </c>
      <c r="AH53" s="59">
        <v>52.14</v>
      </c>
      <c r="AI53" s="59">
        <v>840.78</v>
      </c>
      <c r="AJ53" s="59">
        <v>9927.02</v>
      </c>
      <c r="AK53" s="59">
        <v>110.17</v>
      </c>
      <c r="AL53" s="59">
        <v>2833.77</v>
      </c>
      <c r="AM53" s="59">
        <v>17.95</v>
      </c>
      <c r="AN53" s="58">
        <f t="shared" si="39"/>
        <v>6191.3200000000006</v>
      </c>
      <c r="AO53" s="58">
        <f t="shared" si="32"/>
        <v>14.25</v>
      </c>
      <c r="AP53" s="58">
        <f t="shared" si="33"/>
        <v>0</v>
      </c>
      <c r="AQ53" s="58">
        <f t="shared" si="34"/>
        <v>992.93000000000006</v>
      </c>
      <c r="AR53" s="58">
        <f t="shared" si="35"/>
        <v>2657.92</v>
      </c>
      <c r="AS53" s="58">
        <f t="shared" si="36"/>
        <v>325.45</v>
      </c>
      <c r="AT53" s="58">
        <f t="shared" si="37"/>
        <v>2065.4</v>
      </c>
      <c r="AU53" s="58">
        <f t="shared" si="38"/>
        <v>135.36999999999998</v>
      </c>
      <c r="AV53" s="58">
        <f t="shared" si="20"/>
        <v>1910.0600000000002</v>
      </c>
      <c r="AW53" s="59">
        <v>5.16</v>
      </c>
      <c r="AX53" s="59">
        <v>0</v>
      </c>
      <c r="AY53" s="59">
        <v>216.97</v>
      </c>
      <c r="AZ53" s="59">
        <v>1137.92</v>
      </c>
      <c r="BA53" s="59">
        <v>27.54</v>
      </c>
      <c r="BB53" s="59">
        <v>390.27</v>
      </c>
      <c r="BC53" s="59">
        <v>132.19999999999999</v>
      </c>
      <c r="BD53" s="58">
        <f t="shared" si="21"/>
        <v>3444.82</v>
      </c>
      <c r="BE53" s="59">
        <v>8.64</v>
      </c>
      <c r="BF53" s="59">
        <v>0</v>
      </c>
      <c r="BG53" s="59">
        <v>409.12</v>
      </c>
      <c r="BH53" s="59">
        <v>1173.3499999999999</v>
      </c>
      <c r="BI53" s="59">
        <v>250.89</v>
      </c>
      <c r="BJ53" s="59">
        <v>1599.65</v>
      </c>
      <c r="BK53" s="59">
        <v>3.17</v>
      </c>
      <c r="BL53" s="58">
        <f t="shared" si="22"/>
        <v>414.01000000000005</v>
      </c>
      <c r="BM53" s="59">
        <v>0</v>
      </c>
      <c r="BN53" s="59">
        <v>0</v>
      </c>
      <c r="BO53" s="59">
        <v>247.61</v>
      </c>
      <c r="BP53" s="59">
        <v>44.85</v>
      </c>
      <c r="BQ53" s="59">
        <v>46.07</v>
      </c>
      <c r="BR53" s="59">
        <v>75.48</v>
      </c>
      <c r="BS53" s="59">
        <v>0</v>
      </c>
      <c r="BT53" s="58">
        <f t="shared" si="23"/>
        <v>422.43</v>
      </c>
      <c r="BU53" s="59">
        <v>0.45</v>
      </c>
      <c r="BV53" s="59">
        <v>0</v>
      </c>
      <c r="BW53" s="59">
        <v>119.23</v>
      </c>
      <c r="BX53" s="59">
        <v>301.8</v>
      </c>
      <c r="BY53" s="59">
        <v>0.95</v>
      </c>
      <c r="BZ53" s="59">
        <v>0</v>
      </c>
      <c r="CA53" s="59">
        <v>0</v>
      </c>
      <c r="CB53" s="58">
        <f t="shared" si="24"/>
        <v>2068.61</v>
      </c>
      <c r="CC53" s="59">
        <v>35.049999999999997</v>
      </c>
      <c r="CD53" s="59">
        <v>1885.51</v>
      </c>
      <c r="CE53" s="74">
        <v>148.05000000000001</v>
      </c>
    </row>
    <row r="54" spans="1:83" x14ac:dyDescent="0.35">
      <c r="A54" s="50" t="s">
        <v>219</v>
      </c>
      <c r="B54" s="58">
        <f t="shared" si="13"/>
        <v>47489.94000000001</v>
      </c>
      <c r="C54" s="58">
        <f t="shared" si="25"/>
        <v>546.78</v>
      </c>
      <c r="D54" s="58">
        <f t="shared" si="26"/>
        <v>241.75</v>
      </c>
      <c r="E54" s="58">
        <f t="shared" si="14"/>
        <v>17101.810000000001</v>
      </c>
      <c r="F54" s="58">
        <f t="shared" si="27"/>
        <v>20367.230000000003</v>
      </c>
      <c r="G54" s="58">
        <f t="shared" si="28"/>
        <v>996.66000000000008</v>
      </c>
      <c r="H54" s="58">
        <f t="shared" si="29"/>
        <v>7842.25</v>
      </c>
      <c r="I54" s="58">
        <f t="shared" si="30"/>
        <v>393.46000000000004</v>
      </c>
      <c r="J54" s="58">
        <f t="shared" si="40"/>
        <v>368.61</v>
      </c>
      <c r="K54" s="59">
        <v>11.28</v>
      </c>
      <c r="L54" s="59">
        <v>125.58</v>
      </c>
      <c r="M54" s="59">
        <v>4.74</v>
      </c>
      <c r="N54" s="59">
        <v>143.29</v>
      </c>
      <c r="O54" s="59">
        <v>0</v>
      </c>
      <c r="P54" s="59">
        <v>83.72</v>
      </c>
      <c r="Q54" s="59">
        <v>0</v>
      </c>
      <c r="R54" s="58">
        <f t="shared" si="16"/>
        <v>6717.61</v>
      </c>
      <c r="S54" s="59">
        <v>351.24</v>
      </c>
      <c r="T54" s="59">
        <v>18.579999999999998</v>
      </c>
      <c r="U54" s="59">
        <v>585.71</v>
      </c>
      <c r="V54" s="59">
        <v>3206.19</v>
      </c>
      <c r="W54" s="59">
        <v>168.24</v>
      </c>
      <c r="X54" s="59">
        <v>2182.11</v>
      </c>
      <c r="Y54" s="59">
        <v>205.54</v>
      </c>
      <c r="Z54" s="58">
        <f t="shared" si="17"/>
        <v>12921.51</v>
      </c>
      <c r="AA54" s="59">
        <v>3.32</v>
      </c>
      <c r="AB54" s="59">
        <v>12527.68</v>
      </c>
      <c r="AC54" s="59">
        <v>0</v>
      </c>
      <c r="AD54" s="59">
        <v>303.08</v>
      </c>
      <c r="AE54" s="59">
        <v>87.43</v>
      </c>
      <c r="AF54" s="58">
        <f t="shared" si="18"/>
        <v>18700.260000000002</v>
      </c>
      <c r="AG54" s="59">
        <v>175.27</v>
      </c>
      <c r="AH54" s="59">
        <v>62.76</v>
      </c>
      <c r="AI54" s="59">
        <v>1107.3800000000001</v>
      </c>
      <c r="AJ54" s="59">
        <v>14041.94</v>
      </c>
      <c r="AK54" s="59">
        <v>188.37</v>
      </c>
      <c r="AL54" s="59">
        <v>3102.57</v>
      </c>
      <c r="AM54" s="59">
        <v>21.97</v>
      </c>
      <c r="AN54" s="58">
        <f t="shared" si="39"/>
        <v>6722.87</v>
      </c>
      <c r="AO54" s="58">
        <f t="shared" si="32"/>
        <v>5.67</v>
      </c>
      <c r="AP54" s="58">
        <f t="shared" si="33"/>
        <v>0</v>
      </c>
      <c r="AQ54" s="58">
        <f t="shared" si="34"/>
        <v>1025.9299999999998</v>
      </c>
      <c r="AR54" s="58">
        <f t="shared" si="35"/>
        <v>2801.93</v>
      </c>
      <c r="AS54" s="58">
        <f t="shared" si="36"/>
        <v>336.97</v>
      </c>
      <c r="AT54" s="58">
        <f t="shared" si="37"/>
        <v>2386.4199999999996</v>
      </c>
      <c r="AU54" s="58">
        <f t="shared" si="38"/>
        <v>165.95000000000002</v>
      </c>
      <c r="AV54" s="58">
        <f t="shared" si="20"/>
        <v>2086.7700000000004</v>
      </c>
      <c r="AW54" s="59">
        <v>3.75</v>
      </c>
      <c r="AX54" s="59">
        <v>0</v>
      </c>
      <c r="AY54" s="59">
        <v>260.97000000000003</v>
      </c>
      <c r="AZ54" s="59">
        <v>1219.95</v>
      </c>
      <c r="BA54" s="59">
        <v>32.72</v>
      </c>
      <c r="BB54" s="59">
        <v>407.64</v>
      </c>
      <c r="BC54" s="59">
        <v>161.74</v>
      </c>
      <c r="BD54" s="58">
        <f t="shared" si="21"/>
        <v>3807.63</v>
      </c>
      <c r="BE54" s="59">
        <v>0.62</v>
      </c>
      <c r="BF54" s="59">
        <v>0</v>
      </c>
      <c r="BG54" s="59">
        <v>427.33</v>
      </c>
      <c r="BH54" s="59">
        <v>1283.25</v>
      </c>
      <c r="BI54" s="59">
        <v>245.89</v>
      </c>
      <c r="BJ54" s="59">
        <v>1846.33</v>
      </c>
      <c r="BK54" s="59">
        <v>4.21</v>
      </c>
      <c r="BL54" s="58">
        <f t="shared" si="22"/>
        <v>412.65000000000003</v>
      </c>
      <c r="BM54" s="59">
        <v>0.24</v>
      </c>
      <c r="BN54" s="59">
        <v>0</v>
      </c>
      <c r="BO54" s="59">
        <v>186.66</v>
      </c>
      <c r="BP54" s="59">
        <v>35.96</v>
      </c>
      <c r="BQ54" s="59">
        <v>57.34</v>
      </c>
      <c r="BR54" s="59">
        <v>132.44999999999999</v>
      </c>
      <c r="BS54" s="59">
        <v>0</v>
      </c>
      <c r="BT54" s="58">
        <f t="shared" si="23"/>
        <v>415.81999999999994</v>
      </c>
      <c r="BU54" s="59">
        <v>1.06</v>
      </c>
      <c r="BV54" s="59">
        <v>0</v>
      </c>
      <c r="BW54" s="59">
        <v>150.97</v>
      </c>
      <c r="BX54" s="59">
        <v>262.77</v>
      </c>
      <c r="BY54" s="59">
        <v>1.02</v>
      </c>
      <c r="BZ54" s="59">
        <v>0</v>
      </c>
      <c r="CA54" s="59">
        <v>0</v>
      </c>
      <c r="CB54" s="58">
        <f t="shared" si="24"/>
        <v>2059.08</v>
      </c>
      <c r="CC54" s="59">
        <v>34.83</v>
      </c>
      <c r="CD54" s="59">
        <v>1850.37</v>
      </c>
      <c r="CE54" s="74">
        <v>173.88</v>
      </c>
    </row>
    <row r="55" spans="1:83" x14ac:dyDescent="0.35">
      <c r="A55" s="50" t="s">
        <v>220</v>
      </c>
      <c r="B55" s="58">
        <f t="shared" si="13"/>
        <v>34493.090000000004</v>
      </c>
      <c r="C55" s="58">
        <f t="shared" si="25"/>
        <v>411.44</v>
      </c>
      <c r="D55" s="58">
        <f t="shared" si="26"/>
        <v>238.3</v>
      </c>
      <c r="E55" s="58">
        <f t="shared" si="14"/>
        <v>18048.25</v>
      </c>
      <c r="F55" s="58">
        <f t="shared" si="27"/>
        <v>8429.67</v>
      </c>
      <c r="G55" s="58">
        <f t="shared" si="28"/>
        <v>657.35</v>
      </c>
      <c r="H55" s="58">
        <f t="shared" si="29"/>
        <v>6442.9999999999991</v>
      </c>
      <c r="I55" s="58">
        <f t="shared" si="30"/>
        <v>265.08</v>
      </c>
      <c r="J55" s="58">
        <f t="shared" si="40"/>
        <v>361.75</v>
      </c>
      <c r="K55" s="59">
        <v>11.28</v>
      </c>
      <c r="L55" s="59">
        <v>131.12</v>
      </c>
      <c r="M55" s="59">
        <v>4.74</v>
      </c>
      <c r="N55" s="59">
        <v>132.53</v>
      </c>
      <c r="O55" s="59">
        <v>0</v>
      </c>
      <c r="P55" s="59">
        <v>82.08</v>
      </c>
      <c r="Q55" s="59">
        <v>0</v>
      </c>
      <c r="R55" s="58">
        <f t="shared" si="16"/>
        <v>4996.96</v>
      </c>
      <c r="S55" s="59">
        <v>276.72000000000003</v>
      </c>
      <c r="T55" s="59">
        <v>14.49</v>
      </c>
      <c r="U55" s="59">
        <v>608.54</v>
      </c>
      <c r="V55" s="59">
        <v>1709.14</v>
      </c>
      <c r="W55" s="59">
        <v>92.49</v>
      </c>
      <c r="X55" s="59">
        <v>2090.04</v>
      </c>
      <c r="Y55" s="59">
        <v>205.54</v>
      </c>
      <c r="Z55" s="58">
        <f t="shared" si="17"/>
        <v>13804.92</v>
      </c>
      <c r="AA55" s="59">
        <v>3.55</v>
      </c>
      <c r="AB55" s="59">
        <v>13416.36</v>
      </c>
      <c r="AC55" s="59">
        <v>0</v>
      </c>
      <c r="AD55" s="59">
        <v>297.58</v>
      </c>
      <c r="AE55" s="59">
        <v>87.43</v>
      </c>
      <c r="AF55" s="58">
        <f t="shared" si="18"/>
        <v>7899.0599999999995</v>
      </c>
      <c r="AG55" s="59">
        <v>111.94</v>
      </c>
      <c r="AH55" s="59">
        <v>51.88</v>
      </c>
      <c r="AI55" s="59">
        <v>759.95</v>
      </c>
      <c r="AJ55" s="59">
        <v>4748.55</v>
      </c>
      <c r="AK55" s="59">
        <v>63.7</v>
      </c>
      <c r="AL55" s="59">
        <v>2156.08</v>
      </c>
      <c r="AM55" s="59">
        <v>6.96</v>
      </c>
      <c r="AN55" s="58">
        <f t="shared" si="39"/>
        <v>5010.13</v>
      </c>
      <c r="AO55" s="58">
        <f t="shared" si="32"/>
        <v>7.9500000000000011</v>
      </c>
      <c r="AP55" s="58">
        <f t="shared" si="33"/>
        <v>0</v>
      </c>
      <c r="AQ55" s="58">
        <f t="shared" si="34"/>
        <v>1053.08</v>
      </c>
      <c r="AR55" s="58">
        <f t="shared" si="35"/>
        <v>1665.57</v>
      </c>
      <c r="AS55" s="58">
        <f t="shared" si="36"/>
        <v>203.58</v>
      </c>
      <c r="AT55" s="58">
        <f t="shared" si="37"/>
        <v>2027.3700000000001</v>
      </c>
      <c r="AU55" s="58">
        <f t="shared" si="38"/>
        <v>52.58</v>
      </c>
      <c r="AV55" s="58">
        <f t="shared" si="20"/>
        <v>1448.09</v>
      </c>
      <c r="AW55" s="59">
        <v>6.03</v>
      </c>
      <c r="AX55" s="59">
        <v>0</v>
      </c>
      <c r="AY55" s="59">
        <v>243.72</v>
      </c>
      <c r="AZ55" s="59">
        <v>719.33</v>
      </c>
      <c r="BA55" s="59">
        <v>19.3</v>
      </c>
      <c r="BB55" s="59">
        <v>408.46</v>
      </c>
      <c r="BC55" s="59">
        <v>51.25</v>
      </c>
      <c r="BD55" s="58">
        <f t="shared" si="21"/>
        <v>2872.49</v>
      </c>
      <c r="BE55" s="59">
        <v>0.62</v>
      </c>
      <c r="BF55" s="59">
        <v>0</v>
      </c>
      <c r="BG55" s="59">
        <v>413.34</v>
      </c>
      <c r="BH55" s="59">
        <v>756.65</v>
      </c>
      <c r="BI55" s="59">
        <v>146.87</v>
      </c>
      <c r="BJ55" s="59">
        <v>1553.68</v>
      </c>
      <c r="BK55" s="59">
        <v>1.33</v>
      </c>
      <c r="BL55" s="58">
        <f t="shared" si="22"/>
        <v>376.48</v>
      </c>
      <c r="BM55" s="59">
        <v>0.24</v>
      </c>
      <c r="BN55" s="59">
        <v>0</v>
      </c>
      <c r="BO55" s="59">
        <v>251.8</v>
      </c>
      <c r="BP55" s="59">
        <v>22.82</v>
      </c>
      <c r="BQ55" s="59">
        <v>36.39</v>
      </c>
      <c r="BR55" s="59">
        <v>65.23</v>
      </c>
      <c r="BS55" s="59">
        <v>0</v>
      </c>
      <c r="BT55" s="58">
        <f t="shared" si="23"/>
        <v>313.07</v>
      </c>
      <c r="BU55" s="59">
        <v>1.06</v>
      </c>
      <c r="BV55" s="59">
        <v>0</v>
      </c>
      <c r="BW55" s="59">
        <v>144.22</v>
      </c>
      <c r="BX55" s="59">
        <v>166.77</v>
      </c>
      <c r="BY55" s="59">
        <v>1.02</v>
      </c>
      <c r="BZ55" s="59">
        <v>0</v>
      </c>
      <c r="CA55" s="59">
        <v>0</v>
      </c>
      <c r="CB55" s="58">
        <f t="shared" si="24"/>
        <v>2420.27</v>
      </c>
      <c r="CC55" s="59">
        <v>40.81</v>
      </c>
      <c r="CD55" s="59">
        <v>2205.58</v>
      </c>
      <c r="CE55" s="74">
        <v>173.88</v>
      </c>
    </row>
    <row r="56" spans="1:83" x14ac:dyDescent="0.35">
      <c r="A56" s="50" t="s">
        <v>221</v>
      </c>
      <c r="B56" s="58">
        <f t="shared" si="13"/>
        <v>31454.710000000003</v>
      </c>
      <c r="C56" s="58">
        <f t="shared" si="25"/>
        <v>432.9</v>
      </c>
      <c r="D56" s="58">
        <f t="shared" si="26"/>
        <v>203.5</v>
      </c>
      <c r="E56" s="58">
        <f t="shared" si="14"/>
        <v>18240.59</v>
      </c>
      <c r="F56" s="58">
        <f t="shared" si="27"/>
        <v>5496.97</v>
      </c>
      <c r="G56" s="58">
        <f t="shared" si="28"/>
        <v>569.04999999999995</v>
      </c>
      <c r="H56" s="58">
        <f t="shared" si="29"/>
        <v>6273.64</v>
      </c>
      <c r="I56" s="58">
        <f t="shared" si="30"/>
        <v>238.06</v>
      </c>
      <c r="J56" s="58">
        <f t="shared" si="40"/>
        <v>329.56</v>
      </c>
      <c r="K56" s="59">
        <v>11.63</v>
      </c>
      <c r="L56" s="59">
        <v>110.54</v>
      </c>
      <c r="M56" s="59">
        <v>4.74</v>
      </c>
      <c r="N56" s="59">
        <v>118.87</v>
      </c>
      <c r="O56" s="59">
        <v>0</v>
      </c>
      <c r="P56" s="59">
        <v>83.78</v>
      </c>
      <c r="Q56" s="59">
        <v>0</v>
      </c>
      <c r="R56" s="58">
        <f t="shared" si="16"/>
        <v>4720.420000000001</v>
      </c>
      <c r="S56" s="59">
        <v>304.91000000000003</v>
      </c>
      <c r="T56" s="59">
        <v>9.11</v>
      </c>
      <c r="U56" s="59">
        <v>585.82000000000005</v>
      </c>
      <c r="V56" s="59">
        <v>1432.76</v>
      </c>
      <c r="W56" s="59">
        <v>77.92</v>
      </c>
      <c r="X56" s="59">
        <v>2104.36</v>
      </c>
      <c r="Y56" s="59">
        <v>205.54</v>
      </c>
      <c r="Z56" s="58">
        <f t="shared" si="17"/>
        <v>14525.44</v>
      </c>
      <c r="AA56" s="59">
        <v>3.52</v>
      </c>
      <c r="AB56" s="59">
        <v>14108.42</v>
      </c>
      <c r="AC56" s="59">
        <v>0</v>
      </c>
      <c r="AD56" s="59">
        <v>326.07</v>
      </c>
      <c r="AE56" s="59">
        <v>87.43</v>
      </c>
      <c r="AF56" s="58">
        <f t="shared" si="18"/>
        <v>5239.16</v>
      </c>
      <c r="AG56" s="59">
        <v>106.25</v>
      </c>
      <c r="AH56" s="59">
        <v>46.56</v>
      </c>
      <c r="AI56" s="59">
        <v>426.99</v>
      </c>
      <c r="AJ56" s="59">
        <v>2624.2</v>
      </c>
      <c r="AK56" s="59">
        <v>35.200000000000003</v>
      </c>
      <c r="AL56" s="59">
        <v>1996.16</v>
      </c>
      <c r="AM56" s="59">
        <v>3.8</v>
      </c>
      <c r="AN56" s="58">
        <f t="shared" si="39"/>
        <v>4424.8300000000008</v>
      </c>
      <c r="AO56" s="58">
        <f t="shared" si="32"/>
        <v>6.59</v>
      </c>
      <c r="AP56" s="58">
        <f t="shared" si="33"/>
        <v>0</v>
      </c>
      <c r="AQ56" s="58">
        <f t="shared" si="34"/>
        <v>1110.49</v>
      </c>
      <c r="AR56" s="58">
        <f t="shared" si="35"/>
        <v>1147.26</v>
      </c>
      <c r="AS56" s="58">
        <f t="shared" si="36"/>
        <v>129.86000000000001</v>
      </c>
      <c r="AT56" s="58">
        <f t="shared" si="37"/>
        <v>2001.9099999999999</v>
      </c>
      <c r="AU56" s="58">
        <f t="shared" si="38"/>
        <v>28.72</v>
      </c>
      <c r="AV56" s="58">
        <f t="shared" si="20"/>
        <v>1236.8799999999999</v>
      </c>
      <c r="AW56" s="59">
        <v>4.67</v>
      </c>
      <c r="AX56" s="59">
        <v>0</v>
      </c>
      <c r="AY56" s="59">
        <v>259.45</v>
      </c>
      <c r="AZ56" s="59">
        <v>517.41999999999996</v>
      </c>
      <c r="BA56" s="59">
        <v>13.88</v>
      </c>
      <c r="BB56" s="59">
        <v>413.47</v>
      </c>
      <c r="BC56" s="59">
        <v>27.99</v>
      </c>
      <c r="BD56" s="58">
        <f t="shared" si="21"/>
        <v>2569.19</v>
      </c>
      <c r="BE56" s="59">
        <v>0.62</v>
      </c>
      <c r="BF56" s="59">
        <v>0</v>
      </c>
      <c r="BG56" s="59">
        <v>401.92</v>
      </c>
      <c r="BH56" s="59">
        <v>544.27</v>
      </c>
      <c r="BI56" s="59">
        <v>98.54</v>
      </c>
      <c r="BJ56" s="59">
        <v>1523.11</v>
      </c>
      <c r="BK56" s="59">
        <v>0.73</v>
      </c>
      <c r="BL56" s="58">
        <f t="shared" si="22"/>
        <v>367.04</v>
      </c>
      <c r="BM56" s="59">
        <v>0.24</v>
      </c>
      <c r="BN56" s="59">
        <v>0</v>
      </c>
      <c r="BO56" s="59">
        <v>274.75</v>
      </c>
      <c r="BP56" s="59">
        <v>10.3</v>
      </c>
      <c r="BQ56" s="59">
        <v>16.420000000000002</v>
      </c>
      <c r="BR56" s="59">
        <v>65.33</v>
      </c>
      <c r="BS56" s="59">
        <v>0</v>
      </c>
      <c r="BT56" s="58">
        <f t="shared" si="23"/>
        <v>251.72</v>
      </c>
      <c r="BU56" s="59">
        <v>1.06</v>
      </c>
      <c r="BV56" s="59">
        <v>0</v>
      </c>
      <c r="BW56" s="59">
        <v>174.37</v>
      </c>
      <c r="BX56" s="59">
        <v>75.27</v>
      </c>
      <c r="BY56" s="59">
        <v>1.02</v>
      </c>
      <c r="BZ56" s="59">
        <v>0</v>
      </c>
      <c r="CA56" s="59">
        <v>0</v>
      </c>
      <c r="CB56" s="58">
        <f t="shared" si="24"/>
        <v>2215.3000000000002</v>
      </c>
      <c r="CC56" s="59">
        <v>37.29</v>
      </c>
      <c r="CD56" s="59">
        <v>2004.13</v>
      </c>
      <c r="CE56" s="74">
        <v>173.88</v>
      </c>
    </row>
    <row r="57" spans="1:83" x14ac:dyDescent="0.35">
      <c r="A57" s="50" t="s">
        <v>222</v>
      </c>
      <c r="B57" s="58">
        <f t="shared" si="13"/>
        <v>46097.09</v>
      </c>
      <c r="C57" s="58">
        <f t="shared" si="25"/>
        <v>498.03000000000009</v>
      </c>
      <c r="D57" s="58">
        <f t="shared" si="26"/>
        <v>230.16000000000003</v>
      </c>
      <c r="E57" s="58">
        <f t="shared" si="14"/>
        <v>18272.760000000002</v>
      </c>
      <c r="F57" s="58">
        <f t="shared" si="27"/>
        <v>18032.079999999998</v>
      </c>
      <c r="G57" s="58">
        <f t="shared" si="28"/>
        <v>978.27</v>
      </c>
      <c r="H57" s="58">
        <f t="shared" si="29"/>
        <v>7716.01</v>
      </c>
      <c r="I57" s="58">
        <f t="shared" si="30"/>
        <v>369.78</v>
      </c>
      <c r="J57" s="58">
        <f t="shared" si="40"/>
        <v>347.08000000000004</v>
      </c>
      <c r="K57" s="59">
        <v>12.24</v>
      </c>
      <c r="L57" s="59">
        <v>117.49</v>
      </c>
      <c r="M57" s="59">
        <v>4.74</v>
      </c>
      <c r="N57" s="59">
        <v>131.86000000000001</v>
      </c>
      <c r="O57" s="59">
        <v>0</v>
      </c>
      <c r="P57" s="59">
        <v>80.75</v>
      </c>
      <c r="Q57" s="59">
        <v>0</v>
      </c>
      <c r="R57" s="58">
        <f t="shared" si="16"/>
        <v>6084.64</v>
      </c>
      <c r="S57" s="59">
        <v>331.92</v>
      </c>
      <c r="T57" s="59">
        <v>12.35</v>
      </c>
      <c r="U57" s="59">
        <v>599.04999999999995</v>
      </c>
      <c r="V57" s="59">
        <v>2520.77</v>
      </c>
      <c r="W57" s="59">
        <v>133.24</v>
      </c>
      <c r="X57" s="59">
        <v>2281.77</v>
      </c>
      <c r="Y57" s="59">
        <v>205.54</v>
      </c>
      <c r="Z57" s="58">
        <f t="shared" si="17"/>
        <v>14081.1</v>
      </c>
      <c r="AA57" s="59">
        <v>3.22</v>
      </c>
      <c r="AB57" s="59">
        <v>13699.61</v>
      </c>
      <c r="AC57" s="59">
        <v>0</v>
      </c>
      <c r="AD57" s="59">
        <v>290.83999999999997</v>
      </c>
      <c r="AE57" s="59">
        <v>87.43</v>
      </c>
      <c r="AF57" s="58">
        <f t="shared" si="18"/>
        <v>16500.140000000003</v>
      </c>
      <c r="AG57" s="59">
        <v>143.28</v>
      </c>
      <c r="AH57" s="59">
        <v>67.400000000000006</v>
      </c>
      <c r="AI57" s="59">
        <v>1060.76</v>
      </c>
      <c r="AJ57" s="59">
        <v>12084.49</v>
      </c>
      <c r="AK57" s="59">
        <v>162.11000000000001</v>
      </c>
      <c r="AL57" s="59">
        <v>2962.9</v>
      </c>
      <c r="AM57" s="59">
        <v>19.2</v>
      </c>
      <c r="AN57" s="58">
        <f t="shared" si="39"/>
        <v>7068.5899999999992</v>
      </c>
      <c r="AO57" s="58">
        <f t="shared" si="32"/>
        <v>7.370000000000001</v>
      </c>
      <c r="AP57" s="58">
        <f t="shared" si="33"/>
        <v>0</v>
      </c>
      <c r="AQ57" s="58">
        <f t="shared" si="34"/>
        <v>1099.8599999999999</v>
      </c>
      <c r="AR57" s="58">
        <f t="shared" si="35"/>
        <v>3121.08</v>
      </c>
      <c r="AS57" s="58">
        <f t="shared" si="36"/>
        <v>392.08</v>
      </c>
      <c r="AT57" s="58">
        <f t="shared" si="37"/>
        <v>2303.16</v>
      </c>
      <c r="AU57" s="58">
        <f t="shared" si="38"/>
        <v>145.04000000000002</v>
      </c>
      <c r="AV57" s="58">
        <f t="shared" si="20"/>
        <v>2187.83</v>
      </c>
      <c r="AW57" s="59">
        <v>5.45</v>
      </c>
      <c r="AX57" s="59">
        <v>0</v>
      </c>
      <c r="AY57" s="59">
        <v>268.45999999999998</v>
      </c>
      <c r="AZ57" s="59">
        <v>1324.3</v>
      </c>
      <c r="BA57" s="59">
        <v>35.520000000000003</v>
      </c>
      <c r="BB57" s="59">
        <v>412.74</v>
      </c>
      <c r="BC57" s="59">
        <v>141.36000000000001</v>
      </c>
      <c r="BD57" s="58">
        <f t="shared" si="21"/>
        <v>3907.3299999999995</v>
      </c>
      <c r="BE57" s="59">
        <v>0.62</v>
      </c>
      <c r="BF57" s="59">
        <v>0</v>
      </c>
      <c r="BG57" s="59">
        <v>424.94</v>
      </c>
      <c r="BH57" s="59">
        <v>1393.02</v>
      </c>
      <c r="BI57" s="59">
        <v>278.04000000000002</v>
      </c>
      <c r="BJ57" s="59">
        <v>1807.03</v>
      </c>
      <c r="BK57" s="59">
        <v>3.68</v>
      </c>
      <c r="BL57" s="58">
        <f t="shared" si="22"/>
        <v>477.38</v>
      </c>
      <c r="BM57" s="59">
        <v>0.24</v>
      </c>
      <c r="BN57" s="59">
        <v>0</v>
      </c>
      <c r="BO57" s="59">
        <v>267.64</v>
      </c>
      <c r="BP57" s="59">
        <v>48.61</v>
      </c>
      <c r="BQ57" s="59">
        <v>77.5</v>
      </c>
      <c r="BR57" s="59">
        <v>83.39</v>
      </c>
      <c r="BS57" s="59">
        <v>0</v>
      </c>
      <c r="BT57" s="58">
        <f t="shared" si="23"/>
        <v>496.04999999999995</v>
      </c>
      <c r="BU57" s="59">
        <v>1.06</v>
      </c>
      <c r="BV57" s="59">
        <v>0</v>
      </c>
      <c r="BW57" s="59">
        <v>138.82</v>
      </c>
      <c r="BX57" s="59">
        <v>355.15</v>
      </c>
      <c r="BY57" s="59">
        <v>1.02</v>
      </c>
      <c r="BZ57" s="59">
        <v>0</v>
      </c>
      <c r="CA57" s="59">
        <v>0</v>
      </c>
      <c r="CB57" s="58">
        <f t="shared" si="24"/>
        <v>2015.54</v>
      </c>
      <c r="CC57" s="59">
        <v>32.92</v>
      </c>
      <c r="CD57" s="59">
        <v>1808.74</v>
      </c>
      <c r="CE57" s="74">
        <v>173.88</v>
      </c>
    </row>
    <row r="58" spans="1:83" x14ac:dyDescent="0.35">
      <c r="A58" s="50" t="s">
        <v>223</v>
      </c>
      <c r="B58" s="58">
        <f t="shared" si="13"/>
        <v>44372.390000000007</v>
      </c>
      <c r="C58" s="58">
        <f t="shared" si="25"/>
        <v>472.13</v>
      </c>
      <c r="D58" s="58">
        <f t="shared" si="26"/>
        <v>200.53</v>
      </c>
      <c r="E58" s="58">
        <f t="shared" si="14"/>
        <v>17003.080000000002</v>
      </c>
      <c r="F58" s="58">
        <f t="shared" si="27"/>
        <v>17772.91</v>
      </c>
      <c r="G58" s="58">
        <f t="shared" si="28"/>
        <v>949.48</v>
      </c>
      <c r="H58" s="58">
        <f t="shared" si="29"/>
        <v>7585.02</v>
      </c>
      <c r="I58" s="58">
        <f t="shared" si="30"/>
        <v>389.24</v>
      </c>
      <c r="J58" s="58">
        <f t="shared" si="40"/>
        <v>345.56</v>
      </c>
      <c r="K58" s="59">
        <v>9.0399999999999991</v>
      </c>
      <c r="L58" s="59">
        <v>100.06</v>
      </c>
      <c r="M58" s="59">
        <v>4.45</v>
      </c>
      <c r="N58" s="59">
        <v>148.65</v>
      </c>
      <c r="O58" s="59">
        <v>0</v>
      </c>
      <c r="P58" s="59">
        <v>83.36</v>
      </c>
      <c r="Q58" s="59">
        <v>0</v>
      </c>
      <c r="R58" s="58">
        <f t="shared" si="16"/>
        <v>6630.42</v>
      </c>
      <c r="S58" s="59">
        <v>299.74</v>
      </c>
      <c r="T58" s="59">
        <v>10.44</v>
      </c>
      <c r="U58" s="59">
        <v>554.75</v>
      </c>
      <c r="V58" s="59">
        <v>3154.54</v>
      </c>
      <c r="W58" s="59">
        <v>194.69</v>
      </c>
      <c r="X58" s="59">
        <v>2223.92</v>
      </c>
      <c r="Y58" s="59">
        <v>192.34</v>
      </c>
      <c r="Z58" s="58">
        <f t="shared" si="17"/>
        <v>13013.69</v>
      </c>
      <c r="AA58" s="59">
        <v>2.39</v>
      </c>
      <c r="AB58" s="59">
        <v>12698.79</v>
      </c>
      <c r="AC58" s="59">
        <v>0</v>
      </c>
      <c r="AD58" s="59">
        <v>222.11</v>
      </c>
      <c r="AE58" s="59">
        <v>90.4</v>
      </c>
      <c r="AF58" s="58">
        <f t="shared" si="18"/>
        <v>16134.34</v>
      </c>
      <c r="AG58" s="59">
        <v>155.85</v>
      </c>
      <c r="AH58" s="59">
        <v>55.37</v>
      </c>
      <c r="AI58" s="59">
        <v>918.61</v>
      </c>
      <c r="AJ58" s="59">
        <v>11862.94</v>
      </c>
      <c r="AK58" s="59">
        <v>187.38</v>
      </c>
      <c r="AL58" s="59">
        <v>2930.77</v>
      </c>
      <c r="AM58" s="59">
        <v>23.42</v>
      </c>
      <c r="AN58" s="58">
        <f t="shared" si="39"/>
        <v>6179.75</v>
      </c>
      <c r="AO58" s="58">
        <f t="shared" si="32"/>
        <v>5.1100000000000003</v>
      </c>
      <c r="AP58" s="58">
        <f t="shared" si="33"/>
        <v>0</v>
      </c>
      <c r="AQ58" s="58">
        <f t="shared" si="34"/>
        <v>920.40000000000009</v>
      </c>
      <c r="AR58" s="58">
        <f t="shared" si="35"/>
        <v>2478.89</v>
      </c>
      <c r="AS58" s="58">
        <f t="shared" si="36"/>
        <v>345.29999999999995</v>
      </c>
      <c r="AT58" s="58">
        <f t="shared" si="37"/>
        <v>2256.5700000000002</v>
      </c>
      <c r="AU58" s="58">
        <f t="shared" si="38"/>
        <v>173.48</v>
      </c>
      <c r="AV58" s="58">
        <f t="shared" si="20"/>
        <v>1864.8799999999999</v>
      </c>
      <c r="AW58" s="59">
        <v>2.64</v>
      </c>
      <c r="AX58" s="59">
        <v>0</v>
      </c>
      <c r="AY58" s="59">
        <v>216.79</v>
      </c>
      <c r="AZ58" s="59">
        <v>1047.03</v>
      </c>
      <c r="BA58" s="59">
        <v>32.07</v>
      </c>
      <c r="BB58" s="59">
        <v>394.29</v>
      </c>
      <c r="BC58" s="59">
        <v>172.06</v>
      </c>
      <c r="BD58" s="58">
        <f t="shared" si="21"/>
        <v>3578.2400000000002</v>
      </c>
      <c r="BE58" s="59">
        <v>0.92</v>
      </c>
      <c r="BF58" s="59">
        <v>0</v>
      </c>
      <c r="BG58" s="59">
        <v>413.42</v>
      </c>
      <c r="BH58" s="59">
        <v>1133.04</v>
      </c>
      <c r="BI58" s="59">
        <v>263.2</v>
      </c>
      <c r="BJ58" s="59">
        <v>1766.24</v>
      </c>
      <c r="BK58" s="59">
        <v>1.42</v>
      </c>
      <c r="BL58" s="58">
        <f t="shared" si="22"/>
        <v>347.58000000000004</v>
      </c>
      <c r="BM58" s="59">
        <v>0.25</v>
      </c>
      <c r="BN58" s="59">
        <v>0</v>
      </c>
      <c r="BO58" s="59">
        <v>166.24</v>
      </c>
      <c r="BP58" s="59">
        <v>36.11</v>
      </c>
      <c r="BQ58" s="59">
        <v>48.94</v>
      </c>
      <c r="BR58" s="59">
        <v>96.04</v>
      </c>
      <c r="BS58" s="59">
        <v>0</v>
      </c>
      <c r="BT58" s="58">
        <f t="shared" si="23"/>
        <v>389.04999999999995</v>
      </c>
      <c r="BU58" s="59">
        <v>1.3</v>
      </c>
      <c r="BV58" s="59">
        <v>0</v>
      </c>
      <c r="BW58" s="59">
        <v>123.95</v>
      </c>
      <c r="BX58" s="59">
        <v>262.70999999999998</v>
      </c>
      <c r="BY58" s="59">
        <v>1.0900000000000001</v>
      </c>
      <c r="BZ58" s="59">
        <v>0</v>
      </c>
      <c r="CA58" s="59">
        <v>0</v>
      </c>
      <c r="CB58" s="58">
        <f t="shared" si="24"/>
        <v>2068.63</v>
      </c>
      <c r="CC58" s="59">
        <v>34.659999999999997</v>
      </c>
      <c r="CD58" s="59">
        <v>1906.08</v>
      </c>
      <c r="CE58" s="74">
        <v>127.89</v>
      </c>
    </row>
    <row r="59" spans="1:83" x14ac:dyDescent="0.35">
      <c r="A59" s="50" t="s">
        <v>224</v>
      </c>
      <c r="B59" s="58">
        <f t="shared" si="13"/>
        <v>32628.460000000003</v>
      </c>
      <c r="C59" s="58">
        <f t="shared" si="25"/>
        <v>423.81</v>
      </c>
      <c r="D59" s="58">
        <f t="shared" si="26"/>
        <v>193.06</v>
      </c>
      <c r="E59" s="58">
        <f t="shared" si="14"/>
        <v>17629.100000000002</v>
      </c>
      <c r="F59" s="58">
        <f t="shared" si="27"/>
        <v>7193.04</v>
      </c>
      <c r="G59" s="58">
        <f t="shared" si="28"/>
        <v>611.41</v>
      </c>
      <c r="H59" s="58">
        <f t="shared" si="29"/>
        <v>6325.25</v>
      </c>
      <c r="I59" s="58">
        <f t="shared" si="30"/>
        <v>252.79</v>
      </c>
      <c r="J59" s="58">
        <f t="shared" si="40"/>
        <v>330.4</v>
      </c>
      <c r="K59" s="59">
        <v>9.0399999999999991</v>
      </c>
      <c r="L59" s="59">
        <v>104.18</v>
      </c>
      <c r="M59" s="59">
        <v>4.45</v>
      </c>
      <c r="N59" s="59">
        <v>129.63</v>
      </c>
      <c r="O59" s="59">
        <v>0</v>
      </c>
      <c r="P59" s="59">
        <v>83.1</v>
      </c>
      <c r="Q59" s="59">
        <v>0</v>
      </c>
      <c r="R59" s="58">
        <f t="shared" si="16"/>
        <v>4852.09</v>
      </c>
      <c r="S59" s="59">
        <v>289.57</v>
      </c>
      <c r="T59" s="59">
        <v>8.52</v>
      </c>
      <c r="U59" s="59">
        <v>572.20000000000005</v>
      </c>
      <c r="V59" s="59">
        <v>1632.7</v>
      </c>
      <c r="W59" s="59">
        <v>103.86</v>
      </c>
      <c r="X59" s="59">
        <v>2052.9</v>
      </c>
      <c r="Y59" s="59">
        <v>192.34</v>
      </c>
      <c r="Z59" s="58">
        <f t="shared" si="17"/>
        <v>13782.16</v>
      </c>
      <c r="AA59" s="59">
        <v>2.94</v>
      </c>
      <c r="AB59" s="59">
        <v>13437.91</v>
      </c>
      <c r="AC59" s="59">
        <v>0</v>
      </c>
      <c r="AD59" s="59">
        <v>250.91</v>
      </c>
      <c r="AE59" s="59">
        <v>90.4</v>
      </c>
      <c r="AF59" s="58">
        <f t="shared" si="18"/>
        <v>6768.21</v>
      </c>
      <c r="AG59" s="59">
        <v>116.98</v>
      </c>
      <c r="AH59" s="59">
        <v>44.9</v>
      </c>
      <c r="AI59" s="59">
        <v>602.96</v>
      </c>
      <c r="AJ59" s="59">
        <v>3875.12</v>
      </c>
      <c r="AK59" s="59">
        <v>61.21</v>
      </c>
      <c r="AL59" s="59">
        <v>2059.85</v>
      </c>
      <c r="AM59" s="59">
        <v>7.19</v>
      </c>
      <c r="AN59" s="58">
        <f t="shared" si="39"/>
        <v>4694.1900000000005</v>
      </c>
      <c r="AO59" s="58">
        <f t="shared" si="32"/>
        <v>5.28</v>
      </c>
      <c r="AP59" s="58">
        <f t="shared" si="33"/>
        <v>0</v>
      </c>
      <c r="AQ59" s="58">
        <f t="shared" si="34"/>
        <v>973.52</v>
      </c>
      <c r="AR59" s="58">
        <f t="shared" si="35"/>
        <v>1427.7</v>
      </c>
      <c r="AS59" s="58">
        <f t="shared" si="36"/>
        <v>195.43</v>
      </c>
      <c r="AT59" s="58">
        <f t="shared" si="37"/>
        <v>2039</v>
      </c>
      <c r="AU59" s="58">
        <f t="shared" si="38"/>
        <v>53.26</v>
      </c>
      <c r="AV59" s="58">
        <f t="shared" si="20"/>
        <v>1289.8399999999999</v>
      </c>
      <c r="AW59" s="59">
        <v>2.81</v>
      </c>
      <c r="AX59" s="59">
        <v>0</v>
      </c>
      <c r="AY59" s="59">
        <v>207.98</v>
      </c>
      <c r="AZ59" s="59">
        <v>611.70000000000005</v>
      </c>
      <c r="BA59" s="59">
        <v>18.739999999999998</v>
      </c>
      <c r="BB59" s="59">
        <v>395.79</v>
      </c>
      <c r="BC59" s="59">
        <v>52.82</v>
      </c>
      <c r="BD59" s="58">
        <f t="shared" si="21"/>
        <v>2814.8700000000003</v>
      </c>
      <c r="BE59" s="59">
        <v>0.92</v>
      </c>
      <c r="BF59" s="59">
        <v>0</v>
      </c>
      <c r="BG59" s="59">
        <v>399.97</v>
      </c>
      <c r="BH59" s="59">
        <v>661.95</v>
      </c>
      <c r="BI59" s="59">
        <v>150.37</v>
      </c>
      <c r="BJ59" s="59">
        <v>1601.22</v>
      </c>
      <c r="BK59" s="59">
        <v>0.44</v>
      </c>
      <c r="BL59" s="58">
        <f t="shared" si="22"/>
        <v>328.14000000000004</v>
      </c>
      <c r="BM59" s="59">
        <v>0.25</v>
      </c>
      <c r="BN59" s="59">
        <v>0</v>
      </c>
      <c r="BO59" s="59">
        <v>242.06</v>
      </c>
      <c r="BP59" s="59">
        <v>18.61</v>
      </c>
      <c r="BQ59" s="59">
        <v>25.23</v>
      </c>
      <c r="BR59" s="59">
        <v>41.99</v>
      </c>
      <c r="BS59" s="59">
        <v>0</v>
      </c>
      <c r="BT59" s="58">
        <f t="shared" si="23"/>
        <v>261.33999999999997</v>
      </c>
      <c r="BU59" s="59">
        <v>1.3</v>
      </c>
      <c r="BV59" s="59">
        <v>0</v>
      </c>
      <c r="BW59" s="59">
        <v>123.51</v>
      </c>
      <c r="BX59" s="59">
        <v>135.44</v>
      </c>
      <c r="BY59" s="59">
        <v>1.0900000000000001</v>
      </c>
      <c r="BZ59" s="59">
        <v>0</v>
      </c>
      <c r="CA59" s="59">
        <v>0</v>
      </c>
      <c r="CB59" s="58">
        <f t="shared" si="24"/>
        <v>2201.41</v>
      </c>
      <c r="CC59" s="59">
        <v>35.46</v>
      </c>
      <c r="CD59" s="59">
        <v>2038.06</v>
      </c>
      <c r="CE59" s="74">
        <v>127.89</v>
      </c>
    </row>
    <row r="60" spans="1:83" x14ac:dyDescent="0.35">
      <c r="A60" s="50" t="s">
        <v>225</v>
      </c>
      <c r="B60" s="58">
        <f t="shared" si="13"/>
        <v>30682.3</v>
      </c>
      <c r="C60" s="58">
        <f t="shared" si="25"/>
        <v>423.07</v>
      </c>
      <c r="D60" s="58">
        <f t="shared" si="26"/>
        <v>196.67000000000002</v>
      </c>
      <c r="E60" s="58">
        <f t="shared" si="14"/>
        <v>17577.18</v>
      </c>
      <c r="F60" s="58">
        <f t="shared" si="27"/>
        <v>5376.4900000000007</v>
      </c>
      <c r="G60" s="58">
        <f t="shared" si="28"/>
        <v>615.79999999999995</v>
      </c>
      <c r="H60" s="58">
        <f t="shared" si="29"/>
        <v>6258.58</v>
      </c>
      <c r="I60" s="58">
        <f t="shared" si="30"/>
        <v>234.51</v>
      </c>
      <c r="J60" s="58">
        <f t="shared" si="40"/>
        <v>316.94000000000005</v>
      </c>
      <c r="K60" s="59">
        <v>9.93</v>
      </c>
      <c r="L60" s="59">
        <v>103.68</v>
      </c>
      <c r="M60" s="59">
        <v>4.45</v>
      </c>
      <c r="N60" s="59">
        <v>115.97</v>
      </c>
      <c r="O60" s="59">
        <v>0</v>
      </c>
      <c r="P60" s="59">
        <v>82.91</v>
      </c>
      <c r="Q60" s="59">
        <v>0</v>
      </c>
      <c r="R60" s="58">
        <f t="shared" si="16"/>
        <v>4605.8100000000004</v>
      </c>
      <c r="S60" s="59">
        <v>284.08999999999997</v>
      </c>
      <c r="T60" s="59">
        <v>10.97</v>
      </c>
      <c r="U60" s="59">
        <v>567.88</v>
      </c>
      <c r="V60" s="59">
        <v>1399.74</v>
      </c>
      <c r="W60" s="59">
        <v>89.32</v>
      </c>
      <c r="X60" s="59">
        <v>2061.4699999999998</v>
      </c>
      <c r="Y60" s="59">
        <v>192.34</v>
      </c>
      <c r="Z60" s="58">
        <f t="shared" si="17"/>
        <v>13995.22</v>
      </c>
      <c r="AA60" s="59">
        <v>3.07</v>
      </c>
      <c r="AB60" s="59">
        <v>13571.72</v>
      </c>
      <c r="AC60" s="59">
        <v>0</v>
      </c>
      <c r="AD60" s="59">
        <v>330.03</v>
      </c>
      <c r="AE60" s="59">
        <v>90.4</v>
      </c>
      <c r="AF60" s="58">
        <f t="shared" si="18"/>
        <v>5148.5</v>
      </c>
      <c r="AG60" s="59">
        <v>116.07</v>
      </c>
      <c r="AH60" s="59">
        <v>45.99</v>
      </c>
      <c r="AI60" s="59">
        <v>408.98</v>
      </c>
      <c r="AJ60" s="59">
        <v>2564.52</v>
      </c>
      <c r="AK60" s="59">
        <v>40.51</v>
      </c>
      <c r="AL60" s="59">
        <v>1967.42</v>
      </c>
      <c r="AM60" s="59">
        <v>5.01</v>
      </c>
      <c r="AN60" s="58">
        <f t="shared" si="39"/>
        <v>4498.54</v>
      </c>
      <c r="AO60" s="58">
        <f t="shared" si="32"/>
        <v>9.9100000000000019</v>
      </c>
      <c r="AP60" s="58">
        <f t="shared" si="33"/>
        <v>0</v>
      </c>
      <c r="AQ60" s="58">
        <f t="shared" si="34"/>
        <v>1070.78</v>
      </c>
      <c r="AR60" s="58">
        <f t="shared" si="35"/>
        <v>1168.3699999999999</v>
      </c>
      <c r="AS60" s="58">
        <f t="shared" si="36"/>
        <v>155.94</v>
      </c>
      <c r="AT60" s="58">
        <f t="shared" si="37"/>
        <v>2056.38</v>
      </c>
      <c r="AU60" s="58">
        <f t="shared" si="38"/>
        <v>37.160000000000004</v>
      </c>
      <c r="AV60" s="58">
        <f t="shared" si="20"/>
        <v>1213.6899999999998</v>
      </c>
      <c r="AW60" s="59">
        <v>7.44</v>
      </c>
      <c r="AX60" s="59">
        <v>0</v>
      </c>
      <c r="AY60" s="59">
        <v>247.82</v>
      </c>
      <c r="AZ60" s="59">
        <v>509.87</v>
      </c>
      <c r="BA60" s="59">
        <v>15.62</v>
      </c>
      <c r="BB60" s="59">
        <v>396.09</v>
      </c>
      <c r="BC60" s="59">
        <v>36.85</v>
      </c>
      <c r="BD60" s="58">
        <f t="shared" si="21"/>
        <v>2642.75</v>
      </c>
      <c r="BE60" s="59">
        <v>0.92</v>
      </c>
      <c r="BF60" s="59">
        <v>0</v>
      </c>
      <c r="BG60" s="59">
        <v>389.53</v>
      </c>
      <c r="BH60" s="59">
        <v>551.75</v>
      </c>
      <c r="BI60" s="59">
        <v>121.74</v>
      </c>
      <c r="BJ60" s="59">
        <v>1578.5</v>
      </c>
      <c r="BK60" s="59">
        <v>0.31</v>
      </c>
      <c r="BL60" s="58">
        <f t="shared" si="22"/>
        <v>377.84000000000003</v>
      </c>
      <c r="BM60" s="59">
        <v>0.25</v>
      </c>
      <c r="BN60" s="59">
        <v>0</v>
      </c>
      <c r="BO60" s="59">
        <v>265.41000000000003</v>
      </c>
      <c r="BP60" s="59">
        <v>12.9</v>
      </c>
      <c r="BQ60" s="59">
        <v>17.489999999999998</v>
      </c>
      <c r="BR60" s="59">
        <v>81.790000000000006</v>
      </c>
      <c r="BS60" s="59">
        <v>0</v>
      </c>
      <c r="BT60" s="58">
        <f t="shared" si="23"/>
        <v>264.26</v>
      </c>
      <c r="BU60" s="59">
        <v>1.3</v>
      </c>
      <c r="BV60" s="59">
        <v>0</v>
      </c>
      <c r="BW60" s="59">
        <v>168.02</v>
      </c>
      <c r="BX60" s="59">
        <v>93.85</v>
      </c>
      <c r="BY60" s="59">
        <v>1.0900000000000001</v>
      </c>
      <c r="BZ60" s="59">
        <v>0</v>
      </c>
      <c r="CA60" s="59">
        <v>0</v>
      </c>
      <c r="CB60" s="58">
        <f t="shared" si="24"/>
        <v>2117.29</v>
      </c>
      <c r="CC60" s="59">
        <v>36.03</v>
      </c>
      <c r="CD60" s="59">
        <v>1953.37</v>
      </c>
      <c r="CE60" s="74">
        <v>127.89</v>
      </c>
    </row>
    <row r="61" spans="1:83" x14ac:dyDescent="0.35">
      <c r="A61" s="50" t="s">
        <v>226</v>
      </c>
      <c r="B61" s="58">
        <f t="shared" si="13"/>
        <v>39574.15</v>
      </c>
      <c r="C61" s="58">
        <f t="shared" si="25"/>
        <v>443.77000000000004</v>
      </c>
      <c r="D61" s="58">
        <f t="shared" si="26"/>
        <v>197.26999999999998</v>
      </c>
      <c r="E61" s="58">
        <f t="shared" si="14"/>
        <v>17422.12</v>
      </c>
      <c r="F61" s="58">
        <f t="shared" si="27"/>
        <v>13076.4</v>
      </c>
      <c r="G61" s="58">
        <f t="shared" si="28"/>
        <v>941.8</v>
      </c>
      <c r="H61" s="58">
        <f t="shared" si="29"/>
        <v>7163.25</v>
      </c>
      <c r="I61" s="58">
        <f t="shared" si="30"/>
        <v>329.53999999999996</v>
      </c>
      <c r="J61" s="58">
        <f t="shared" si="40"/>
        <v>300.45</v>
      </c>
      <c r="K61" s="59">
        <v>9.61</v>
      </c>
      <c r="L61" s="59">
        <v>97.08</v>
      </c>
      <c r="M61" s="59">
        <v>4.45</v>
      </c>
      <c r="N61" s="59">
        <v>107.48</v>
      </c>
      <c r="O61" s="59">
        <v>0</v>
      </c>
      <c r="P61" s="59">
        <v>81.83</v>
      </c>
      <c r="Q61" s="59">
        <v>0</v>
      </c>
      <c r="R61" s="58">
        <f t="shared" si="16"/>
        <v>5648.5</v>
      </c>
      <c r="S61" s="59">
        <v>282.58</v>
      </c>
      <c r="T61" s="59">
        <v>12.08</v>
      </c>
      <c r="U61" s="59">
        <v>563.26</v>
      </c>
      <c r="V61" s="59">
        <v>2318.59</v>
      </c>
      <c r="W61" s="59">
        <v>142.99</v>
      </c>
      <c r="X61" s="59">
        <v>2136.66</v>
      </c>
      <c r="Y61" s="59">
        <v>192.34</v>
      </c>
      <c r="Z61" s="58">
        <f t="shared" si="17"/>
        <v>13866.72</v>
      </c>
      <c r="AA61" s="59">
        <v>2.66</v>
      </c>
      <c r="AB61" s="59">
        <v>13449.19</v>
      </c>
      <c r="AC61" s="59">
        <v>0</v>
      </c>
      <c r="AD61" s="59">
        <v>324.47000000000003</v>
      </c>
      <c r="AE61" s="59">
        <v>90.4</v>
      </c>
      <c r="AF61" s="58">
        <f t="shared" si="18"/>
        <v>12049.500000000002</v>
      </c>
      <c r="AG61" s="59">
        <v>141.19999999999999</v>
      </c>
      <c r="AH61" s="59">
        <v>51.78</v>
      </c>
      <c r="AI61" s="59">
        <v>820.22</v>
      </c>
      <c r="AJ61" s="59">
        <v>8252.9500000000007</v>
      </c>
      <c r="AK61" s="59">
        <v>130.36000000000001</v>
      </c>
      <c r="AL61" s="59">
        <v>2636.67</v>
      </c>
      <c r="AM61" s="59">
        <v>16.32</v>
      </c>
      <c r="AN61" s="58">
        <f t="shared" si="39"/>
        <v>5941.9000000000005</v>
      </c>
      <c r="AO61" s="58">
        <f t="shared" si="32"/>
        <v>7.72</v>
      </c>
      <c r="AP61" s="58">
        <f t="shared" si="33"/>
        <v>0</v>
      </c>
      <c r="AQ61" s="58">
        <f t="shared" si="34"/>
        <v>982.1400000000001</v>
      </c>
      <c r="AR61" s="58">
        <f t="shared" si="35"/>
        <v>2269.4899999999998</v>
      </c>
      <c r="AS61" s="58">
        <f t="shared" si="36"/>
        <v>343.97999999999996</v>
      </c>
      <c r="AT61" s="58">
        <f t="shared" si="37"/>
        <v>2217.69</v>
      </c>
      <c r="AU61" s="58">
        <f t="shared" si="38"/>
        <v>120.88</v>
      </c>
      <c r="AV61" s="58">
        <f t="shared" si="20"/>
        <v>1654.2100000000003</v>
      </c>
      <c r="AW61" s="59">
        <v>5.25</v>
      </c>
      <c r="AX61" s="59">
        <v>0</v>
      </c>
      <c r="AY61" s="59">
        <v>208.74</v>
      </c>
      <c r="AZ61" s="59">
        <v>897.14</v>
      </c>
      <c r="BA61" s="59">
        <v>27.48</v>
      </c>
      <c r="BB61" s="59">
        <v>395.71</v>
      </c>
      <c r="BC61" s="59">
        <v>119.89</v>
      </c>
      <c r="BD61" s="58">
        <f t="shared" si="21"/>
        <v>3328.62</v>
      </c>
      <c r="BE61" s="59">
        <v>0.92</v>
      </c>
      <c r="BF61" s="59">
        <v>0</v>
      </c>
      <c r="BG61" s="59">
        <v>403.89</v>
      </c>
      <c r="BH61" s="59">
        <v>970.83</v>
      </c>
      <c r="BI61" s="59">
        <v>249.64</v>
      </c>
      <c r="BJ61" s="59">
        <v>1702.35</v>
      </c>
      <c r="BK61" s="59">
        <v>0.99</v>
      </c>
      <c r="BL61" s="58">
        <f t="shared" si="22"/>
        <v>492.47999999999996</v>
      </c>
      <c r="BM61" s="59">
        <v>0.25</v>
      </c>
      <c r="BN61" s="59">
        <v>0</v>
      </c>
      <c r="BO61" s="59">
        <v>258.31</v>
      </c>
      <c r="BP61" s="59">
        <v>48.52</v>
      </c>
      <c r="BQ61" s="59">
        <v>65.77</v>
      </c>
      <c r="BR61" s="59">
        <v>119.63</v>
      </c>
      <c r="BS61" s="59">
        <v>0</v>
      </c>
      <c r="BT61" s="58">
        <f t="shared" si="23"/>
        <v>466.59</v>
      </c>
      <c r="BU61" s="59">
        <v>1.3</v>
      </c>
      <c r="BV61" s="59">
        <v>0</v>
      </c>
      <c r="BW61" s="59">
        <v>111.2</v>
      </c>
      <c r="BX61" s="59">
        <v>353</v>
      </c>
      <c r="BY61" s="59">
        <v>1.0900000000000001</v>
      </c>
      <c r="BZ61" s="59">
        <v>0</v>
      </c>
      <c r="CA61" s="59">
        <v>0</v>
      </c>
      <c r="CB61" s="58">
        <f t="shared" si="24"/>
        <v>1767.08</v>
      </c>
      <c r="CC61" s="59">
        <v>36.33</v>
      </c>
      <c r="CD61" s="59">
        <v>1602.86</v>
      </c>
      <c r="CE61" s="74">
        <v>127.89</v>
      </c>
    </row>
    <row r="62" spans="1:83" x14ac:dyDescent="0.35">
      <c r="A62" s="50" t="s">
        <v>227</v>
      </c>
      <c r="B62" s="58">
        <f t="shared" si="13"/>
        <v>43055.139999999992</v>
      </c>
      <c r="C62" s="58">
        <f t="shared" si="25"/>
        <v>451.0800000000001</v>
      </c>
      <c r="D62" s="58">
        <f t="shared" si="26"/>
        <v>162.72</v>
      </c>
      <c r="E62" s="58">
        <f t="shared" si="14"/>
        <v>16975.599999999999</v>
      </c>
      <c r="F62" s="58">
        <f t="shared" si="27"/>
        <v>16753.89</v>
      </c>
      <c r="G62" s="58">
        <f t="shared" si="28"/>
        <v>948.59999999999991</v>
      </c>
      <c r="H62" s="58">
        <f t="shared" si="29"/>
        <v>7403.5300000000007</v>
      </c>
      <c r="I62" s="58">
        <f t="shared" si="30"/>
        <v>359.72</v>
      </c>
      <c r="J62" s="58">
        <f t="shared" si="40"/>
        <v>291.02</v>
      </c>
      <c r="K62" s="59">
        <v>9.2200000000000006</v>
      </c>
      <c r="L62" s="59">
        <v>81.349999999999994</v>
      </c>
      <c r="M62" s="59">
        <v>4.5599999999999996</v>
      </c>
      <c r="N62" s="59">
        <v>121.46</v>
      </c>
      <c r="O62" s="59">
        <v>0</v>
      </c>
      <c r="P62" s="59">
        <v>74.430000000000007</v>
      </c>
      <c r="Q62" s="59">
        <v>0</v>
      </c>
      <c r="R62" s="58">
        <f t="shared" si="16"/>
        <v>6159.07</v>
      </c>
      <c r="S62" s="59">
        <v>309.3</v>
      </c>
      <c r="T62" s="59">
        <v>8.2100000000000009</v>
      </c>
      <c r="U62" s="59">
        <v>533.53</v>
      </c>
      <c r="V62" s="59">
        <v>2896.99</v>
      </c>
      <c r="W62" s="59">
        <v>167.05</v>
      </c>
      <c r="X62" s="59">
        <v>2054.5100000000002</v>
      </c>
      <c r="Y62" s="59">
        <v>189.48</v>
      </c>
      <c r="Z62" s="58">
        <f t="shared" si="17"/>
        <v>13327.72</v>
      </c>
      <c r="AA62" s="59">
        <v>2.61</v>
      </c>
      <c r="AB62" s="59">
        <v>12930.21</v>
      </c>
      <c r="AC62" s="59">
        <v>0</v>
      </c>
      <c r="AD62" s="59">
        <v>298.58999999999997</v>
      </c>
      <c r="AE62" s="59">
        <v>96.31</v>
      </c>
      <c r="AF62" s="58">
        <f t="shared" si="18"/>
        <v>15258.65</v>
      </c>
      <c r="AG62" s="59">
        <v>126.29</v>
      </c>
      <c r="AH62" s="59">
        <v>37.799999999999997</v>
      </c>
      <c r="AI62" s="59">
        <v>830.64</v>
      </c>
      <c r="AJ62" s="59">
        <v>11169.82</v>
      </c>
      <c r="AK62" s="59">
        <v>193.42</v>
      </c>
      <c r="AL62" s="59">
        <v>2881.02</v>
      </c>
      <c r="AM62" s="59">
        <v>19.66</v>
      </c>
      <c r="AN62" s="58">
        <f t="shared" si="39"/>
        <v>6048.41</v>
      </c>
      <c r="AO62" s="58">
        <f t="shared" si="32"/>
        <v>3.6599999999999997</v>
      </c>
      <c r="AP62" s="58">
        <f t="shared" si="33"/>
        <v>0</v>
      </c>
      <c r="AQ62" s="58">
        <f t="shared" si="34"/>
        <v>865.8</v>
      </c>
      <c r="AR62" s="58">
        <f t="shared" si="35"/>
        <v>2441.5699999999997</v>
      </c>
      <c r="AS62" s="58">
        <f t="shared" si="36"/>
        <v>289.53999999999996</v>
      </c>
      <c r="AT62" s="58">
        <f t="shared" si="37"/>
        <v>2297.2599999999998</v>
      </c>
      <c r="AU62" s="58">
        <f t="shared" si="38"/>
        <v>150.58000000000001</v>
      </c>
      <c r="AV62" s="58">
        <f t="shared" si="20"/>
        <v>1839.77</v>
      </c>
      <c r="AW62" s="59">
        <v>1.46</v>
      </c>
      <c r="AX62" s="59">
        <v>0</v>
      </c>
      <c r="AY62" s="59">
        <v>193.62</v>
      </c>
      <c r="AZ62" s="59">
        <v>1063.7</v>
      </c>
      <c r="BA62" s="59">
        <v>26.54</v>
      </c>
      <c r="BB62" s="59">
        <v>406.39</v>
      </c>
      <c r="BC62" s="59">
        <v>148.06</v>
      </c>
      <c r="BD62" s="58">
        <f t="shared" si="21"/>
        <v>3598.7799999999997</v>
      </c>
      <c r="BE62" s="59">
        <v>0.88</v>
      </c>
      <c r="BF62" s="59">
        <v>0</v>
      </c>
      <c r="BG62" s="59">
        <v>411.2</v>
      </c>
      <c r="BH62" s="59">
        <v>1166.8699999999999</v>
      </c>
      <c r="BI62" s="59">
        <v>225.75</v>
      </c>
      <c r="BJ62" s="59">
        <v>1791.56</v>
      </c>
      <c r="BK62" s="59">
        <v>2.52</v>
      </c>
      <c r="BL62" s="58">
        <f t="shared" si="22"/>
        <v>304.58</v>
      </c>
      <c r="BM62" s="59">
        <v>0.26</v>
      </c>
      <c r="BN62" s="59">
        <v>0</v>
      </c>
      <c r="BO62" s="59">
        <v>149.22999999999999</v>
      </c>
      <c r="BP62" s="59">
        <v>19.66</v>
      </c>
      <c r="BQ62" s="59">
        <v>36.119999999999997</v>
      </c>
      <c r="BR62" s="59">
        <v>99.31</v>
      </c>
      <c r="BS62" s="59">
        <v>0</v>
      </c>
      <c r="BT62" s="58">
        <f t="shared" si="23"/>
        <v>305.27999999999997</v>
      </c>
      <c r="BU62" s="59">
        <v>1.06</v>
      </c>
      <c r="BV62" s="59">
        <v>0</v>
      </c>
      <c r="BW62" s="59">
        <v>111.75</v>
      </c>
      <c r="BX62" s="59">
        <v>191.34</v>
      </c>
      <c r="BY62" s="59">
        <v>1.1299999999999999</v>
      </c>
      <c r="BZ62" s="59">
        <v>0</v>
      </c>
      <c r="CA62" s="59">
        <v>0</v>
      </c>
      <c r="CB62" s="58">
        <f t="shared" si="24"/>
        <v>1970.2699999999998</v>
      </c>
      <c r="CC62" s="59">
        <v>35.36</v>
      </c>
      <c r="CD62" s="59">
        <v>1810.86</v>
      </c>
      <c r="CE62" s="74">
        <v>124.05</v>
      </c>
    </row>
    <row r="63" spans="1:83" x14ac:dyDescent="0.35">
      <c r="A63" s="50" t="s">
        <v>228</v>
      </c>
      <c r="B63" s="58">
        <f t="shared" si="13"/>
        <v>34529.17</v>
      </c>
      <c r="C63" s="58">
        <f t="shared" si="25"/>
        <v>446.9799999999999</v>
      </c>
      <c r="D63" s="58">
        <f t="shared" si="26"/>
        <v>221.18</v>
      </c>
      <c r="E63" s="58">
        <f t="shared" si="14"/>
        <v>16903.740000000002</v>
      </c>
      <c r="F63" s="58">
        <f t="shared" si="27"/>
        <v>9588.659999999998</v>
      </c>
      <c r="G63" s="58">
        <f t="shared" si="28"/>
        <v>688.02</v>
      </c>
      <c r="H63" s="58">
        <f t="shared" si="29"/>
        <v>6405.41</v>
      </c>
      <c r="I63" s="58">
        <f t="shared" si="30"/>
        <v>275.18</v>
      </c>
      <c r="J63" s="58">
        <f t="shared" si="40"/>
        <v>333.04</v>
      </c>
      <c r="K63" s="59">
        <v>8.64</v>
      </c>
      <c r="L63" s="59">
        <v>128.05000000000001</v>
      </c>
      <c r="M63" s="59">
        <v>4.5599999999999996</v>
      </c>
      <c r="N63" s="59">
        <v>115.06</v>
      </c>
      <c r="O63" s="59">
        <v>0</v>
      </c>
      <c r="P63" s="59">
        <v>76.73</v>
      </c>
      <c r="Q63" s="59">
        <v>0</v>
      </c>
      <c r="R63" s="58">
        <f t="shared" si="16"/>
        <v>4883.4399999999996</v>
      </c>
      <c r="S63" s="59">
        <v>300.02</v>
      </c>
      <c r="T63" s="59">
        <v>13.46</v>
      </c>
      <c r="U63" s="59">
        <v>561.78</v>
      </c>
      <c r="V63" s="59">
        <v>1721.76</v>
      </c>
      <c r="W63" s="59">
        <v>101.65</v>
      </c>
      <c r="X63" s="59">
        <v>1995.29</v>
      </c>
      <c r="Y63" s="59">
        <v>189.48</v>
      </c>
      <c r="Z63" s="58">
        <f t="shared" si="17"/>
        <v>13103.99</v>
      </c>
      <c r="AA63" s="59">
        <v>2.96</v>
      </c>
      <c r="AB63" s="59">
        <v>12752.37</v>
      </c>
      <c r="AC63" s="59">
        <v>0</v>
      </c>
      <c r="AD63" s="59">
        <v>252.35</v>
      </c>
      <c r="AE63" s="59">
        <v>96.31</v>
      </c>
      <c r="AF63" s="58">
        <f t="shared" si="18"/>
        <v>8740.51</v>
      </c>
      <c r="AG63" s="59">
        <v>131.02000000000001</v>
      </c>
      <c r="AH63" s="59">
        <v>45.28</v>
      </c>
      <c r="AI63" s="59">
        <v>671.11</v>
      </c>
      <c r="AJ63" s="59">
        <v>5622.74</v>
      </c>
      <c r="AK63" s="59">
        <v>97.37</v>
      </c>
      <c r="AL63" s="59">
        <v>2163.09</v>
      </c>
      <c r="AM63" s="59">
        <v>9.9</v>
      </c>
      <c r="AN63" s="58">
        <f t="shared" si="39"/>
        <v>5410.51</v>
      </c>
      <c r="AO63" s="58">
        <f t="shared" si="32"/>
        <v>4.34</v>
      </c>
      <c r="AP63" s="58">
        <f t="shared" si="33"/>
        <v>0</v>
      </c>
      <c r="AQ63" s="58">
        <f t="shared" si="34"/>
        <v>1014.6800000000001</v>
      </c>
      <c r="AR63" s="58">
        <f t="shared" si="35"/>
        <v>2005.05</v>
      </c>
      <c r="AS63" s="58">
        <f t="shared" si="36"/>
        <v>236.65</v>
      </c>
      <c r="AT63" s="58">
        <f t="shared" si="37"/>
        <v>2073.9899999999998</v>
      </c>
      <c r="AU63" s="58">
        <f t="shared" si="38"/>
        <v>75.8</v>
      </c>
      <c r="AV63" s="58">
        <f t="shared" si="20"/>
        <v>1608.6699999999998</v>
      </c>
      <c r="AW63" s="59">
        <v>2.14</v>
      </c>
      <c r="AX63" s="59">
        <v>0</v>
      </c>
      <c r="AY63" s="59">
        <v>228.53</v>
      </c>
      <c r="AZ63" s="59">
        <v>876.35</v>
      </c>
      <c r="BA63" s="59">
        <v>21.86</v>
      </c>
      <c r="BB63" s="59">
        <v>405.26</v>
      </c>
      <c r="BC63" s="59">
        <v>74.53</v>
      </c>
      <c r="BD63" s="58">
        <f t="shared" si="21"/>
        <v>3140.91</v>
      </c>
      <c r="BE63" s="59">
        <v>0.88</v>
      </c>
      <c r="BF63" s="59">
        <v>0</v>
      </c>
      <c r="BG63" s="59">
        <v>396.57</v>
      </c>
      <c r="BH63" s="59">
        <v>961.34</v>
      </c>
      <c r="BI63" s="59">
        <v>185.01</v>
      </c>
      <c r="BJ63" s="59">
        <v>1595.84</v>
      </c>
      <c r="BK63" s="59">
        <v>1.27</v>
      </c>
      <c r="BL63" s="58">
        <f t="shared" si="22"/>
        <v>369.47999999999996</v>
      </c>
      <c r="BM63" s="59">
        <v>0.26</v>
      </c>
      <c r="BN63" s="59">
        <v>0</v>
      </c>
      <c r="BO63" s="59">
        <v>252.09</v>
      </c>
      <c r="BP63" s="59">
        <v>15.59</v>
      </c>
      <c r="BQ63" s="59">
        <v>28.65</v>
      </c>
      <c r="BR63" s="59">
        <v>72.89</v>
      </c>
      <c r="BS63" s="59">
        <v>0</v>
      </c>
      <c r="BT63" s="58">
        <f t="shared" si="23"/>
        <v>291.45000000000005</v>
      </c>
      <c r="BU63" s="59">
        <v>1.06</v>
      </c>
      <c r="BV63" s="59">
        <v>0</v>
      </c>
      <c r="BW63" s="59">
        <v>137.49</v>
      </c>
      <c r="BX63" s="59">
        <v>151.77000000000001</v>
      </c>
      <c r="BY63" s="59">
        <v>1.1299999999999999</v>
      </c>
      <c r="BZ63" s="59">
        <v>0</v>
      </c>
      <c r="CA63" s="59">
        <v>0</v>
      </c>
      <c r="CB63" s="58">
        <f t="shared" si="24"/>
        <v>2057.6800000000003</v>
      </c>
      <c r="CC63" s="59">
        <v>34.39</v>
      </c>
      <c r="CD63" s="59">
        <v>1899.24</v>
      </c>
      <c r="CE63" s="74">
        <v>124.05</v>
      </c>
    </row>
    <row r="64" spans="1:83" x14ac:dyDescent="0.35">
      <c r="A64" s="50" t="s">
        <v>229</v>
      </c>
      <c r="B64" s="58">
        <f t="shared" si="13"/>
        <v>30473.390000000003</v>
      </c>
      <c r="C64" s="58">
        <f t="shared" si="25"/>
        <v>412.58</v>
      </c>
      <c r="D64" s="58">
        <f t="shared" si="26"/>
        <v>195.54999999999998</v>
      </c>
      <c r="E64" s="58">
        <f t="shared" si="14"/>
        <v>17305.66</v>
      </c>
      <c r="F64" s="58">
        <f t="shared" si="27"/>
        <v>5617.4500000000007</v>
      </c>
      <c r="G64" s="58">
        <f t="shared" si="28"/>
        <v>488.03</v>
      </c>
      <c r="H64" s="58">
        <f t="shared" si="29"/>
        <v>6221.7800000000007</v>
      </c>
      <c r="I64" s="58">
        <f t="shared" si="30"/>
        <v>232.33999999999997</v>
      </c>
      <c r="J64" s="58">
        <f t="shared" si="40"/>
        <v>302.90000000000003</v>
      </c>
      <c r="K64" s="59">
        <v>8.91</v>
      </c>
      <c r="L64" s="59">
        <v>110.23</v>
      </c>
      <c r="M64" s="59">
        <v>4.5599999999999996</v>
      </c>
      <c r="N64" s="59">
        <v>100.41</v>
      </c>
      <c r="O64" s="59">
        <v>0</v>
      </c>
      <c r="P64" s="59">
        <v>78.790000000000006</v>
      </c>
      <c r="Q64" s="59">
        <v>0</v>
      </c>
      <c r="R64" s="58">
        <f t="shared" si="16"/>
        <v>4360.6499999999996</v>
      </c>
      <c r="S64" s="59">
        <v>284.08999999999997</v>
      </c>
      <c r="T64" s="59">
        <v>12.88</v>
      </c>
      <c r="U64" s="59">
        <v>534.74</v>
      </c>
      <c r="V64" s="59">
        <v>1266.8599999999999</v>
      </c>
      <c r="W64" s="59">
        <v>75.66</v>
      </c>
      <c r="X64" s="59">
        <v>1996.94</v>
      </c>
      <c r="Y64" s="59">
        <v>189.48</v>
      </c>
      <c r="Z64" s="58">
        <f t="shared" si="17"/>
        <v>13882.33</v>
      </c>
      <c r="AA64" s="59">
        <v>3.06</v>
      </c>
      <c r="AB64" s="59">
        <v>13583.18</v>
      </c>
      <c r="AC64" s="59">
        <v>0</v>
      </c>
      <c r="AD64" s="59">
        <v>199.78</v>
      </c>
      <c r="AE64" s="59">
        <v>96.31</v>
      </c>
      <c r="AF64" s="58">
        <f t="shared" si="18"/>
        <v>5457</v>
      </c>
      <c r="AG64" s="59">
        <v>111.21</v>
      </c>
      <c r="AH64" s="59">
        <v>41.74</v>
      </c>
      <c r="AI64" s="59">
        <v>446.17</v>
      </c>
      <c r="AJ64" s="59">
        <v>2812.51</v>
      </c>
      <c r="AK64" s="59">
        <v>48.7</v>
      </c>
      <c r="AL64" s="59">
        <v>1991.72</v>
      </c>
      <c r="AM64" s="59">
        <v>4.95</v>
      </c>
      <c r="AN64" s="58">
        <f t="shared" si="39"/>
        <v>4729.99</v>
      </c>
      <c r="AO64" s="58">
        <f t="shared" si="32"/>
        <v>5.3100000000000005</v>
      </c>
      <c r="AP64" s="58">
        <f t="shared" si="33"/>
        <v>0</v>
      </c>
      <c r="AQ64" s="58">
        <f t="shared" si="34"/>
        <v>1151.24</v>
      </c>
      <c r="AR64" s="58">
        <f t="shared" si="35"/>
        <v>1313.6200000000001</v>
      </c>
      <c r="AS64" s="58">
        <f t="shared" si="36"/>
        <v>163.89</v>
      </c>
      <c r="AT64" s="58">
        <f t="shared" si="37"/>
        <v>2058.02</v>
      </c>
      <c r="AU64" s="58">
        <f t="shared" si="38"/>
        <v>37.910000000000004</v>
      </c>
      <c r="AV64" s="58">
        <f t="shared" si="20"/>
        <v>1295.76</v>
      </c>
      <c r="AW64" s="59">
        <v>3.11</v>
      </c>
      <c r="AX64" s="59">
        <v>0</v>
      </c>
      <c r="AY64" s="59">
        <v>275.5</v>
      </c>
      <c r="AZ64" s="59">
        <v>556.08000000000004</v>
      </c>
      <c r="BA64" s="59">
        <v>13.87</v>
      </c>
      <c r="BB64" s="59">
        <v>409.92</v>
      </c>
      <c r="BC64" s="59">
        <v>37.28</v>
      </c>
      <c r="BD64" s="58">
        <f t="shared" si="21"/>
        <v>2724.71</v>
      </c>
      <c r="BE64" s="59">
        <v>0.88</v>
      </c>
      <c r="BF64" s="59">
        <v>0</v>
      </c>
      <c r="BG64" s="59">
        <v>411.42</v>
      </c>
      <c r="BH64" s="59">
        <v>610.01</v>
      </c>
      <c r="BI64" s="59">
        <v>123.63</v>
      </c>
      <c r="BJ64" s="59">
        <v>1578.14</v>
      </c>
      <c r="BK64" s="59">
        <v>0.63</v>
      </c>
      <c r="BL64" s="58">
        <f t="shared" si="22"/>
        <v>391.24999999999994</v>
      </c>
      <c r="BM64" s="59">
        <v>0.26</v>
      </c>
      <c r="BN64" s="59">
        <v>0</v>
      </c>
      <c r="BO64" s="59">
        <v>282.02</v>
      </c>
      <c r="BP64" s="59">
        <v>13.75</v>
      </c>
      <c r="BQ64" s="59">
        <v>25.26</v>
      </c>
      <c r="BR64" s="59">
        <v>69.959999999999994</v>
      </c>
      <c r="BS64" s="59">
        <v>0</v>
      </c>
      <c r="BT64" s="58">
        <f t="shared" si="23"/>
        <v>318.27</v>
      </c>
      <c r="BU64" s="59">
        <v>1.06</v>
      </c>
      <c r="BV64" s="59">
        <v>0</v>
      </c>
      <c r="BW64" s="59">
        <v>182.3</v>
      </c>
      <c r="BX64" s="59">
        <v>133.78</v>
      </c>
      <c r="BY64" s="59">
        <v>1.1299999999999999</v>
      </c>
      <c r="BZ64" s="59">
        <v>0</v>
      </c>
      <c r="CA64" s="59">
        <v>0</v>
      </c>
      <c r="CB64" s="58">
        <f t="shared" si="24"/>
        <v>1740.52</v>
      </c>
      <c r="CC64" s="59">
        <v>30.7</v>
      </c>
      <c r="CD64" s="59">
        <v>1585.77</v>
      </c>
      <c r="CE64" s="74">
        <v>124.05</v>
      </c>
    </row>
    <row r="65" spans="1:83" x14ac:dyDescent="0.35">
      <c r="A65" s="50" t="s">
        <v>230</v>
      </c>
      <c r="B65" s="58">
        <f t="shared" si="13"/>
        <v>41899.80000000001</v>
      </c>
      <c r="C65" s="58">
        <f t="shared" si="25"/>
        <v>436.67</v>
      </c>
      <c r="D65" s="58">
        <f t="shared" si="26"/>
        <v>199.32000000000002</v>
      </c>
      <c r="E65" s="58">
        <f t="shared" si="14"/>
        <v>17279.849999999999</v>
      </c>
      <c r="F65" s="58">
        <f t="shared" si="27"/>
        <v>15389.310000000001</v>
      </c>
      <c r="G65" s="58">
        <f t="shared" si="28"/>
        <v>918.55</v>
      </c>
      <c r="H65" s="58">
        <f t="shared" si="29"/>
        <v>7335.6900000000005</v>
      </c>
      <c r="I65" s="58">
        <f t="shared" si="30"/>
        <v>340.40999999999997</v>
      </c>
      <c r="J65" s="58">
        <f t="shared" si="40"/>
        <v>284.86</v>
      </c>
      <c r="K65" s="59">
        <v>9.3800000000000008</v>
      </c>
      <c r="L65" s="59">
        <v>92.39</v>
      </c>
      <c r="M65" s="59">
        <v>4.5599999999999996</v>
      </c>
      <c r="N65" s="59">
        <v>100.79</v>
      </c>
      <c r="O65" s="59">
        <v>0</v>
      </c>
      <c r="P65" s="59">
        <v>77.739999999999995</v>
      </c>
      <c r="Q65" s="59">
        <v>0</v>
      </c>
      <c r="R65" s="58">
        <f t="shared" si="16"/>
        <v>5801.7899999999991</v>
      </c>
      <c r="S65" s="59">
        <v>282.85000000000002</v>
      </c>
      <c r="T65" s="59">
        <v>14.69</v>
      </c>
      <c r="U65" s="59">
        <v>561.54</v>
      </c>
      <c r="V65" s="59">
        <v>2498.16</v>
      </c>
      <c r="W65" s="59">
        <v>143.83000000000001</v>
      </c>
      <c r="X65" s="59">
        <v>2111.2399999999998</v>
      </c>
      <c r="Y65" s="59">
        <v>189.48</v>
      </c>
      <c r="Z65" s="58">
        <f t="shared" si="17"/>
        <v>13775.039999999999</v>
      </c>
      <c r="AA65" s="59">
        <v>2.97</v>
      </c>
      <c r="AB65" s="59">
        <v>13468.73</v>
      </c>
      <c r="AC65" s="59">
        <v>0</v>
      </c>
      <c r="AD65" s="59">
        <v>207.03</v>
      </c>
      <c r="AE65" s="59">
        <v>96.31</v>
      </c>
      <c r="AF65" s="58">
        <f t="shared" si="18"/>
        <v>13955.470000000001</v>
      </c>
      <c r="AG65" s="59">
        <v>137.82</v>
      </c>
      <c r="AH65" s="59">
        <v>59.97</v>
      </c>
      <c r="AI65" s="59">
        <v>842.27</v>
      </c>
      <c r="AJ65" s="59">
        <v>9903.11</v>
      </c>
      <c r="AK65" s="59">
        <v>171.49</v>
      </c>
      <c r="AL65" s="59">
        <v>2823.38</v>
      </c>
      <c r="AM65" s="59">
        <v>17.43</v>
      </c>
      <c r="AN65" s="58">
        <f t="shared" si="39"/>
        <v>6531.57</v>
      </c>
      <c r="AO65" s="58">
        <f t="shared" si="32"/>
        <v>3.65</v>
      </c>
      <c r="AP65" s="58">
        <f t="shared" si="33"/>
        <v>0</v>
      </c>
      <c r="AQ65" s="58">
        <f t="shared" si="34"/>
        <v>1007.9999999999999</v>
      </c>
      <c r="AR65" s="58">
        <f t="shared" si="35"/>
        <v>2763.2</v>
      </c>
      <c r="AS65" s="58">
        <f t="shared" si="36"/>
        <v>396.2</v>
      </c>
      <c r="AT65" s="58">
        <f t="shared" si="37"/>
        <v>2227.02</v>
      </c>
      <c r="AU65" s="58">
        <f t="shared" si="38"/>
        <v>133.5</v>
      </c>
      <c r="AV65" s="58">
        <f t="shared" si="20"/>
        <v>1835.1799999999998</v>
      </c>
      <c r="AW65" s="59">
        <v>1.45</v>
      </c>
      <c r="AX65" s="59">
        <v>0</v>
      </c>
      <c r="AY65" s="59">
        <v>215.3</v>
      </c>
      <c r="AZ65" s="59">
        <v>1057.04</v>
      </c>
      <c r="BA65" s="59">
        <v>26.37</v>
      </c>
      <c r="BB65" s="59">
        <v>403.75</v>
      </c>
      <c r="BC65" s="59">
        <v>131.27000000000001</v>
      </c>
      <c r="BD65" s="58">
        <f t="shared" si="21"/>
        <v>3587.3799999999997</v>
      </c>
      <c r="BE65" s="59">
        <v>0.88</v>
      </c>
      <c r="BF65" s="59">
        <v>0</v>
      </c>
      <c r="BG65" s="59">
        <v>417</v>
      </c>
      <c r="BH65" s="59">
        <v>1159.56</v>
      </c>
      <c r="BI65" s="59">
        <v>275.12</v>
      </c>
      <c r="BJ65" s="59">
        <v>1732.59</v>
      </c>
      <c r="BK65" s="59">
        <v>2.23</v>
      </c>
      <c r="BL65" s="58">
        <f t="shared" si="22"/>
        <v>498.03999999999996</v>
      </c>
      <c r="BM65" s="59">
        <v>0.26</v>
      </c>
      <c r="BN65" s="59">
        <v>0</v>
      </c>
      <c r="BO65" s="59">
        <v>262.58999999999997</v>
      </c>
      <c r="BP65" s="59">
        <v>50.93</v>
      </c>
      <c r="BQ65" s="59">
        <v>93.58</v>
      </c>
      <c r="BR65" s="59">
        <v>90.68</v>
      </c>
      <c r="BS65" s="59">
        <v>0</v>
      </c>
      <c r="BT65" s="58">
        <f t="shared" si="23"/>
        <v>610.97</v>
      </c>
      <c r="BU65" s="59">
        <v>1.06</v>
      </c>
      <c r="BV65" s="59">
        <v>0</v>
      </c>
      <c r="BW65" s="59">
        <v>113.11</v>
      </c>
      <c r="BX65" s="59">
        <v>495.67</v>
      </c>
      <c r="BY65" s="59">
        <v>1.1299999999999999</v>
      </c>
      <c r="BZ65" s="59">
        <v>0</v>
      </c>
      <c r="CA65" s="59">
        <v>0</v>
      </c>
      <c r="CB65" s="58">
        <f t="shared" si="24"/>
        <v>1551.07</v>
      </c>
      <c r="CC65" s="59">
        <v>32.270000000000003</v>
      </c>
      <c r="CD65" s="59">
        <v>1394.75</v>
      </c>
      <c r="CE65" s="74">
        <v>124.05</v>
      </c>
    </row>
    <row r="66" spans="1:83" x14ac:dyDescent="0.35">
      <c r="A66" s="50" t="s">
        <v>231</v>
      </c>
      <c r="B66" s="58">
        <f t="shared" si="13"/>
        <v>45537.279999999999</v>
      </c>
      <c r="C66" s="58">
        <f t="shared" si="25"/>
        <v>519.30999999999995</v>
      </c>
      <c r="D66" s="58">
        <f t="shared" si="26"/>
        <v>225.1</v>
      </c>
      <c r="E66" s="58">
        <f t="shared" si="14"/>
        <v>16051.500000000004</v>
      </c>
      <c r="F66" s="58">
        <f t="shared" si="27"/>
        <v>19707.34</v>
      </c>
      <c r="G66" s="58">
        <f t="shared" si="28"/>
        <v>1107.3900000000001</v>
      </c>
      <c r="H66" s="58">
        <f t="shared" si="29"/>
        <v>7538.8</v>
      </c>
      <c r="I66" s="58">
        <f t="shared" si="30"/>
        <v>387.84000000000003</v>
      </c>
      <c r="J66" s="58">
        <f t="shared" si="40"/>
        <v>338.25</v>
      </c>
      <c r="K66" s="59">
        <v>9.59</v>
      </c>
      <c r="L66" s="59">
        <v>113.78</v>
      </c>
      <c r="M66" s="59">
        <v>5.04</v>
      </c>
      <c r="N66" s="59">
        <v>128.28</v>
      </c>
      <c r="O66" s="59">
        <v>0</v>
      </c>
      <c r="P66" s="59">
        <v>81.56</v>
      </c>
      <c r="Q66" s="59">
        <v>0</v>
      </c>
      <c r="R66" s="58">
        <f t="shared" si="16"/>
        <v>6413.92</v>
      </c>
      <c r="S66" s="59">
        <v>367.03</v>
      </c>
      <c r="T66" s="59">
        <v>14.48</v>
      </c>
      <c r="U66" s="59">
        <v>519.39</v>
      </c>
      <c r="V66" s="59">
        <v>3067.52</v>
      </c>
      <c r="W66" s="59">
        <v>203.76</v>
      </c>
      <c r="X66" s="59">
        <v>2056.88</v>
      </c>
      <c r="Y66" s="59">
        <v>184.86</v>
      </c>
      <c r="Z66" s="58">
        <f t="shared" si="17"/>
        <v>12337.05</v>
      </c>
      <c r="AA66" s="59">
        <v>2.4900000000000002</v>
      </c>
      <c r="AB66" s="59">
        <v>12028.62</v>
      </c>
      <c r="AC66" s="59">
        <v>0</v>
      </c>
      <c r="AD66" s="59">
        <v>212.38</v>
      </c>
      <c r="AE66" s="59">
        <v>93.56</v>
      </c>
      <c r="AF66" s="58">
        <f t="shared" si="18"/>
        <v>17695.03</v>
      </c>
      <c r="AG66" s="59">
        <v>133.91</v>
      </c>
      <c r="AH66" s="59">
        <v>62.88</v>
      </c>
      <c r="AI66" s="59">
        <v>975.21</v>
      </c>
      <c r="AJ66" s="59">
        <v>13280.48</v>
      </c>
      <c r="AK66" s="59">
        <v>269.81</v>
      </c>
      <c r="AL66" s="59">
        <v>2949.46</v>
      </c>
      <c r="AM66" s="59">
        <v>23.28</v>
      </c>
      <c r="AN66" s="58">
        <f t="shared" si="39"/>
        <v>7048.03</v>
      </c>
      <c r="AO66" s="58">
        <f t="shared" si="32"/>
        <v>6.29</v>
      </c>
      <c r="AP66" s="58">
        <f t="shared" si="33"/>
        <v>0</v>
      </c>
      <c r="AQ66" s="58">
        <f t="shared" si="34"/>
        <v>972.53</v>
      </c>
      <c r="AR66" s="58">
        <f t="shared" si="35"/>
        <v>3110.73</v>
      </c>
      <c r="AS66" s="58">
        <f t="shared" si="36"/>
        <v>421.44000000000005</v>
      </c>
      <c r="AT66" s="58">
        <f t="shared" si="37"/>
        <v>2357.34</v>
      </c>
      <c r="AU66" s="58">
        <f t="shared" si="38"/>
        <v>179.7</v>
      </c>
      <c r="AV66" s="58">
        <f t="shared" si="20"/>
        <v>2182.6</v>
      </c>
      <c r="AW66" s="59">
        <v>3.69</v>
      </c>
      <c r="AX66" s="59">
        <v>0</v>
      </c>
      <c r="AY66" s="59">
        <v>232.33</v>
      </c>
      <c r="AZ66" s="59">
        <v>1321.78</v>
      </c>
      <c r="BA66" s="59">
        <v>45.08</v>
      </c>
      <c r="BB66" s="59">
        <v>405.37</v>
      </c>
      <c r="BC66" s="59">
        <v>174.35</v>
      </c>
      <c r="BD66" s="58">
        <f t="shared" si="21"/>
        <v>4040.77</v>
      </c>
      <c r="BE66" s="59">
        <v>0.88</v>
      </c>
      <c r="BF66" s="59">
        <v>0</v>
      </c>
      <c r="BG66" s="59">
        <v>417.75</v>
      </c>
      <c r="BH66" s="59">
        <v>1478.99</v>
      </c>
      <c r="BI66" s="59">
        <v>288.41000000000003</v>
      </c>
      <c r="BJ66" s="59">
        <v>1849.39</v>
      </c>
      <c r="BK66" s="59">
        <v>5.35</v>
      </c>
      <c r="BL66" s="58">
        <f t="shared" si="22"/>
        <v>405.21999999999997</v>
      </c>
      <c r="BM66" s="59">
        <v>0</v>
      </c>
      <c r="BN66" s="59">
        <v>0</v>
      </c>
      <c r="BO66" s="59">
        <v>188.79</v>
      </c>
      <c r="BP66" s="59">
        <v>27.06</v>
      </c>
      <c r="BQ66" s="59">
        <v>86.79</v>
      </c>
      <c r="BR66" s="59">
        <v>102.58</v>
      </c>
      <c r="BS66" s="59">
        <v>0</v>
      </c>
      <c r="BT66" s="58">
        <f t="shared" si="23"/>
        <v>419.44</v>
      </c>
      <c r="BU66" s="59">
        <v>1.72</v>
      </c>
      <c r="BV66" s="59">
        <v>0</v>
      </c>
      <c r="BW66" s="59">
        <v>133.66</v>
      </c>
      <c r="BX66" s="59">
        <v>282.89999999999998</v>
      </c>
      <c r="BY66" s="59">
        <v>1.1599999999999999</v>
      </c>
      <c r="BZ66" s="59">
        <v>0</v>
      </c>
      <c r="CA66" s="59">
        <v>0</v>
      </c>
      <c r="CB66" s="58">
        <f t="shared" si="24"/>
        <v>1705</v>
      </c>
      <c r="CC66" s="59">
        <v>33.96</v>
      </c>
      <c r="CD66" s="59">
        <v>1550.71</v>
      </c>
      <c r="CE66" s="74">
        <v>120.33</v>
      </c>
    </row>
    <row r="67" spans="1:83" x14ac:dyDescent="0.35">
      <c r="A67" s="50" t="s">
        <v>232</v>
      </c>
      <c r="B67" s="58">
        <f t="shared" si="13"/>
        <v>35122.400000000001</v>
      </c>
      <c r="C67" s="58">
        <f t="shared" si="25"/>
        <v>505.34999999999997</v>
      </c>
      <c r="D67" s="58">
        <f t="shared" si="26"/>
        <v>240.01999999999998</v>
      </c>
      <c r="E67" s="58">
        <f t="shared" si="14"/>
        <v>17635.72</v>
      </c>
      <c r="F67" s="58">
        <f t="shared" si="27"/>
        <v>9368.41</v>
      </c>
      <c r="G67" s="58">
        <f t="shared" si="28"/>
        <v>753.09</v>
      </c>
      <c r="H67" s="58">
        <f t="shared" si="29"/>
        <v>6351.68</v>
      </c>
      <c r="I67" s="58">
        <f t="shared" si="30"/>
        <v>268.13</v>
      </c>
      <c r="J67" s="58">
        <f t="shared" si="40"/>
        <v>338.02</v>
      </c>
      <c r="K67" s="59">
        <v>9.36</v>
      </c>
      <c r="L67" s="59">
        <v>129.76</v>
      </c>
      <c r="M67" s="59">
        <v>5.04</v>
      </c>
      <c r="N67" s="59">
        <v>110.78</v>
      </c>
      <c r="O67" s="59">
        <v>0</v>
      </c>
      <c r="P67" s="59">
        <v>83.08</v>
      </c>
      <c r="Q67" s="59">
        <v>0</v>
      </c>
      <c r="R67" s="58">
        <f t="shared" si="16"/>
        <v>4911.6499999999996</v>
      </c>
      <c r="S67" s="59">
        <v>369.53</v>
      </c>
      <c r="T67" s="59">
        <v>20.37</v>
      </c>
      <c r="U67" s="59">
        <v>570.9</v>
      </c>
      <c r="V67" s="59">
        <v>1685.05</v>
      </c>
      <c r="W67" s="59">
        <v>114.49</v>
      </c>
      <c r="X67" s="59">
        <v>1966.45</v>
      </c>
      <c r="Y67" s="59">
        <v>184.86</v>
      </c>
      <c r="Z67" s="58">
        <f t="shared" si="17"/>
        <v>13885.08</v>
      </c>
      <c r="AA67" s="59">
        <v>2.34</v>
      </c>
      <c r="AB67" s="59">
        <v>13517.68</v>
      </c>
      <c r="AC67" s="59">
        <v>0</v>
      </c>
      <c r="AD67" s="59">
        <v>271.5</v>
      </c>
      <c r="AE67" s="59">
        <v>93.56</v>
      </c>
      <c r="AF67" s="58">
        <f t="shared" si="18"/>
        <v>8644.84</v>
      </c>
      <c r="AG67" s="59">
        <v>119.96</v>
      </c>
      <c r="AH67" s="59">
        <v>55.23</v>
      </c>
      <c r="AI67" s="59">
        <v>711.93</v>
      </c>
      <c r="AJ67" s="59">
        <v>5447.64</v>
      </c>
      <c r="AK67" s="59">
        <v>110.68</v>
      </c>
      <c r="AL67" s="59">
        <v>2189.85</v>
      </c>
      <c r="AM67" s="59">
        <v>9.5500000000000007</v>
      </c>
      <c r="AN67" s="58">
        <f t="shared" si="39"/>
        <v>5429.27</v>
      </c>
      <c r="AO67" s="58">
        <f t="shared" si="32"/>
        <v>4.16</v>
      </c>
      <c r="AP67" s="58">
        <f t="shared" si="33"/>
        <v>0</v>
      </c>
      <c r="AQ67" s="58">
        <f t="shared" si="34"/>
        <v>1071.6199999999999</v>
      </c>
      <c r="AR67" s="58">
        <f t="shared" si="35"/>
        <v>2004.61</v>
      </c>
      <c r="AS67" s="58">
        <f t="shared" si="36"/>
        <v>256.42</v>
      </c>
      <c r="AT67" s="58">
        <f t="shared" si="37"/>
        <v>2018.74</v>
      </c>
      <c r="AU67" s="58">
        <f t="shared" si="38"/>
        <v>73.72</v>
      </c>
      <c r="AV67" s="58">
        <f t="shared" si="20"/>
        <v>1618.8</v>
      </c>
      <c r="AW67" s="59">
        <v>2.2200000000000002</v>
      </c>
      <c r="AX67" s="59">
        <v>0</v>
      </c>
      <c r="AY67" s="59">
        <v>242.03</v>
      </c>
      <c r="AZ67" s="59">
        <v>874.27</v>
      </c>
      <c r="BA67" s="59">
        <v>29.82</v>
      </c>
      <c r="BB67" s="59">
        <v>398.94</v>
      </c>
      <c r="BC67" s="59">
        <v>71.52</v>
      </c>
      <c r="BD67" s="58">
        <f t="shared" si="21"/>
        <v>3118.9</v>
      </c>
      <c r="BE67" s="59">
        <v>0.88</v>
      </c>
      <c r="BF67" s="59">
        <v>0</v>
      </c>
      <c r="BG67" s="59">
        <v>406.27</v>
      </c>
      <c r="BH67" s="59">
        <v>978.25</v>
      </c>
      <c r="BI67" s="59">
        <v>182.86</v>
      </c>
      <c r="BJ67" s="59">
        <v>1548.44</v>
      </c>
      <c r="BK67" s="59">
        <v>2.2000000000000002</v>
      </c>
      <c r="BL67" s="58">
        <f t="shared" si="22"/>
        <v>402.80999999999995</v>
      </c>
      <c r="BM67" s="59">
        <v>0</v>
      </c>
      <c r="BN67" s="59">
        <v>0</v>
      </c>
      <c r="BO67" s="59">
        <v>275.58999999999997</v>
      </c>
      <c r="BP67" s="59">
        <v>13.28</v>
      </c>
      <c r="BQ67" s="59">
        <v>42.58</v>
      </c>
      <c r="BR67" s="59">
        <v>71.36</v>
      </c>
      <c r="BS67" s="59">
        <v>0</v>
      </c>
      <c r="BT67" s="58">
        <f t="shared" si="23"/>
        <v>288.76000000000005</v>
      </c>
      <c r="BU67" s="59">
        <v>1.06</v>
      </c>
      <c r="BV67" s="59">
        <v>0</v>
      </c>
      <c r="BW67" s="59">
        <v>147.72999999999999</v>
      </c>
      <c r="BX67" s="59">
        <v>138.81</v>
      </c>
      <c r="BY67" s="59">
        <v>1.1599999999999999</v>
      </c>
      <c r="BZ67" s="59">
        <v>0</v>
      </c>
      <c r="CA67" s="59">
        <v>0</v>
      </c>
      <c r="CB67" s="58">
        <f t="shared" si="24"/>
        <v>1913.54</v>
      </c>
      <c r="CC67" s="59">
        <v>34.659999999999997</v>
      </c>
      <c r="CD67" s="59">
        <v>1758.55</v>
      </c>
      <c r="CE67" s="74">
        <v>120.33</v>
      </c>
    </row>
    <row r="68" spans="1:83" x14ac:dyDescent="0.35">
      <c r="A68" s="50" t="s">
        <v>233</v>
      </c>
      <c r="B68" s="58">
        <f t="shared" si="13"/>
        <v>30201.670000000002</v>
      </c>
      <c r="C68" s="58">
        <f t="shared" si="25"/>
        <v>485.65999999999997</v>
      </c>
      <c r="D68" s="58">
        <f t="shared" si="26"/>
        <v>234.17000000000002</v>
      </c>
      <c r="E68" s="58">
        <f t="shared" si="14"/>
        <v>17320.89</v>
      </c>
      <c r="F68" s="58">
        <f t="shared" si="27"/>
        <v>5142.3100000000004</v>
      </c>
      <c r="G68" s="58">
        <f t="shared" si="28"/>
        <v>611.29999999999995</v>
      </c>
      <c r="H68" s="58">
        <f t="shared" si="29"/>
        <v>6187.5</v>
      </c>
      <c r="I68" s="58">
        <f t="shared" si="30"/>
        <v>219.84</v>
      </c>
      <c r="J68" s="58">
        <f t="shared" si="40"/>
        <v>335.25</v>
      </c>
      <c r="K68" s="59">
        <v>9.33</v>
      </c>
      <c r="L68" s="59">
        <v>134.4</v>
      </c>
      <c r="M68" s="59">
        <v>5.04</v>
      </c>
      <c r="N68" s="59">
        <v>105.19</v>
      </c>
      <c r="O68" s="59">
        <v>0</v>
      </c>
      <c r="P68" s="59">
        <v>81.290000000000006</v>
      </c>
      <c r="Q68" s="59">
        <v>0</v>
      </c>
      <c r="R68" s="58">
        <f t="shared" si="16"/>
        <v>4660.5899999999992</v>
      </c>
      <c r="S68" s="59">
        <v>362.68</v>
      </c>
      <c r="T68" s="59">
        <v>18.989999999999998</v>
      </c>
      <c r="U68" s="59">
        <v>576.97</v>
      </c>
      <c r="V68" s="59">
        <v>1445.7</v>
      </c>
      <c r="W68" s="59">
        <v>98.87</v>
      </c>
      <c r="X68" s="59">
        <v>1972.52</v>
      </c>
      <c r="Y68" s="59">
        <v>184.86</v>
      </c>
      <c r="Z68" s="58">
        <f t="shared" si="17"/>
        <v>13906.8</v>
      </c>
      <c r="AA68" s="59">
        <v>2.34</v>
      </c>
      <c r="AB68" s="59">
        <v>13502.9</v>
      </c>
      <c r="AC68" s="59">
        <v>0</v>
      </c>
      <c r="AD68" s="59">
        <v>308</v>
      </c>
      <c r="AE68" s="59">
        <v>93.56</v>
      </c>
      <c r="AF68" s="58">
        <f t="shared" si="18"/>
        <v>4880.46</v>
      </c>
      <c r="AG68" s="59">
        <v>104.95</v>
      </c>
      <c r="AH68" s="59">
        <v>44.96</v>
      </c>
      <c r="AI68" s="59">
        <v>438.9</v>
      </c>
      <c r="AJ68" s="59">
        <v>2288.58</v>
      </c>
      <c r="AK68" s="59">
        <v>46.5</v>
      </c>
      <c r="AL68" s="59">
        <v>1952.56</v>
      </c>
      <c r="AM68" s="59">
        <v>4.01</v>
      </c>
      <c r="AN68" s="58">
        <f t="shared" si="39"/>
        <v>4589.62</v>
      </c>
      <c r="AO68" s="58">
        <f t="shared" si="32"/>
        <v>6.3599999999999994</v>
      </c>
      <c r="AP68" s="58">
        <f t="shared" si="33"/>
        <v>0</v>
      </c>
      <c r="AQ68" s="58">
        <f t="shared" si="34"/>
        <v>1124.28</v>
      </c>
      <c r="AR68" s="58">
        <f t="shared" si="35"/>
        <v>1182.51</v>
      </c>
      <c r="AS68" s="58">
        <f t="shared" si="36"/>
        <v>157.93</v>
      </c>
      <c r="AT68" s="58">
        <f t="shared" si="37"/>
        <v>2087.5700000000002</v>
      </c>
      <c r="AU68" s="58">
        <f t="shared" si="38"/>
        <v>30.970000000000002</v>
      </c>
      <c r="AV68" s="58">
        <f t="shared" si="20"/>
        <v>1233.7099999999998</v>
      </c>
      <c r="AW68" s="59">
        <v>4.42</v>
      </c>
      <c r="AX68" s="59">
        <v>0</v>
      </c>
      <c r="AY68" s="59">
        <v>268.06</v>
      </c>
      <c r="AZ68" s="59">
        <v>506.77</v>
      </c>
      <c r="BA68" s="59">
        <v>17.28</v>
      </c>
      <c r="BB68" s="59">
        <v>407.13</v>
      </c>
      <c r="BC68" s="59">
        <v>30.05</v>
      </c>
      <c r="BD68" s="58">
        <f t="shared" si="21"/>
        <v>2680.84</v>
      </c>
      <c r="BE68" s="59">
        <v>0.88</v>
      </c>
      <c r="BF68" s="59">
        <v>0</v>
      </c>
      <c r="BG68" s="59">
        <v>398.78</v>
      </c>
      <c r="BH68" s="59">
        <v>567.04</v>
      </c>
      <c r="BI68" s="59">
        <v>109.06</v>
      </c>
      <c r="BJ68" s="59">
        <v>1604.16</v>
      </c>
      <c r="BK68" s="59">
        <v>0.92</v>
      </c>
      <c r="BL68" s="58">
        <f t="shared" si="22"/>
        <v>393.74</v>
      </c>
      <c r="BM68" s="59">
        <v>0</v>
      </c>
      <c r="BN68" s="59">
        <v>0</v>
      </c>
      <c r="BO68" s="59">
        <v>277.54000000000002</v>
      </c>
      <c r="BP68" s="59">
        <v>9.49</v>
      </c>
      <c r="BQ68" s="59">
        <v>30.43</v>
      </c>
      <c r="BR68" s="59">
        <v>76.28</v>
      </c>
      <c r="BS68" s="59">
        <v>0</v>
      </c>
      <c r="BT68" s="58">
        <f t="shared" si="23"/>
        <v>281.33000000000004</v>
      </c>
      <c r="BU68" s="59">
        <v>1.06</v>
      </c>
      <c r="BV68" s="59">
        <v>0</v>
      </c>
      <c r="BW68" s="59">
        <v>179.9</v>
      </c>
      <c r="BX68" s="59">
        <v>99.21</v>
      </c>
      <c r="BY68" s="59">
        <v>1.1599999999999999</v>
      </c>
      <c r="BZ68" s="59">
        <v>0</v>
      </c>
      <c r="CA68" s="59">
        <v>0</v>
      </c>
      <c r="CB68" s="58">
        <f t="shared" si="24"/>
        <v>1828.9499999999998</v>
      </c>
      <c r="CC68" s="59">
        <v>35.82</v>
      </c>
      <c r="CD68" s="59">
        <v>1672.8</v>
      </c>
      <c r="CE68" s="74">
        <v>120.33</v>
      </c>
    </row>
    <row r="69" spans="1:83" x14ac:dyDescent="0.35">
      <c r="A69" s="50" t="s">
        <v>234</v>
      </c>
      <c r="B69" s="58">
        <f t="shared" si="13"/>
        <v>40157.97</v>
      </c>
      <c r="C69" s="58">
        <f t="shared" si="25"/>
        <v>565.80000000000007</v>
      </c>
      <c r="D69" s="58">
        <f t="shared" si="26"/>
        <v>254.98999999999998</v>
      </c>
      <c r="E69" s="58">
        <f t="shared" si="14"/>
        <v>17156.7</v>
      </c>
      <c r="F69" s="58">
        <f t="shared" si="27"/>
        <v>13692.65</v>
      </c>
      <c r="G69" s="58">
        <f t="shared" si="28"/>
        <v>1055.04</v>
      </c>
      <c r="H69" s="58">
        <f t="shared" si="29"/>
        <v>7116.4</v>
      </c>
      <c r="I69" s="58">
        <f t="shared" si="30"/>
        <v>316.39</v>
      </c>
      <c r="J69" s="58">
        <f t="shared" si="40"/>
        <v>351.65</v>
      </c>
      <c r="K69" s="59">
        <v>9.56</v>
      </c>
      <c r="L69" s="59">
        <v>141.6</v>
      </c>
      <c r="M69" s="59">
        <v>5.04</v>
      </c>
      <c r="N69" s="59">
        <v>114.76</v>
      </c>
      <c r="O69" s="59">
        <v>0</v>
      </c>
      <c r="P69" s="59">
        <v>80.69</v>
      </c>
      <c r="Q69" s="59">
        <v>0</v>
      </c>
      <c r="R69" s="58">
        <f t="shared" si="16"/>
        <v>5719.28</v>
      </c>
      <c r="S69" s="59">
        <v>418.12</v>
      </c>
      <c r="T69" s="59">
        <v>20.170000000000002</v>
      </c>
      <c r="U69" s="59">
        <v>548.80999999999995</v>
      </c>
      <c r="V69" s="59">
        <v>2372.38</v>
      </c>
      <c r="W69" s="59">
        <v>158.57</v>
      </c>
      <c r="X69" s="59">
        <v>2016.37</v>
      </c>
      <c r="Y69" s="59">
        <v>184.86</v>
      </c>
      <c r="Z69" s="58">
        <f t="shared" si="17"/>
        <v>13842.56</v>
      </c>
      <c r="AA69" s="59">
        <v>2.7</v>
      </c>
      <c r="AB69" s="59">
        <v>13446.59</v>
      </c>
      <c r="AC69" s="59">
        <v>0</v>
      </c>
      <c r="AD69" s="59">
        <v>299.70999999999998</v>
      </c>
      <c r="AE69" s="59">
        <v>93.56</v>
      </c>
      <c r="AF69" s="58">
        <f t="shared" si="18"/>
        <v>12451.48</v>
      </c>
      <c r="AG69" s="59">
        <v>127.18</v>
      </c>
      <c r="AH69" s="59">
        <v>57.47</v>
      </c>
      <c r="AI69" s="59">
        <v>812.04</v>
      </c>
      <c r="AJ69" s="59">
        <v>8605.0499999999993</v>
      </c>
      <c r="AK69" s="59">
        <v>174.82</v>
      </c>
      <c r="AL69" s="59">
        <v>2659.83</v>
      </c>
      <c r="AM69" s="59">
        <v>15.09</v>
      </c>
      <c r="AN69" s="58">
        <f t="shared" si="39"/>
        <v>6269.98</v>
      </c>
      <c r="AO69" s="58">
        <f t="shared" si="32"/>
        <v>8.24</v>
      </c>
      <c r="AP69" s="58">
        <f t="shared" si="33"/>
        <v>0</v>
      </c>
      <c r="AQ69" s="58">
        <f t="shared" si="34"/>
        <v>977.28000000000009</v>
      </c>
      <c r="AR69" s="58">
        <f t="shared" si="35"/>
        <v>2480.13</v>
      </c>
      <c r="AS69" s="58">
        <f t="shared" si="36"/>
        <v>421.94</v>
      </c>
      <c r="AT69" s="58">
        <f t="shared" si="37"/>
        <v>2265.9499999999998</v>
      </c>
      <c r="AU69" s="58">
        <f t="shared" si="38"/>
        <v>116.44</v>
      </c>
      <c r="AV69" s="58">
        <f t="shared" si="20"/>
        <v>1692.5700000000002</v>
      </c>
      <c r="AW69" s="59">
        <v>6.3</v>
      </c>
      <c r="AX69" s="59">
        <v>0</v>
      </c>
      <c r="AY69" s="59">
        <v>206.21</v>
      </c>
      <c r="AZ69" s="59">
        <v>930.09</v>
      </c>
      <c r="BA69" s="59">
        <v>31.72</v>
      </c>
      <c r="BB69" s="59">
        <v>405.28</v>
      </c>
      <c r="BC69" s="59">
        <v>112.97</v>
      </c>
      <c r="BD69" s="58">
        <f t="shared" si="21"/>
        <v>3477.1699999999996</v>
      </c>
      <c r="BE69" s="59">
        <v>0.88</v>
      </c>
      <c r="BF69" s="59">
        <v>0</v>
      </c>
      <c r="BG69" s="59">
        <v>407.88</v>
      </c>
      <c r="BH69" s="59">
        <v>1040.71</v>
      </c>
      <c r="BI69" s="59">
        <v>246.45</v>
      </c>
      <c r="BJ69" s="59">
        <v>1777.78</v>
      </c>
      <c r="BK69" s="59">
        <v>3.47</v>
      </c>
      <c r="BL69" s="58">
        <f t="shared" si="22"/>
        <v>523.77</v>
      </c>
      <c r="BM69" s="59">
        <v>0</v>
      </c>
      <c r="BN69" s="59">
        <v>0</v>
      </c>
      <c r="BO69" s="59">
        <v>253.81</v>
      </c>
      <c r="BP69" s="59">
        <v>44.46</v>
      </c>
      <c r="BQ69" s="59">
        <v>142.61000000000001</v>
      </c>
      <c r="BR69" s="59">
        <v>82.89</v>
      </c>
      <c r="BS69" s="59">
        <v>0</v>
      </c>
      <c r="BT69" s="58">
        <f t="shared" si="23"/>
        <v>576.46999999999991</v>
      </c>
      <c r="BU69" s="59">
        <v>1.06</v>
      </c>
      <c r="BV69" s="59">
        <v>0</v>
      </c>
      <c r="BW69" s="59">
        <v>109.38</v>
      </c>
      <c r="BX69" s="59">
        <v>464.87</v>
      </c>
      <c r="BY69" s="59">
        <v>1.1599999999999999</v>
      </c>
      <c r="BZ69" s="59">
        <v>0</v>
      </c>
      <c r="CA69" s="59">
        <v>0</v>
      </c>
      <c r="CB69" s="58">
        <f t="shared" si="24"/>
        <v>1523.02</v>
      </c>
      <c r="CC69" s="59">
        <v>35.75</v>
      </c>
      <c r="CD69" s="59">
        <v>1366.94</v>
      </c>
      <c r="CE69" s="74">
        <v>120.33</v>
      </c>
    </row>
    <row r="70" spans="1:83" x14ac:dyDescent="0.35">
      <c r="A70" s="50" t="s">
        <v>235</v>
      </c>
      <c r="B70" s="58">
        <f t="shared" si="13"/>
        <v>41420.220000000008</v>
      </c>
      <c r="C70" s="58">
        <f t="shared" ref="C70:C100" si="41">K70+S70+AG70+AO70+AA70</f>
        <v>545.68999999999994</v>
      </c>
      <c r="D70" s="58">
        <f t="shared" ref="D70:D100" si="42">L70+T70+AH70+AP70+CC70</f>
        <v>231.91000000000003</v>
      </c>
      <c r="E70" s="58">
        <f t="shared" si="14"/>
        <v>16231.070000000002</v>
      </c>
      <c r="F70" s="58">
        <f t="shared" ref="F70:F85" si="43">N70+V70+AJ70+AR70+CE70</f>
        <v>15750.11</v>
      </c>
      <c r="G70" s="58">
        <f t="shared" ref="G70:G100" si="44">O70+W70+AD70+AK70+AS70</f>
        <v>1177.82</v>
      </c>
      <c r="H70" s="58">
        <f t="shared" ref="H70:H100" si="45">P70+X70+AE70+AL70+AT70</f>
        <v>7105.3</v>
      </c>
      <c r="I70" s="58">
        <f t="shared" ref="I70:I100" si="46">Q70+Y70+AM70+AU70</f>
        <v>378.32</v>
      </c>
      <c r="J70" s="58">
        <f t="shared" si="40"/>
        <v>360.38</v>
      </c>
      <c r="K70" s="59">
        <v>9.68</v>
      </c>
      <c r="L70" s="59">
        <v>138.16999999999999</v>
      </c>
      <c r="M70" s="59">
        <v>5.0599999999999996</v>
      </c>
      <c r="N70" s="59">
        <v>125.25</v>
      </c>
      <c r="O70" s="59">
        <v>0</v>
      </c>
      <c r="P70" s="59">
        <v>82.22</v>
      </c>
      <c r="Q70" s="59">
        <v>0</v>
      </c>
      <c r="R70" s="58">
        <f t="shared" si="16"/>
        <v>6187.12</v>
      </c>
      <c r="S70" s="59">
        <v>421.77</v>
      </c>
      <c r="T70" s="59">
        <v>10.71</v>
      </c>
      <c r="U70" s="59">
        <v>511.38</v>
      </c>
      <c r="V70" s="59">
        <v>2877.18</v>
      </c>
      <c r="W70" s="59">
        <v>205.82</v>
      </c>
      <c r="X70" s="59">
        <v>2003.56</v>
      </c>
      <c r="Y70" s="59">
        <v>156.69999999999999</v>
      </c>
      <c r="Z70" s="58">
        <f t="shared" si="17"/>
        <v>12896.85</v>
      </c>
      <c r="AA70" s="59">
        <v>2.41</v>
      </c>
      <c r="AB70" s="59">
        <v>12529.1</v>
      </c>
      <c r="AC70" s="59">
        <v>0</v>
      </c>
      <c r="AD70" s="59">
        <v>268.51</v>
      </c>
      <c r="AE70" s="59">
        <v>96.83</v>
      </c>
      <c r="AF70" s="58">
        <f t="shared" si="18"/>
        <v>14177.68</v>
      </c>
      <c r="AG70" s="59">
        <v>105.28</v>
      </c>
      <c r="AH70" s="59">
        <v>46.86</v>
      </c>
      <c r="AI70" s="59">
        <v>791.91</v>
      </c>
      <c r="AJ70" s="59">
        <v>10238.77</v>
      </c>
      <c r="AK70" s="59">
        <v>244.68</v>
      </c>
      <c r="AL70" s="59">
        <v>2728.38</v>
      </c>
      <c r="AM70" s="59">
        <v>21.8</v>
      </c>
      <c r="AN70" s="58">
        <f t="shared" si="39"/>
        <v>6128.2000000000007</v>
      </c>
      <c r="AO70" s="58">
        <f t="shared" ref="AO70:AO100" si="47">AW70+BE70+BM70+BU70</f>
        <v>6.55</v>
      </c>
      <c r="AP70" s="58">
        <f t="shared" ref="AP70:AP100" si="48">AX70+BF70+BN70+BV70</f>
        <v>0</v>
      </c>
      <c r="AQ70" s="58">
        <f t="shared" ref="AQ70:AQ100" si="49">AY70+BG70+BO70+BW70</f>
        <v>876.52</v>
      </c>
      <c r="AR70" s="58">
        <f t="shared" ref="AR70:AR100" si="50">AZ70+BH70+BP70+BX70</f>
        <v>2392.19</v>
      </c>
      <c r="AS70" s="58">
        <f t="shared" ref="AS70:AS100" si="51">BA70+BI70+BQ70+BY70</f>
        <v>458.81</v>
      </c>
      <c r="AT70" s="58">
        <f t="shared" ref="AT70:AT100" si="52">BB70+BJ70+BR70+BZ70</f>
        <v>2194.3100000000004</v>
      </c>
      <c r="AU70" s="58">
        <f t="shared" ref="AU70:AU100" si="53">BC70+BK70+BS70+CA70</f>
        <v>199.82</v>
      </c>
      <c r="AV70" s="58">
        <f t="shared" si="20"/>
        <v>1808.54</v>
      </c>
      <c r="AW70" s="59">
        <v>3.96</v>
      </c>
      <c r="AX70" s="59">
        <v>0</v>
      </c>
      <c r="AY70" s="59">
        <v>195.58</v>
      </c>
      <c r="AZ70" s="59">
        <v>976.93</v>
      </c>
      <c r="BA70" s="59">
        <v>38.700000000000003</v>
      </c>
      <c r="BB70" s="59">
        <v>396.23</v>
      </c>
      <c r="BC70" s="59">
        <v>197.14</v>
      </c>
      <c r="BD70" s="58">
        <f t="shared" si="21"/>
        <v>3520.53</v>
      </c>
      <c r="BE70" s="59">
        <v>0.88</v>
      </c>
      <c r="BF70" s="59">
        <v>0</v>
      </c>
      <c r="BG70" s="59">
        <v>392.14</v>
      </c>
      <c r="BH70" s="59">
        <v>1122.6600000000001</v>
      </c>
      <c r="BI70" s="59">
        <v>272.68</v>
      </c>
      <c r="BJ70" s="59">
        <v>1729.49</v>
      </c>
      <c r="BK70" s="59">
        <v>2.68</v>
      </c>
      <c r="BL70" s="58">
        <f t="shared" si="22"/>
        <v>421.15</v>
      </c>
      <c r="BM70" s="59">
        <v>0</v>
      </c>
      <c r="BN70" s="59">
        <v>0</v>
      </c>
      <c r="BO70" s="59">
        <v>176.91</v>
      </c>
      <c r="BP70" s="59">
        <v>29.4</v>
      </c>
      <c r="BQ70" s="59">
        <v>146.25</v>
      </c>
      <c r="BR70" s="59">
        <v>68.59</v>
      </c>
      <c r="BS70" s="59">
        <v>0</v>
      </c>
      <c r="BT70" s="58">
        <f t="shared" si="23"/>
        <v>377.97999999999996</v>
      </c>
      <c r="BU70" s="59">
        <v>1.71</v>
      </c>
      <c r="BV70" s="59">
        <v>0</v>
      </c>
      <c r="BW70" s="59">
        <v>111.89</v>
      </c>
      <c r="BX70" s="59">
        <v>263.2</v>
      </c>
      <c r="BY70" s="59">
        <v>1.18</v>
      </c>
      <c r="BZ70" s="59">
        <v>0</v>
      </c>
      <c r="CA70" s="59">
        <v>0</v>
      </c>
      <c r="CB70" s="58">
        <f t="shared" si="24"/>
        <v>1669.99</v>
      </c>
      <c r="CC70" s="59">
        <v>36.17</v>
      </c>
      <c r="CD70" s="59">
        <v>1517.1</v>
      </c>
      <c r="CE70" s="74">
        <v>116.72</v>
      </c>
    </row>
    <row r="71" spans="1:83" x14ac:dyDescent="0.35">
      <c r="A71" s="50" t="s">
        <v>236</v>
      </c>
      <c r="B71" s="58">
        <f t="shared" ref="B71:B94" si="54">SUM(C71:I71)</f>
        <v>32320.39</v>
      </c>
      <c r="C71" s="58">
        <f t="shared" si="41"/>
        <v>482.2</v>
      </c>
      <c r="D71" s="58">
        <f t="shared" si="42"/>
        <v>232.60000000000002</v>
      </c>
      <c r="E71" s="58">
        <f t="shared" ref="E71:E100" si="55">M71+U71+AB71+AI71+AQ71+CD71</f>
        <v>17211.07</v>
      </c>
      <c r="F71" s="58">
        <f t="shared" si="43"/>
        <v>7261.56</v>
      </c>
      <c r="G71" s="58">
        <f t="shared" si="44"/>
        <v>783.56999999999994</v>
      </c>
      <c r="H71" s="58">
        <f t="shared" si="45"/>
        <v>6107.0899999999992</v>
      </c>
      <c r="I71" s="58">
        <f t="shared" si="46"/>
        <v>242.29999999999998</v>
      </c>
      <c r="J71" s="58">
        <f t="shared" si="40"/>
        <v>350.59000000000003</v>
      </c>
      <c r="K71" s="59">
        <v>9.5399999999999991</v>
      </c>
      <c r="L71" s="59">
        <v>138.49</v>
      </c>
      <c r="M71" s="59">
        <v>5.0599999999999996</v>
      </c>
      <c r="N71" s="59">
        <v>116.26</v>
      </c>
      <c r="O71" s="59">
        <v>0</v>
      </c>
      <c r="P71" s="59">
        <v>81.239999999999995</v>
      </c>
      <c r="Q71" s="59">
        <v>0</v>
      </c>
      <c r="R71" s="58">
        <f t="shared" si="16"/>
        <v>4648.7</v>
      </c>
      <c r="S71" s="59">
        <v>367.49</v>
      </c>
      <c r="T71" s="59">
        <v>11.04</v>
      </c>
      <c r="U71" s="59">
        <v>552.25</v>
      </c>
      <c r="V71" s="59">
        <v>1595.67</v>
      </c>
      <c r="W71" s="59">
        <v>117.35</v>
      </c>
      <c r="X71" s="59">
        <v>1848.2</v>
      </c>
      <c r="Y71" s="59">
        <v>156.69999999999999</v>
      </c>
      <c r="Z71" s="58">
        <f t="shared" si="17"/>
        <v>13690.890000000001</v>
      </c>
      <c r="AA71" s="59">
        <v>2.27</v>
      </c>
      <c r="AB71" s="59">
        <v>13263.61</v>
      </c>
      <c r="AC71" s="59">
        <v>0</v>
      </c>
      <c r="AD71" s="59">
        <v>328.18</v>
      </c>
      <c r="AE71" s="59">
        <v>96.83</v>
      </c>
      <c r="AF71" s="58">
        <f t="shared" si="18"/>
        <v>6908.25</v>
      </c>
      <c r="AG71" s="59">
        <v>95.57</v>
      </c>
      <c r="AH71" s="59">
        <v>46.95</v>
      </c>
      <c r="AI71" s="59">
        <v>633.33000000000004</v>
      </c>
      <c r="AJ71" s="59">
        <v>3954.85</v>
      </c>
      <c r="AK71" s="59">
        <v>94.51</v>
      </c>
      <c r="AL71" s="59">
        <v>2074.62</v>
      </c>
      <c r="AM71" s="59">
        <v>8.42</v>
      </c>
      <c r="AN71" s="58">
        <f t="shared" si="39"/>
        <v>4837.7000000000007</v>
      </c>
      <c r="AO71" s="58">
        <f t="shared" si="47"/>
        <v>7.33</v>
      </c>
      <c r="AP71" s="58">
        <f t="shared" si="48"/>
        <v>0</v>
      </c>
      <c r="AQ71" s="58">
        <f t="shared" si="49"/>
        <v>1025.4000000000001</v>
      </c>
      <c r="AR71" s="58">
        <f t="shared" si="50"/>
        <v>1478.06</v>
      </c>
      <c r="AS71" s="58">
        <f t="shared" si="51"/>
        <v>243.53</v>
      </c>
      <c r="AT71" s="58">
        <f t="shared" si="52"/>
        <v>2006.1999999999998</v>
      </c>
      <c r="AU71" s="58">
        <f t="shared" si="53"/>
        <v>77.180000000000007</v>
      </c>
      <c r="AV71" s="58">
        <f t="shared" ref="AV71:AV94" si="56">SUM(AW71:BC71)</f>
        <v>1367.0600000000002</v>
      </c>
      <c r="AW71" s="59">
        <v>5.38</v>
      </c>
      <c r="AX71" s="59">
        <v>0</v>
      </c>
      <c r="AY71" s="59">
        <v>224.95</v>
      </c>
      <c r="AZ71" s="59">
        <v>637.61</v>
      </c>
      <c r="BA71" s="59">
        <v>25.26</v>
      </c>
      <c r="BB71" s="59">
        <v>397.71</v>
      </c>
      <c r="BC71" s="59">
        <v>76.150000000000006</v>
      </c>
      <c r="BD71" s="58">
        <f t="shared" si="21"/>
        <v>2850.9</v>
      </c>
      <c r="BE71" s="59">
        <v>0.88</v>
      </c>
      <c r="BF71" s="59">
        <v>0</v>
      </c>
      <c r="BG71" s="59">
        <v>401.16</v>
      </c>
      <c r="BH71" s="59">
        <v>732.72</v>
      </c>
      <c r="BI71" s="59">
        <v>163.24</v>
      </c>
      <c r="BJ71" s="59">
        <v>1551.87</v>
      </c>
      <c r="BK71" s="59">
        <v>1.03</v>
      </c>
      <c r="BL71" s="58">
        <f t="shared" si="22"/>
        <v>383.68</v>
      </c>
      <c r="BM71" s="59">
        <v>0</v>
      </c>
      <c r="BN71" s="59">
        <v>0</v>
      </c>
      <c r="BO71" s="59">
        <v>262.38</v>
      </c>
      <c r="BP71" s="59">
        <v>10.83</v>
      </c>
      <c r="BQ71" s="59">
        <v>53.85</v>
      </c>
      <c r="BR71" s="59">
        <v>56.62</v>
      </c>
      <c r="BS71" s="59">
        <v>0</v>
      </c>
      <c r="BT71" s="58">
        <f t="shared" si="23"/>
        <v>236.06</v>
      </c>
      <c r="BU71" s="59">
        <v>1.07</v>
      </c>
      <c r="BV71" s="59">
        <v>0</v>
      </c>
      <c r="BW71" s="59">
        <v>136.91</v>
      </c>
      <c r="BX71" s="59">
        <v>96.9</v>
      </c>
      <c r="BY71" s="59">
        <v>1.18</v>
      </c>
      <c r="BZ71" s="59">
        <v>0</v>
      </c>
      <c r="CA71" s="59">
        <v>0</v>
      </c>
      <c r="CB71" s="58">
        <f t="shared" ref="CB71:CB101" si="57">SUM(CC71:CE71)</f>
        <v>1884.26</v>
      </c>
      <c r="CC71" s="59">
        <v>36.119999999999997</v>
      </c>
      <c r="CD71" s="59">
        <v>1731.42</v>
      </c>
      <c r="CE71" s="74">
        <v>116.72</v>
      </c>
    </row>
    <row r="72" spans="1:83" x14ac:dyDescent="0.35">
      <c r="A72" s="50" t="s">
        <v>237</v>
      </c>
      <c r="B72" s="58">
        <f t="shared" si="54"/>
        <v>29705.35</v>
      </c>
      <c r="C72" s="58">
        <f t="shared" si="41"/>
        <v>492.99999999999994</v>
      </c>
      <c r="D72" s="58">
        <f t="shared" si="42"/>
        <v>226.12</v>
      </c>
      <c r="E72" s="58">
        <f t="shared" si="55"/>
        <v>17278.86</v>
      </c>
      <c r="F72" s="58">
        <f t="shared" si="43"/>
        <v>4838.2500000000009</v>
      </c>
      <c r="G72" s="58">
        <f t="shared" si="44"/>
        <v>666.32999999999993</v>
      </c>
      <c r="H72" s="58">
        <f t="shared" si="45"/>
        <v>6000.51</v>
      </c>
      <c r="I72" s="58">
        <f t="shared" si="46"/>
        <v>202.27999999999997</v>
      </c>
      <c r="J72" s="58">
        <f t="shared" si="40"/>
        <v>344.45</v>
      </c>
      <c r="K72" s="59">
        <v>9.6300000000000008</v>
      </c>
      <c r="L72" s="59">
        <v>137</v>
      </c>
      <c r="M72" s="59">
        <v>5.0599999999999996</v>
      </c>
      <c r="N72" s="59">
        <v>112.21</v>
      </c>
      <c r="O72" s="59">
        <v>0</v>
      </c>
      <c r="P72" s="59">
        <v>80.55</v>
      </c>
      <c r="Q72" s="59">
        <v>0</v>
      </c>
      <c r="R72" s="58">
        <f t="shared" ref="R72:R103" si="58">SUM(S72:Y72)</f>
        <v>4538.4000000000005</v>
      </c>
      <c r="S72" s="59">
        <v>383.02</v>
      </c>
      <c r="T72" s="59">
        <v>10.55</v>
      </c>
      <c r="U72" s="59">
        <v>556.84</v>
      </c>
      <c r="V72" s="59">
        <v>1409.39</v>
      </c>
      <c r="W72" s="59">
        <v>104.3</v>
      </c>
      <c r="X72" s="59">
        <v>1917.6</v>
      </c>
      <c r="Y72" s="59">
        <v>156.69999999999999</v>
      </c>
      <c r="Z72" s="58">
        <f t="shared" ref="Z72:Z80" si="59">SUM(AA72:AE72)</f>
        <v>14235.18</v>
      </c>
      <c r="AA72" s="59">
        <v>2.27</v>
      </c>
      <c r="AB72" s="59">
        <v>13792.19</v>
      </c>
      <c r="AC72" s="59">
        <v>0</v>
      </c>
      <c r="AD72" s="59">
        <v>343.89</v>
      </c>
      <c r="AE72" s="59">
        <v>96.83</v>
      </c>
      <c r="AF72" s="58">
        <f t="shared" ref="AF72:AF103" si="60">SUM(AG72:AM72)</f>
        <v>4620.4799999999996</v>
      </c>
      <c r="AG72" s="59">
        <v>90.63</v>
      </c>
      <c r="AH72" s="59">
        <v>45.89</v>
      </c>
      <c r="AI72" s="59">
        <v>401.58</v>
      </c>
      <c r="AJ72" s="59">
        <v>2106.0500000000002</v>
      </c>
      <c r="AK72" s="59">
        <v>50.33</v>
      </c>
      <c r="AL72" s="59">
        <v>1921.52</v>
      </c>
      <c r="AM72" s="59">
        <v>4.4800000000000004</v>
      </c>
      <c r="AN72" s="58">
        <f t="shared" si="39"/>
        <v>4369.38</v>
      </c>
      <c r="AO72" s="58">
        <f t="shared" si="47"/>
        <v>7.45</v>
      </c>
      <c r="AP72" s="58">
        <f t="shared" si="48"/>
        <v>0</v>
      </c>
      <c r="AQ72" s="58">
        <f t="shared" si="49"/>
        <v>1075.1300000000001</v>
      </c>
      <c r="AR72" s="58">
        <f t="shared" si="50"/>
        <v>1093.8800000000001</v>
      </c>
      <c r="AS72" s="58">
        <f t="shared" si="51"/>
        <v>167.81</v>
      </c>
      <c r="AT72" s="58">
        <f t="shared" si="52"/>
        <v>1984.01</v>
      </c>
      <c r="AU72" s="58">
        <f t="shared" si="53"/>
        <v>41.099999999999994</v>
      </c>
      <c r="AV72" s="58">
        <f t="shared" si="56"/>
        <v>1191.7099999999998</v>
      </c>
      <c r="AW72" s="59">
        <v>5.5</v>
      </c>
      <c r="AX72" s="59">
        <v>0</v>
      </c>
      <c r="AY72" s="59">
        <v>247.34</v>
      </c>
      <c r="AZ72" s="59">
        <v>482.58</v>
      </c>
      <c r="BA72" s="59">
        <v>19.12</v>
      </c>
      <c r="BB72" s="59">
        <v>396.62</v>
      </c>
      <c r="BC72" s="59">
        <v>40.549999999999997</v>
      </c>
      <c r="BD72" s="58">
        <f t="shared" ref="BD72:BD103" si="61">SUM(BE72:BK72)</f>
        <v>2604.5200000000004</v>
      </c>
      <c r="BE72" s="59">
        <v>0.88</v>
      </c>
      <c r="BF72" s="59">
        <v>0</v>
      </c>
      <c r="BG72" s="59">
        <v>405.31</v>
      </c>
      <c r="BH72" s="59">
        <v>554.57000000000005</v>
      </c>
      <c r="BI72" s="59">
        <v>119.16</v>
      </c>
      <c r="BJ72" s="59">
        <v>1524.05</v>
      </c>
      <c r="BK72" s="59">
        <v>0.55000000000000004</v>
      </c>
      <c r="BL72" s="58">
        <f t="shared" ref="BL72:BL103" si="62">SUM(BM72:BS72)</f>
        <v>354.61</v>
      </c>
      <c r="BM72" s="59">
        <v>0</v>
      </c>
      <c r="BN72" s="59">
        <v>0</v>
      </c>
      <c r="BO72" s="59">
        <v>257.22000000000003</v>
      </c>
      <c r="BP72" s="59">
        <v>5.7</v>
      </c>
      <c r="BQ72" s="59">
        <v>28.35</v>
      </c>
      <c r="BR72" s="59">
        <v>63.34</v>
      </c>
      <c r="BS72" s="59">
        <v>0</v>
      </c>
      <c r="BT72" s="58">
        <f t="shared" ref="BT72:BT103" si="63">SUM(BU72:CA72)</f>
        <v>218.54</v>
      </c>
      <c r="BU72" s="59">
        <v>1.07</v>
      </c>
      <c r="BV72" s="59">
        <v>0</v>
      </c>
      <c r="BW72" s="59">
        <v>165.26</v>
      </c>
      <c r="BX72" s="59">
        <v>51.03</v>
      </c>
      <c r="BY72" s="59">
        <v>1.18</v>
      </c>
      <c r="BZ72" s="59">
        <v>0</v>
      </c>
      <c r="CA72" s="59">
        <v>0</v>
      </c>
      <c r="CB72" s="58">
        <f t="shared" si="57"/>
        <v>1597.46</v>
      </c>
      <c r="CC72" s="59">
        <v>32.68</v>
      </c>
      <c r="CD72" s="59">
        <v>1448.06</v>
      </c>
      <c r="CE72" s="74">
        <v>116.72</v>
      </c>
    </row>
    <row r="73" spans="1:83" x14ac:dyDescent="0.35">
      <c r="A73" s="50" t="s">
        <v>238</v>
      </c>
      <c r="B73" s="58">
        <f t="shared" si="54"/>
        <v>39568.35</v>
      </c>
      <c r="C73" s="58">
        <f t="shared" si="41"/>
        <v>555.96999999999991</v>
      </c>
      <c r="D73" s="58">
        <f t="shared" si="42"/>
        <v>192.98000000000002</v>
      </c>
      <c r="E73" s="58">
        <f t="shared" si="55"/>
        <v>17404.63</v>
      </c>
      <c r="F73" s="58">
        <f t="shared" si="43"/>
        <v>13044.37</v>
      </c>
      <c r="G73" s="58">
        <f t="shared" si="44"/>
        <v>1216.5</v>
      </c>
      <c r="H73" s="58">
        <f t="shared" si="45"/>
        <v>6822.02</v>
      </c>
      <c r="I73" s="58">
        <f t="shared" si="46"/>
        <v>331.88</v>
      </c>
      <c r="J73" s="58">
        <f t="shared" si="40"/>
        <v>317.60000000000002</v>
      </c>
      <c r="K73" s="59">
        <v>9.5299999999999994</v>
      </c>
      <c r="L73" s="59">
        <v>106.16</v>
      </c>
      <c r="M73" s="59">
        <v>5.0599999999999996</v>
      </c>
      <c r="N73" s="59">
        <v>115.26</v>
      </c>
      <c r="O73" s="59">
        <v>0</v>
      </c>
      <c r="P73" s="59">
        <v>81.59</v>
      </c>
      <c r="Q73" s="59">
        <v>0</v>
      </c>
      <c r="R73" s="58">
        <f t="shared" si="58"/>
        <v>5513.3099999999995</v>
      </c>
      <c r="S73" s="59">
        <v>416.32</v>
      </c>
      <c r="T73" s="59">
        <v>13.52</v>
      </c>
      <c r="U73" s="59">
        <v>557.11</v>
      </c>
      <c r="V73" s="59">
        <v>2301.9299999999998</v>
      </c>
      <c r="W73" s="59">
        <v>165.7</v>
      </c>
      <c r="X73" s="59">
        <v>1902.03</v>
      </c>
      <c r="Y73" s="59">
        <v>156.69999999999999</v>
      </c>
      <c r="Z73" s="58">
        <f t="shared" si="59"/>
        <v>13795.539999999999</v>
      </c>
      <c r="AA73" s="59">
        <v>2.41</v>
      </c>
      <c r="AB73" s="59">
        <v>13394.21</v>
      </c>
      <c r="AC73" s="59">
        <v>0</v>
      </c>
      <c r="AD73" s="59">
        <v>302.08999999999997</v>
      </c>
      <c r="AE73" s="59">
        <v>96.83</v>
      </c>
      <c r="AF73" s="58">
        <f t="shared" si="60"/>
        <v>11837.78</v>
      </c>
      <c r="AG73" s="59">
        <v>123.5</v>
      </c>
      <c r="AH73" s="59">
        <v>42.25</v>
      </c>
      <c r="AI73" s="59">
        <v>799.7</v>
      </c>
      <c r="AJ73" s="59">
        <v>8093.35</v>
      </c>
      <c r="AK73" s="59">
        <v>193.41</v>
      </c>
      <c r="AL73" s="59">
        <v>2568.34</v>
      </c>
      <c r="AM73" s="59">
        <v>17.23</v>
      </c>
      <c r="AN73" s="58">
        <f t="shared" si="39"/>
        <v>6276.9100000000008</v>
      </c>
      <c r="AO73" s="58">
        <f t="shared" si="47"/>
        <v>4.21</v>
      </c>
      <c r="AP73" s="58">
        <f t="shared" si="48"/>
        <v>0</v>
      </c>
      <c r="AQ73" s="58">
        <f t="shared" si="49"/>
        <v>969.11000000000013</v>
      </c>
      <c r="AR73" s="58">
        <f t="shared" si="50"/>
        <v>2417.11</v>
      </c>
      <c r="AS73" s="58">
        <f t="shared" si="51"/>
        <v>555.29999999999995</v>
      </c>
      <c r="AT73" s="58">
        <f t="shared" si="52"/>
        <v>2173.23</v>
      </c>
      <c r="AU73" s="58">
        <f t="shared" si="53"/>
        <v>157.95000000000002</v>
      </c>
      <c r="AV73" s="58">
        <f t="shared" si="56"/>
        <v>1708.2099999999998</v>
      </c>
      <c r="AW73" s="59">
        <v>2.2599999999999998</v>
      </c>
      <c r="AX73" s="59">
        <v>0</v>
      </c>
      <c r="AY73" s="59">
        <v>203.81</v>
      </c>
      <c r="AZ73" s="59">
        <v>909.96</v>
      </c>
      <c r="BA73" s="59">
        <v>36.04</v>
      </c>
      <c r="BB73" s="59">
        <v>400.31</v>
      </c>
      <c r="BC73" s="59">
        <v>155.83000000000001</v>
      </c>
      <c r="BD73" s="58">
        <f t="shared" si="61"/>
        <v>3374.33</v>
      </c>
      <c r="BE73" s="59">
        <v>0.88</v>
      </c>
      <c r="BF73" s="59">
        <v>0</v>
      </c>
      <c r="BG73" s="59">
        <v>407.31</v>
      </c>
      <c r="BH73" s="59">
        <v>1045.69</v>
      </c>
      <c r="BI73" s="59">
        <v>287.42</v>
      </c>
      <c r="BJ73" s="59">
        <v>1630.91</v>
      </c>
      <c r="BK73" s="59">
        <v>2.12</v>
      </c>
      <c r="BL73" s="58">
        <f t="shared" si="62"/>
        <v>668.84</v>
      </c>
      <c r="BM73" s="59">
        <v>0</v>
      </c>
      <c r="BN73" s="59">
        <v>0</v>
      </c>
      <c r="BO73" s="59">
        <v>249.8</v>
      </c>
      <c r="BP73" s="59">
        <v>46.37</v>
      </c>
      <c r="BQ73" s="59">
        <v>230.66</v>
      </c>
      <c r="BR73" s="59">
        <v>142.01</v>
      </c>
      <c r="BS73" s="59">
        <v>0</v>
      </c>
      <c r="BT73" s="58">
        <f t="shared" si="63"/>
        <v>525.52999999999986</v>
      </c>
      <c r="BU73" s="59">
        <v>1.07</v>
      </c>
      <c r="BV73" s="59">
        <v>0</v>
      </c>
      <c r="BW73" s="59">
        <v>108.19</v>
      </c>
      <c r="BX73" s="59">
        <v>415.09</v>
      </c>
      <c r="BY73" s="59">
        <v>1.18</v>
      </c>
      <c r="BZ73" s="59">
        <v>0</v>
      </c>
      <c r="CA73" s="59">
        <v>0</v>
      </c>
      <c r="CB73" s="58">
        <f t="shared" si="57"/>
        <v>1827.21</v>
      </c>
      <c r="CC73" s="59">
        <v>31.05</v>
      </c>
      <c r="CD73" s="59">
        <v>1679.44</v>
      </c>
      <c r="CE73" s="74">
        <v>116.72</v>
      </c>
    </row>
    <row r="74" spans="1:83" x14ac:dyDescent="0.35">
      <c r="A74" s="50" t="s">
        <v>239</v>
      </c>
      <c r="B74" s="58">
        <f t="shared" si="54"/>
        <v>43919.17</v>
      </c>
      <c r="C74" s="58">
        <f t="shared" si="41"/>
        <v>480.03999999999996</v>
      </c>
      <c r="D74" s="58">
        <f t="shared" si="42"/>
        <v>234.16000000000003</v>
      </c>
      <c r="E74" s="58">
        <f t="shared" si="55"/>
        <v>16833.150000000001</v>
      </c>
      <c r="F74" s="58">
        <f t="shared" si="43"/>
        <v>17449.180000000004</v>
      </c>
      <c r="G74" s="58">
        <f t="shared" si="44"/>
        <v>1333.09</v>
      </c>
      <c r="H74" s="58">
        <f t="shared" si="45"/>
        <v>7167.28</v>
      </c>
      <c r="I74" s="58">
        <f t="shared" si="46"/>
        <v>422.27</v>
      </c>
      <c r="J74" s="58">
        <f t="shared" si="40"/>
        <v>379.15</v>
      </c>
      <c r="K74" s="59">
        <v>8.1</v>
      </c>
      <c r="L74" s="59">
        <v>150.91999999999999</v>
      </c>
      <c r="M74" s="59">
        <v>5.18</v>
      </c>
      <c r="N74" s="59">
        <v>129.83000000000001</v>
      </c>
      <c r="O74" s="59">
        <v>0</v>
      </c>
      <c r="P74" s="59">
        <v>85.12</v>
      </c>
      <c r="Q74" s="59">
        <v>0</v>
      </c>
      <c r="R74" s="58">
        <f t="shared" si="58"/>
        <v>6393.34</v>
      </c>
      <c r="S74" s="59">
        <v>342.03</v>
      </c>
      <c r="T74" s="59">
        <v>7.4</v>
      </c>
      <c r="U74" s="59">
        <v>545.61</v>
      </c>
      <c r="V74" s="59">
        <v>2870.46</v>
      </c>
      <c r="W74" s="59">
        <v>396.59</v>
      </c>
      <c r="X74" s="59">
        <v>2061.65</v>
      </c>
      <c r="Y74" s="59">
        <v>169.6</v>
      </c>
      <c r="Z74" s="58">
        <f t="shared" si="59"/>
        <v>13054.99</v>
      </c>
      <c r="AA74" s="59">
        <v>2.56</v>
      </c>
      <c r="AB74" s="59">
        <v>12746.1</v>
      </c>
      <c r="AC74" s="59">
        <v>0</v>
      </c>
      <c r="AD74" s="59">
        <v>209.24</v>
      </c>
      <c r="AE74" s="59">
        <v>97.09</v>
      </c>
      <c r="AF74" s="58">
        <f t="shared" si="60"/>
        <v>15729.07</v>
      </c>
      <c r="AG74" s="59">
        <v>120.58</v>
      </c>
      <c r="AH74" s="59">
        <v>43.92</v>
      </c>
      <c r="AI74" s="59">
        <v>838.33</v>
      </c>
      <c r="AJ74" s="59">
        <v>11585.5</v>
      </c>
      <c r="AK74" s="59">
        <v>310.39</v>
      </c>
      <c r="AL74" s="59">
        <v>2712.43</v>
      </c>
      <c r="AM74" s="59">
        <v>117.92</v>
      </c>
      <c r="AN74" s="58">
        <f t="shared" si="39"/>
        <v>6436.74</v>
      </c>
      <c r="AO74" s="58">
        <f t="shared" si="47"/>
        <v>6.7700000000000005</v>
      </c>
      <c r="AP74" s="58">
        <f t="shared" si="48"/>
        <v>0</v>
      </c>
      <c r="AQ74" s="58">
        <f t="shared" si="49"/>
        <v>917.19</v>
      </c>
      <c r="AR74" s="58">
        <f t="shared" si="50"/>
        <v>2750.1700000000005</v>
      </c>
      <c r="AS74" s="58">
        <f t="shared" si="51"/>
        <v>416.87</v>
      </c>
      <c r="AT74" s="58">
        <f t="shared" si="52"/>
        <v>2210.9899999999998</v>
      </c>
      <c r="AU74" s="58">
        <f t="shared" si="53"/>
        <v>134.75</v>
      </c>
      <c r="AV74" s="58">
        <f t="shared" si="56"/>
        <v>1764.56</v>
      </c>
      <c r="AW74" s="59">
        <v>4.1500000000000004</v>
      </c>
      <c r="AX74" s="59">
        <v>0</v>
      </c>
      <c r="AY74" s="59">
        <v>207.95</v>
      </c>
      <c r="AZ74" s="59">
        <v>1085.96</v>
      </c>
      <c r="BA74" s="59">
        <v>14.5</v>
      </c>
      <c r="BB74" s="59">
        <v>416.65</v>
      </c>
      <c r="BC74" s="59">
        <v>35.35</v>
      </c>
      <c r="BD74" s="58">
        <f t="shared" si="61"/>
        <v>3916.4999999999995</v>
      </c>
      <c r="BE74" s="59">
        <v>0.88</v>
      </c>
      <c r="BF74" s="59">
        <v>0</v>
      </c>
      <c r="BG74" s="59">
        <v>402.68</v>
      </c>
      <c r="BH74" s="59">
        <v>1292.51</v>
      </c>
      <c r="BI74" s="59">
        <v>365</v>
      </c>
      <c r="BJ74" s="59">
        <v>1756.03</v>
      </c>
      <c r="BK74" s="59">
        <v>99.4</v>
      </c>
      <c r="BL74" s="58">
        <f t="shared" si="62"/>
        <v>295.52</v>
      </c>
      <c r="BM74" s="59">
        <v>0</v>
      </c>
      <c r="BN74" s="59">
        <v>0</v>
      </c>
      <c r="BO74" s="59">
        <v>187.5</v>
      </c>
      <c r="BP74" s="59">
        <v>33.53</v>
      </c>
      <c r="BQ74" s="59">
        <v>36.18</v>
      </c>
      <c r="BR74" s="59">
        <v>38.31</v>
      </c>
      <c r="BS74" s="59">
        <v>0</v>
      </c>
      <c r="BT74" s="58">
        <f t="shared" si="63"/>
        <v>460.16</v>
      </c>
      <c r="BU74" s="59">
        <v>1.74</v>
      </c>
      <c r="BV74" s="59">
        <v>0</v>
      </c>
      <c r="BW74" s="59">
        <v>119.06</v>
      </c>
      <c r="BX74" s="59">
        <v>338.17</v>
      </c>
      <c r="BY74" s="59">
        <v>1.19</v>
      </c>
      <c r="BZ74" s="59">
        <v>0</v>
      </c>
      <c r="CA74" s="59">
        <v>0</v>
      </c>
      <c r="CB74" s="58">
        <f t="shared" si="57"/>
        <v>1925.88</v>
      </c>
      <c r="CC74" s="59">
        <v>31.92</v>
      </c>
      <c r="CD74" s="59">
        <v>1780.74</v>
      </c>
      <c r="CE74" s="74">
        <v>113.22</v>
      </c>
    </row>
    <row r="75" spans="1:83" x14ac:dyDescent="0.35">
      <c r="A75" s="50" t="s">
        <v>240</v>
      </c>
      <c r="B75" s="58">
        <f t="shared" si="54"/>
        <v>33310.99</v>
      </c>
      <c r="C75" s="58">
        <f t="shared" si="41"/>
        <v>456.49</v>
      </c>
      <c r="D75" s="58">
        <f t="shared" si="42"/>
        <v>214.18</v>
      </c>
      <c r="E75" s="58">
        <f t="shared" si="55"/>
        <v>17672.100000000002</v>
      </c>
      <c r="F75" s="58">
        <f t="shared" si="43"/>
        <v>7798.28</v>
      </c>
      <c r="G75" s="58">
        <f t="shared" si="44"/>
        <v>740.81999999999994</v>
      </c>
      <c r="H75" s="58">
        <f t="shared" si="45"/>
        <v>6163.31</v>
      </c>
      <c r="I75" s="58">
        <f t="shared" si="46"/>
        <v>265.81</v>
      </c>
      <c r="J75" s="58">
        <f t="shared" si="40"/>
        <v>359.56</v>
      </c>
      <c r="K75" s="59">
        <v>8.16</v>
      </c>
      <c r="L75" s="59">
        <v>140.4</v>
      </c>
      <c r="M75" s="59">
        <v>5.18</v>
      </c>
      <c r="N75" s="59">
        <v>125.39</v>
      </c>
      <c r="O75" s="59">
        <v>0</v>
      </c>
      <c r="P75" s="59">
        <v>80.430000000000007</v>
      </c>
      <c r="Q75" s="59">
        <v>0</v>
      </c>
      <c r="R75" s="58">
        <f t="shared" si="58"/>
        <v>4728.7300000000005</v>
      </c>
      <c r="S75" s="59">
        <v>343.97</v>
      </c>
      <c r="T75" s="59">
        <v>4.34</v>
      </c>
      <c r="U75" s="59">
        <v>576.85</v>
      </c>
      <c r="V75" s="59">
        <v>1511.78</v>
      </c>
      <c r="W75" s="59">
        <v>216.39</v>
      </c>
      <c r="X75" s="59">
        <v>1905.8</v>
      </c>
      <c r="Y75" s="59">
        <v>169.6</v>
      </c>
      <c r="Z75" s="58">
        <f t="shared" si="59"/>
        <v>13831.45</v>
      </c>
      <c r="AA75" s="59">
        <v>2.27</v>
      </c>
      <c r="AB75" s="59">
        <v>13492.78</v>
      </c>
      <c r="AC75" s="59">
        <v>0</v>
      </c>
      <c r="AD75" s="59">
        <v>239.31</v>
      </c>
      <c r="AE75" s="59">
        <v>97.09</v>
      </c>
      <c r="AF75" s="58">
        <f t="shared" si="60"/>
        <v>7483.7699999999986</v>
      </c>
      <c r="AG75" s="59">
        <v>95.97</v>
      </c>
      <c r="AH75" s="59">
        <v>39.840000000000003</v>
      </c>
      <c r="AI75" s="59">
        <v>696.99</v>
      </c>
      <c r="AJ75" s="59">
        <v>4411.53</v>
      </c>
      <c r="AK75" s="59">
        <v>118.19</v>
      </c>
      <c r="AL75" s="59">
        <v>2076.35</v>
      </c>
      <c r="AM75" s="59">
        <v>44.9</v>
      </c>
      <c r="AN75" s="58">
        <f t="shared" si="39"/>
        <v>4944.29</v>
      </c>
      <c r="AO75" s="58">
        <f t="shared" si="47"/>
        <v>6.12</v>
      </c>
      <c r="AP75" s="58">
        <f t="shared" si="48"/>
        <v>0</v>
      </c>
      <c r="AQ75" s="58">
        <f t="shared" si="49"/>
        <v>1079.93</v>
      </c>
      <c r="AR75" s="58">
        <f t="shared" si="50"/>
        <v>1636.36</v>
      </c>
      <c r="AS75" s="58">
        <f t="shared" si="51"/>
        <v>166.93</v>
      </c>
      <c r="AT75" s="58">
        <f t="shared" si="52"/>
        <v>2003.64</v>
      </c>
      <c r="AU75" s="58">
        <f t="shared" si="53"/>
        <v>51.31</v>
      </c>
      <c r="AV75" s="58">
        <f t="shared" si="56"/>
        <v>1383.06</v>
      </c>
      <c r="AW75" s="59">
        <v>4.17</v>
      </c>
      <c r="AX75" s="59">
        <v>0</v>
      </c>
      <c r="AY75" s="59">
        <v>246.3</v>
      </c>
      <c r="AZ75" s="59">
        <v>685.73</v>
      </c>
      <c r="BA75" s="59">
        <v>9.16</v>
      </c>
      <c r="BB75" s="59">
        <v>424.24</v>
      </c>
      <c r="BC75" s="59">
        <v>13.46</v>
      </c>
      <c r="BD75" s="58">
        <f t="shared" si="61"/>
        <v>2901.2999999999997</v>
      </c>
      <c r="BE75" s="59">
        <v>0.88</v>
      </c>
      <c r="BF75" s="59">
        <v>0</v>
      </c>
      <c r="BG75" s="59">
        <v>403.98</v>
      </c>
      <c r="BH75" s="59">
        <v>816.16</v>
      </c>
      <c r="BI75" s="59">
        <v>132.05000000000001</v>
      </c>
      <c r="BJ75" s="59">
        <v>1510.38</v>
      </c>
      <c r="BK75" s="59">
        <v>37.85</v>
      </c>
      <c r="BL75" s="58">
        <f t="shared" si="62"/>
        <v>385.42999999999995</v>
      </c>
      <c r="BM75" s="59">
        <v>0</v>
      </c>
      <c r="BN75" s="59">
        <v>0</v>
      </c>
      <c r="BO75" s="59">
        <v>279.75</v>
      </c>
      <c r="BP75" s="59">
        <v>12.13</v>
      </c>
      <c r="BQ75" s="59">
        <v>24.53</v>
      </c>
      <c r="BR75" s="59">
        <v>69.02</v>
      </c>
      <c r="BS75" s="59">
        <v>0</v>
      </c>
      <c r="BT75" s="58">
        <f t="shared" si="63"/>
        <v>274.5</v>
      </c>
      <c r="BU75" s="59">
        <v>1.07</v>
      </c>
      <c r="BV75" s="59">
        <v>0</v>
      </c>
      <c r="BW75" s="59">
        <v>149.9</v>
      </c>
      <c r="BX75" s="59">
        <v>122.34</v>
      </c>
      <c r="BY75" s="59">
        <v>1.19</v>
      </c>
      <c r="BZ75" s="59">
        <v>0</v>
      </c>
      <c r="CA75" s="59">
        <v>0</v>
      </c>
      <c r="CB75" s="58">
        <f t="shared" si="57"/>
        <v>1963.1899999999998</v>
      </c>
      <c r="CC75" s="59">
        <v>29.6</v>
      </c>
      <c r="CD75" s="59">
        <v>1820.37</v>
      </c>
      <c r="CE75" s="74">
        <v>113.22</v>
      </c>
    </row>
    <row r="76" spans="1:83" x14ac:dyDescent="0.35">
      <c r="A76" s="50" t="s">
        <v>241</v>
      </c>
      <c r="B76" s="58">
        <f t="shared" si="54"/>
        <v>30202.68</v>
      </c>
      <c r="C76" s="58">
        <f t="shared" si="41"/>
        <v>430.6</v>
      </c>
      <c r="D76" s="58">
        <f t="shared" si="42"/>
        <v>173.82999999999998</v>
      </c>
      <c r="E76" s="58">
        <f t="shared" si="55"/>
        <v>17532.219999999998</v>
      </c>
      <c r="F76" s="58">
        <f t="shared" si="43"/>
        <v>5203.3100000000004</v>
      </c>
      <c r="G76" s="58">
        <f t="shared" si="44"/>
        <v>598.47</v>
      </c>
      <c r="H76" s="58">
        <f t="shared" si="45"/>
        <v>6043.7199999999993</v>
      </c>
      <c r="I76" s="58">
        <f t="shared" si="46"/>
        <v>220.53</v>
      </c>
      <c r="J76" s="58">
        <f t="shared" si="40"/>
        <v>308.87</v>
      </c>
      <c r="K76" s="59">
        <v>8.11</v>
      </c>
      <c r="L76" s="59">
        <v>113.08</v>
      </c>
      <c r="M76" s="59">
        <v>5.18</v>
      </c>
      <c r="N76" s="59">
        <v>106.22</v>
      </c>
      <c r="O76" s="59">
        <v>0</v>
      </c>
      <c r="P76" s="59">
        <v>76.28</v>
      </c>
      <c r="Q76" s="59">
        <v>0</v>
      </c>
      <c r="R76" s="58">
        <f t="shared" si="58"/>
        <v>4553.03</v>
      </c>
      <c r="S76" s="59">
        <v>328.57</v>
      </c>
      <c r="T76" s="59">
        <v>0</v>
      </c>
      <c r="U76" s="59">
        <v>561.03</v>
      </c>
      <c r="V76" s="59">
        <v>1381.84</v>
      </c>
      <c r="W76" s="59">
        <v>196.68</v>
      </c>
      <c r="X76" s="59">
        <v>1915.31</v>
      </c>
      <c r="Y76" s="59">
        <v>169.6</v>
      </c>
      <c r="Z76" s="58">
        <f t="shared" si="59"/>
        <v>13884.18</v>
      </c>
      <c r="AA76" s="59">
        <v>2.27</v>
      </c>
      <c r="AB76" s="59">
        <v>13523.84</v>
      </c>
      <c r="AC76" s="59">
        <v>0</v>
      </c>
      <c r="AD76" s="59">
        <v>260.98</v>
      </c>
      <c r="AE76" s="59">
        <v>97.09</v>
      </c>
      <c r="AF76" s="58">
        <f t="shared" si="60"/>
        <v>4915.99</v>
      </c>
      <c r="AG76" s="59">
        <v>85.73</v>
      </c>
      <c r="AH76" s="59">
        <v>38.43</v>
      </c>
      <c r="AI76" s="59">
        <v>463.82</v>
      </c>
      <c r="AJ76" s="59">
        <v>2335.08</v>
      </c>
      <c r="AK76" s="59">
        <v>62.56</v>
      </c>
      <c r="AL76" s="59">
        <v>1906.6</v>
      </c>
      <c r="AM76" s="59">
        <v>23.77</v>
      </c>
      <c r="AN76" s="58">
        <f t="shared" si="39"/>
        <v>4584.43</v>
      </c>
      <c r="AO76" s="58">
        <f t="shared" si="47"/>
        <v>5.9200000000000008</v>
      </c>
      <c r="AP76" s="58">
        <f t="shared" si="48"/>
        <v>0</v>
      </c>
      <c r="AQ76" s="58">
        <f t="shared" si="49"/>
        <v>1157.71</v>
      </c>
      <c r="AR76" s="58">
        <f t="shared" si="50"/>
        <v>1266.95</v>
      </c>
      <c r="AS76" s="58">
        <f t="shared" si="51"/>
        <v>78.25</v>
      </c>
      <c r="AT76" s="58">
        <f t="shared" si="52"/>
        <v>2048.44</v>
      </c>
      <c r="AU76" s="58">
        <f t="shared" si="53"/>
        <v>27.16</v>
      </c>
      <c r="AV76" s="58">
        <f t="shared" si="56"/>
        <v>1271.17</v>
      </c>
      <c r="AW76" s="59">
        <v>3.97</v>
      </c>
      <c r="AX76" s="59">
        <v>0</v>
      </c>
      <c r="AY76" s="59">
        <v>277.5</v>
      </c>
      <c r="AZ76" s="59">
        <v>557.5</v>
      </c>
      <c r="BA76" s="59">
        <v>7.45</v>
      </c>
      <c r="BB76" s="59">
        <v>417.62</v>
      </c>
      <c r="BC76" s="59">
        <v>7.13</v>
      </c>
      <c r="BD76" s="58">
        <f t="shared" si="61"/>
        <v>2647.8700000000003</v>
      </c>
      <c r="BE76" s="59">
        <v>0.88</v>
      </c>
      <c r="BF76" s="59">
        <v>0</v>
      </c>
      <c r="BG76" s="59">
        <v>413.43</v>
      </c>
      <c r="BH76" s="59">
        <v>663.54</v>
      </c>
      <c r="BI76" s="59">
        <v>45.08</v>
      </c>
      <c r="BJ76" s="59">
        <v>1504.91</v>
      </c>
      <c r="BK76" s="59">
        <v>20.03</v>
      </c>
      <c r="BL76" s="58">
        <f t="shared" si="62"/>
        <v>435.19999999999993</v>
      </c>
      <c r="BM76" s="59">
        <v>0</v>
      </c>
      <c r="BN76" s="59">
        <v>0</v>
      </c>
      <c r="BO76" s="59">
        <v>280.62</v>
      </c>
      <c r="BP76" s="59">
        <v>4.1399999999999997</v>
      </c>
      <c r="BQ76" s="59">
        <v>24.53</v>
      </c>
      <c r="BR76" s="59">
        <v>125.91</v>
      </c>
      <c r="BS76" s="59">
        <v>0</v>
      </c>
      <c r="BT76" s="58">
        <f t="shared" si="63"/>
        <v>230.19</v>
      </c>
      <c r="BU76" s="59">
        <v>1.07</v>
      </c>
      <c r="BV76" s="59">
        <v>0</v>
      </c>
      <c r="BW76" s="59">
        <v>186.16</v>
      </c>
      <c r="BX76" s="59">
        <v>41.77</v>
      </c>
      <c r="BY76" s="59">
        <v>1.19</v>
      </c>
      <c r="BZ76" s="59">
        <v>0</v>
      </c>
      <c r="CA76" s="59">
        <v>0</v>
      </c>
      <c r="CB76" s="58">
        <f t="shared" si="57"/>
        <v>1956.18</v>
      </c>
      <c r="CC76" s="59">
        <v>22.32</v>
      </c>
      <c r="CD76" s="59">
        <v>1820.64</v>
      </c>
      <c r="CE76" s="74">
        <v>113.22</v>
      </c>
    </row>
    <row r="77" spans="1:83" x14ac:dyDescent="0.35">
      <c r="A77" s="50" t="s">
        <v>242</v>
      </c>
      <c r="B77" s="58">
        <f t="shared" si="54"/>
        <v>38595.769999999997</v>
      </c>
      <c r="C77" s="58">
        <f t="shared" si="41"/>
        <v>466.72999999999996</v>
      </c>
      <c r="D77" s="58">
        <f t="shared" si="42"/>
        <v>152.64000000000001</v>
      </c>
      <c r="E77" s="58">
        <f t="shared" si="55"/>
        <v>17818.510000000002</v>
      </c>
      <c r="F77" s="58">
        <f t="shared" si="43"/>
        <v>11897.84</v>
      </c>
      <c r="G77" s="58">
        <f t="shared" si="44"/>
        <v>1211.96</v>
      </c>
      <c r="H77" s="58">
        <f t="shared" si="45"/>
        <v>6720.25</v>
      </c>
      <c r="I77" s="58">
        <f t="shared" si="46"/>
        <v>327.84</v>
      </c>
      <c r="J77" s="58">
        <f t="shared" si="40"/>
        <v>276.06</v>
      </c>
      <c r="K77" s="59">
        <v>7</v>
      </c>
      <c r="L77" s="59">
        <v>94.06</v>
      </c>
      <c r="M77" s="59">
        <v>5.18</v>
      </c>
      <c r="N77" s="59">
        <v>94.58</v>
      </c>
      <c r="O77" s="59">
        <v>0</v>
      </c>
      <c r="P77" s="59">
        <v>75.239999999999995</v>
      </c>
      <c r="Q77" s="59">
        <v>0</v>
      </c>
      <c r="R77" s="58">
        <f t="shared" si="58"/>
        <v>5308.98</v>
      </c>
      <c r="S77" s="59">
        <v>334.23</v>
      </c>
      <c r="T77" s="59">
        <v>0</v>
      </c>
      <c r="U77" s="59">
        <v>512.76</v>
      </c>
      <c r="V77" s="59">
        <v>2197.9499999999998</v>
      </c>
      <c r="W77" s="59">
        <v>303.02</v>
      </c>
      <c r="X77" s="59">
        <v>1791.42</v>
      </c>
      <c r="Y77" s="59">
        <v>169.6</v>
      </c>
      <c r="Z77" s="58">
        <f t="shared" si="59"/>
        <v>13846.7</v>
      </c>
      <c r="AA77" s="59">
        <v>2.27</v>
      </c>
      <c r="AB77" s="59">
        <v>13459.08</v>
      </c>
      <c r="AC77" s="59">
        <v>0</v>
      </c>
      <c r="AD77" s="59">
        <v>288.26</v>
      </c>
      <c r="AE77" s="59">
        <v>97.09</v>
      </c>
      <c r="AF77" s="58">
        <f t="shared" si="60"/>
        <v>10897.76</v>
      </c>
      <c r="AG77" s="59">
        <v>115.52</v>
      </c>
      <c r="AH77" s="59">
        <v>44.77</v>
      </c>
      <c r="AI77" s="59">
        <v>643.29999999999995</v>
      </c>
      <c r="AJ77" s="59">
        <v>7255.31</v>
      </c>
      <c r="AK77" s="59">
        <v>194.38</v>
      </c>
      <c r="AL77" s="59">
        <v>2570.63</v>
      </c>
      <c r="AM77" s="59">
        <v>73.849999999999994</v>
      </c>
      <c r="AN77" s="58">
        <f t="shared" si="39"/>
        <v>5782.9000000000005</v>
      </c>
      <c r="AO77" s="58">
        <f t="shared" si="47"/>
        <v>7.71</v>
      </c>
      <c r="AP77" s="58">
        <f t="shared" si="48"/>
        <v>0</v>
      </c>
      <c r="AQ77" s="58">
        <f t="shared" si="49"/>
        <v>841.85000000000014</v>
      </c>
      <c r="AR77" s="58">
        <f t="shared" si="50"/>
        <v>2236.7800000000002</v>
      </c>
      <c r="AS77" s="58">
        <f t="shared" si="51"/>
        <v>426.3</v>
      </c>
      <c r="AT77" s="58">
        <f t="shared" si="52"/>
        <v>2185.87</v>
      </c>
      <c r="AU77" s="58">
        <f t="shared" si="53"/>
        <v>84.39</v>
      </c>
      <c r="AV77" s="58">
        <f t="shared" si="56"/>
        <v>1455.66</v>
      </c>
      <c r="AW77" s="59">
        <v>5.76</v>
      </c>
      <c r="AX77" s="59">
        <v>0</v>
      </c>
      <c r="AY77" s="59">
        <v>163.63999999999999</v>
      </c>
      <c r="AZ77" s="59">
        <v>845.69</v>
      </c>
      <c r="BA77" s="59">
        <v>11.3</v>
      </c>
      <c r="BB77" s="59">
        <v>407.13</v>
      </c>
      <c r="BC77" s="59">
        <v>22.14</v>
      </c>
      <c r="BD77" s="58">
        <f t="shared" si="61"/>
        <v>3492.33</v>
      </c>
      <c r="BE77" s="59">
        <v>0.88</v>
      </c>
      <c r="BF77" s="59">
        <v>0</v>
      </c>
      <c r="BG77" s="59">
        <v>387.04</v>
      </c>
      <c r="BH77" s="59">
        <v>1006.54</v>
      </c>
      <c r="BI77" s="59">
        <v>377.63</v>
      </c>
      <c r="BJ77" s="59">
        <v>1657.99</v>
      </c>
      <c r="BK77" s="59">
        <v>62.25</v>
      </c>
      <c r="BL77" s="58">
        <f t="shared" si="62"/>
        <v>395.71</v>
      </c>
      <c r="BM77" s="59">
        <v>0</v>
      </c>
      <c r="BN77" s="59">
        <v>0</v>
      </c>
      <c r="BO77" s="59">
        <v>204.09</v>
      </c>
      <c r="BP77" s="59">
        <v>34.69</v>
      </c>
      <c r="BQ77" s="59">
        <v>36.18</v>
      </c>
      <c r="BR77" s="59">
        <v>120.75</v>
      </c>
      <c r="BS77" s="59">
        <v>0</v>
      </c>
      <c r="BT77" s="58">
        <f t="shared" si="63"/>
        <v>439.2</v>
      </c>
      <c r="BU77" s="59">
        <v>1.07</v>
      </c>
      <c r="BV77" s="59">
        <v>0</v>
      </c>
      <c r="BW77" s="59">
        <v>87.08</v>
      </c>
      <c r="BX77" s="59">
        <v>349.86</v>
      </c>
      <c r="BY77" s="59">
        <v>1.19</v>
      </c>
      <c r="BZ77" s="59">
        <v>0</v>
      </c>
      <c r="CA77" s="59">
        <v>0</v>
      </c>
      <c r="CB77" s="58">
        <f t="shared" si="57"/>
        <v>2483.37</v>
      </c>
      <c r="CC77" s="59">
        <v>13.81</v>
      </c>
      <c r="CD77" s="59">
        <v>2356.34</v>
      </c>
      <c r="CE77" s="74">
        <v>113.22</v>
      </c>
    </row>
    <row r="78" spans="1:83" x14ac:dyDescent="0.35">
      <c r="A78" s="50" t="s">
        <v>243</v>
      </c>
      <c r="B78" s="58">
        <f t="shared" si="54"/>
        <v>42724.099999999991</v>
      </c>
      <c r="C78" s="58">
        <f t="shared" si="41"/>
        <v>467.83</v>
      </c>
      <c r="D78" s="58">
        <f t="shared" si="42"/>
        <v>125.89</v>
      </c>
      <c r="E78" s="58">
        <f t="shared" si="55"/>
        <v>17023.43</v>
      </c>
      <c r="F78" s="58">
        <f t="shared" si="43"/>
        <v>16308.469999999998</v>
      </c>
      <c r="G78" s="58">
        <f t="shared" si="44"/>
        <v>1296.3399999999999</v>
      </c>
      <c r="H78" s="58">
        <f t="shared" si="45"/>
        <v>7099.08</v>
      </c>
      <c r="I78" s="58">
        <f t="shared" si="46"/>
        <v>403.06</v>
      </c>
      <c r="J78" s="58">
        <f t="shared" si="40"/>
        <v>250.25</v>
      </c>
      <c r="K78" s="59">
        <v>7.37</v>
      </c>
      <c r="L78" s="59">
        <v>75.42</v>
      </c>
      <c r="M78" s="59">
        <v>4.6900000000000004</v>
      </c>
      <c r="N78" s="59">
        <v>102.29</v>
      </c>
      <c r="O78" s="59">
        <v>0</v>
      </c>
      <c r="P78" s="59">
        <v>60.48</v>
      </c>
      <c r="Q78" s="59">
        <v>0</v>
      </c>
      <c r="R78" s="58">
        <f t="shared" si="58"/>
        <v>6017.5</v>
      </c>
      <c r="S78" s="59">
        <v>335.93</v>
      </c>
      <c r="T78" s="59">
        <v>0</v>
      </c>
      <c r="U78" s="59">
        <v>502.01</v>
      </c>
      <c r="V78" s="59">
        <v>2656.75</v>
      </c>
      <c r="W78" s="59">
        <v>398.46</v>
      </c>
      <c r="X78" s="59">
        <v>1957.61</v>
      </c>
      <c r="Y78" s="59">
        <v>166.74</v>
      </c>
      <c r="Z78" s="58">
        <f t="shared" si="59"/>
        <v>13226.17</v>
      </c>
      <c r="AA78" s="59">
        <v>2.7</v>
      </c>
      <c r="AB78" s="59">
        <v>12901.44</v>
      </c>
      <c r="AC78" s="59">
        <v>0</v>
      </c>
      <c r="AD78" s="59">
        <v>221.21</v>
      </c>
      <c r="AE78" s="59">
        <v>100.82</v>
      </c>
      <c r="AF78" s="58">
        <f t="shared" si="60"/>
        <v>14821.26</v>
      </c>
      <c r="AG78" s="59">
        <v>113.62</v>
      </c>
      <c r="AH78" s="59">
        <v>38.97</v>
      </c>
      <c r="AI78" s="59">
        <v>772.65</v>
      </c>
      <c r="AJ78" s="59">
        <v>10734.31</v>
      </c>
      <c r="AK78" s="59">
        <v>308.7</v>
      </c>
      <c r="AL78" s="59">
        <v>2745.48</v>
      </c>
      <c r="AM78" s="59">
        <v>107.53</v>
      </c>
      <c r="AN78" s="58">
        <f t="shared" si="39"/>
        <v>6310.88</v>
      </c>
      <c r="AO78" s="58">
        <f t="shared" si="47"/>
        <v>8.2099999999999991</v>
      </c>
      <c r="AP78" s="58">
        <f t="shared" si="48"/>
        <v>0</v>
      </c>
      <c r="AQ78" s="58">
        <f t="shared" si="49"/>
        <v>865.92000000000007</v>
      </c>
      <c r="AR78" s="58">
        <f t="shared" si="50"/>
        <v>2705.3</v>
      </c>
      <c r="AS78" s="58">
        <f t="shared" si="51"/>
        <v>367.96999999999997</v>
      </c>
      <c r="AT78" s="58">
        <f t="shared" si="52"/>
        <v>2234.69</v>
      </c>
      <c r="AU78" s="58">
        <f t="shared" si="53"/>
        <v>128.79000000000002</v>
      </c>
      <c r="AV78" s="58">
        <f t="shared" si="56"/>
        <v>1701.73</v>
      </c>
      <c r="AW78" s="59">
        <v>5.59</v>
      </c>
      <c r="AX78" s="59">
        <v>0</v>
      </c>
      <c r="AY78" s="59">
        <v>187.98</v>
      </c>
      <c r="AZ78" s="59">
        <v>1067.51</v>
      </c>
      <c r="BA78" s="59">
        <v>9.09</v>
      </c>
      <c r="BB78" s="59">
        <v>402.14</v>
      </c>
      <c r="BC78" s="59">
        <v>29.42</v>
      </c>
      <c r="BD78" s="58">
        <f t="shared" si="61"/>
        <v>3814.1899999999996</v>
      </c>
      <c r="BE78" s="59">
        <v>0.88</v>
      </c>
      <c r="BF78" s="59">
        <v>0</v>
      </c>
      <c r="BG78" s="59">
        <v>397.37</v>
      </c>
      <c r="BH78" s="59">
        <v>1272.3800000000001</v>
      </c>
      <c r="BI78" s="59">
        <v>322.83</v>
      </c>
      <c r="BJ78" s="59">
        <v>1721.36</v>
      </c>
      <c r="BK78" s="59">
        <v>99.37</v>
      </c>
      <c r="BL78" s="58">
        <f t="shared" si="62"/>
        <v>348.55</v>
      </c>
      <c r="BM78" s="59">
        <v>0</v>
      </c>
      <c r="BN78" s="59">
        <v>0</v>
      </c>
      <c r="BO78" s="59">
        <v>169.31</v>
      </c>
      <c r="BP78" s="59">
        <v>33.19</v>
      </c>
      <c r="BQ78" s="59">
        <v>34.86</v>
      </c>
      <c r="BR78" s="59">
        <v>111.19</v>
      </c>
      <c r="BS78" s="59">
        <v>0</v>
      </c>
      <c r="BT78" s="58">
        <f t="shared" si="63"/>
        <v>446.41</v>
      </c>
      <c r="BU78" s="59">
        <v>1.74</v>
      </c>
      <c r="BV78" s="59">
        <v>0</v>
      </c>
      <c r="BW78" s="59">
        <v>111.26</v>
      </c>
      <c r="BX78" s="59">
        <v>332.22</v>
      </c>
      <c r="BY78" s="59">
        <v>1.19</v>
      </c>
      <c r="BZ78" s="59">
        <v>0</v>
      </c>
      <c r="CA78" s="59">
        <v>0</v>
      </c>
      <c r="CB78" s="58">
        <f t="shared" si="57"/>
        <v>2098.04</v>
      </c>
      <c r="CC78" s="59">
        <v>11.5</v>
      </c>
      <c r="CD78" s="59">
        <v>1976.72</v>
      </c>
      <c r="CE78" s="74">
        <v>109.82</v>
      </c>
    </row>
    <row r="79" spans="1:83" x14ac:dyDescent="0.35">
      <c r="A79" s="50" t="s">
        <v>244</v>
      </c>
      <c r="B79" s="58">
        <f t="shared" si="54"/>
        <v>34004.86</v>
      </c>
      <c r="C79" s="58">
        <f t="shared" si="41"/>
        <v>423.87</v>
      </c>
      <c r="D79" s="58">
        <f t="shared" si="42"/>
        <v>132.72</v>
      </c>
      <c r="E79" s="58">
        <f t="shared" si="55"/>
        <v>18067.16</v>
      </c>
      <c r="F79" s="58">
        <f t="shared" si="43"/>
        <v>8089.73</v>
      </c>
      <c r="G79" s="58">
        <f t="shared" si="44"/>
        <v>908.29</v>
      </c>
      <c r="H79" s="58">
        <f t="shared" si="45"/>
        <v>6114.5400000000009</v>
      </c>
      <c r="I79" s="58">
        <f t="shared" si="46"/>
        <v>268.55</v>
      </c>
      <c r="J79" s="58">
        <f t="shared" si="40"/>
        <v>255.98</v>
      </c>
      <c r="K79" s="59">
        <v>7.38</v>
      </c>
      <c r="L79" s="59">
        <v>80.81</v>
      </c>
      <c r="M79" s="59">
        <v>4.6900000000000004</v>
      </c>
      <c r="N79" s="59">
        <v>103.01</v>
      </c>
      <c r="O79" s="59">
        <v>0</v>
      </c>
      <c r="P79" s="59">
        <v>60.09</v>
      </c>
      <c r="Q79" s="59">
        <v>0</v>
      </c>
      <c r="R79" s="58">
        <f t="shared" si="58"/>
        <v>4807.0599999999995</v>
      </c>
      <c r="S79" s="59">
        <v>316.08</v>
      </c>
      <c r="T79" s="59">
        <v>0</v>
      </c>
      <c r="U79" s="59">
        <v>566.03</v>
      </c>
      <c r="V79" s="59">
        <v>1610.35</v>
      </c>
      <c r="W79" s="59">
        <v>247.43</v>
      </c>
      <c r="X79" s="59">
        <v>1900.43</v>
      </c>
      <c r="Y79" s="59">
        <v>166.74</v>
      </c>
      <c r="Z79" s="58">
        <f t="shared" si="59"/>
        <v>14154.740000000002</v>
      </c>
      <c r="AA79" s="59">
        <v>2.7</v>
      </c>
      <c r="AB79" s="59">
        <v>13761.93</v>
      </c>
      <c r="AC79" s="59">
        <v>0</v>
      </c>
      <c r="AD79" s="59">
        <v>289.29000000000002</v>
      </c>
      <c r="AE79" s="59">
        <v>100.82</v>
      </c>
      <c r="AF79" s="58">
        <f t="shared" si="60"/>
        <v>7665.8900000000012</v>
      </c>
      <c r="AG79" s="59">
        <v>90.11</v>
      </c>
      <c r="AH79" s="59">
        <v>41.35</v>
      </c>
      <c r="AI79" s="59">
        <v>665.43</v>
      </c>
      <c r="AJ79" s="59">
        <v>4625.05</v>
      </c>
      <c r="AK79" s="59">
        <v>133.01</v>
      </c>
      <c r="AL79" s="59">
        <v>2064.61</v>
      </c>
      <c r="AM79" s="59">
        <v>46.33</v>
      </c>
      <c r="AN79" s="58">
        <f t="shared" si="39"/>
        <v>4985.9799999999996</v>
      </c>
      <c r="AO79" s="58">
        <f t="shared" si="47"/>
        <v>7.6000000000000005</v>
      </c>
      <c r="AP79" s="58">
        <f t="shared" si="48"/>
        <v>0</v>
      </c>
      <c r="AQ79" s="58">
        <f t="shared" si="49"/>
        <v>1054.25</v>
      </c>
      <c r="AR79" s="58">
        <f t="shared" si="50"/>
        <v>1641.5</v>
      </c>
      <c r="AS79" s="58">
        <f t="shared" si="51"/>
        <v>238.56</v>
      </c>
      <c r="AT79" s="58">
        <f t="shared" si="52"/>
        <v>1988.59</v>
      </c>
      <c r="AU79" s="58">
        <f t="shared" si="53"/>
        <v>55.480000000000004</v>
      </c>
      <c r="AV79" s="58">
        <f t="shared" si="56"/>
        <v>1375.6100000000001</v>
      </c>
      <c r="AW79" s="59">
        <v>5.65</v>
      </c>
      <c r="AX79" s="59">
        <v>0</v>
      </c>
      <c r="AY79" s="59">
        <v>237.54</v>
      </c>
      <c r="AZ79" s="59">
        <v>687.14</v>
      </c>
      <c r="BA79" s="59">
        <v>5.85</v>
      </c>
      <c r="BB79" s="59">
        <v>426.76</v>
      </c>
      <c r="BC79" s="59">
        <v>12.67</v>
      </c>
      <c r="BD79" s="58">
        <f t="shared" si="61"/>
        <v>2944.7799999999997</v>
      </c>
      <c r="BE79" s="59">
        <v>0.88</v>
      </c>
      <c r="BF79" s="59">
        <v>0</v>
      </c>
      <c r="BG79" s="59">
        <v>399.84</v>
      </c>
      <c r="BH79" s="59">
        <v>817.9</v>
      </c>
      <c r="BI79" s="59">
        <v>207.52</v>
      </c>
      <c r="BJ79" s="59">
        <v>1475.83</v>
      </c>
      <c r="BK79" s="59">
        <v>42.81</v>
      </c>
      <c r="BL79" s="58">
        <f t="shared" si="62"/>
        <v>392.34999999999997</v>
      </c>
      <c r="BM79" s="59">
        <v>0</v>
      </c>
      <c r="BN79" s="59">
        <v>0</v>
      </c>
      <c r="BO79" s="59">
        <v>270.20999999999998</v>
      </c>
      <c r="BP79" s="59">
        <v>12.14</v>
      </c>
      <c r="BQ79" s="59">
        <v>24</v>
      </c>
      <c r="BR79" s="59">
        <v>86</v>
      </c>
      <c r="BS79" s="59">
        <v>0</v>
      </c>
      <c r="BT79" s="58">
        <f t="shared" si="63"/>
        <v>273.23999999999995</v>
      </c>
      <c r="BU79" s="59">
        <v>1.07</v>
      </c>
      <c r="BV79" s="59">
        <v>0</v>
      </c>
      <c r="BW79" s="59">
        <v>146.66</v>
      </c>
      <c r="BX79" s="59">
        <v>124.32</v>
      </c>
      <c r="BY79" s="59">
        <v>1.19</v>
      </c>
      <c r="BZ79" s="59">
        <v>0</v>
      </c>
      <c r="CA79" s="59">
        <v>0</v>
      </c>
      <c r="CB79" s="58">
        <f t="shared" si="57"/>
        <v>2135.21</v>
      </c>
      <c r="CC79" s="59">
        <v>10.56</v>
      </c>
      <c r="CD79" s="59">
        <v>2014.83</v>
      </c>
      <c r="CE79" s="74">
        <v>109.82</v>
      </c>
    </row>
    <row r="80" spans="1:83" x14ac:dyDescent="0.35">
      <c r="A80" s="50" t="s">
        <v>245</v>
      </c>
      <c r="B80" s="58">
        <f t="shared" si="54"/>
        <v>30059.649999999994</v>
      </c>
      <c r="C80" s="58">
        <f t="shared" si="41"/>
        <v>402.78</v>
      </c>
      <c r="D80" s="58">
        <f t="shared" si="42"/>
        <v>131.43</v>
      </c>
      <c r="E80" s="58">
        <f t="shared" si="55"/>
        <v>18225.02</v>
      </c>
      <c r="F80" s="58">
        <f t="shared" si="43"/>
        <v>4421.6499999999996</v>
      </c>
      <c r="G80" s="58">
        <f t="shared" si="44"/>
        <v>698.09999999999991</v>
      </c>
      <c r="H80" s="58">
        <f t="shared" si="45"/>
        <v>5974.2800000000007</v>
      </c>
      <c r="I80" s="58">
        <f t="shared" si="46"/>
        <v>206.39000000000001</v>
      </c>
      <c r="J80" s="58">
        <f t="shared" si="40"/>
        <v>240.28</v>
      </c>
      <c r="K80" s="59">
        <v>5.08</v>
      </c>
      <c r="L80" s="59">
        <v>81.489999999999995</v>
      </c>
      <c r="M80" s="59">
        <v>4.6900000000000004</v>
      </c>
      <c r="N80" s="59">
        <v>88.62</v>
      </c>
      <c r="O80" s="59">
        <v>0</v>
      </c>
      <c r="P80" s="59">
        <v>60.4</v>
      </c>
      <c r="Q80" s="59">
        <v>0</v>
      </c>
      <c r="R80" s="58">
        <f t="shared" si="58"/>
        <v>4444.24</v>
      </c>
      <c r="S80" s="59">
        <v>314.57</v>
      </c>
      <c r="T80" s="59">
        <v>0</v>
      </c>
      <c r="U80" s="59">
        <v>524.63</v>
      </c>
      <c r="V80" s="59">
        <v>1312.15</v>
      </c>
      <c r="W80" s="59">
        <v>202.29</v>
      </c>
      <c r="X80" s="59">
        <v>1923.86</v>
      </c>
      <c r="Y80" s="59">
        <v>166.74</v>
      </c>
      <c r="Z80" s="58">
        <f t="shared" si="59"/>
        <v>14549.960000000001</v>
      </c>
      <c r="AA80" s="59">
        <v>2.7</v>
      </c>
      <c r="AB80" s="59">
        <v>14178.87</v>
      </c>
      <c r="AC80" s="59">
        <v>0</v>
      </c>
      <c r="AD80" s="59">
        <v>267.57</v>
      </c>
      <c r="AE80" s="59">
        <v>100.82</v>
      </c>
      <c r="AF80" s="58">
        <f t="shared" si="60"/>
        <v>4293.3500000000004</v>
      </c>
      <c r="AG80" s="59">
        <v>74.040000000000006</v>
      </c>
      <c r="AH80" s="59">
        <v>38.85</v>
      </c>
      <c r="AI80" s="59">
        <v>431.74</v>
      </c>
      <c r="AJ80" s="59">
        <v>1801.24</v>
      </c>
      <c r="AK80" s="59">
        <v>51.8</v>
      </c>
      <c r="AL80" s="59">
        <v>1877.64</v>
      </c>
      <c r="AM80" s="59">
        <v>18.04</v>
      </c>
      <c r="AN80" s="58">
        <f t="shared" si="39"/>
        <v>4427.45</v>
      </c>
      <c r="AO80" s="58">
        <f t="shared" si="47"/>
        <v>6.3900000000000006</v>
      </c>
      <c r="AP80" s="58">
        <f t="shared" si="48"/>
        <v>0</v>
      </c>
      <c r="AQ80" s="58">
        <f t="shared" si="49"/>
        <v>1101.6300000000001</v>
      </c>
      <c r="AR80" s="58">
        <f t="shared" si="50"/>
        <v>1109.82</v>
      </c>
      <c r="AS80" s="58">
        <f t="shared" si="51"/>
        <v>176.44</v>
      </c>
      <c r="AT80" s="58">
        <f t="shared" si="52"/>
        <v>2011.56</v>
      </c>
      <c r="AU80" s="58">
        <f t="shared" si="53"/>
        <v>21.610000000000003</v>
      </c>
      <c r="AV80" s="58">
        <f t="shared" si="56"/>
        <v>1200.1099999999999</v>
      </c>
      <c r="AW80" s="59">
        <v>4.4400000000000004</v>
      </c>
      <c r="AX80" s="59">
        <v>0</v>
      </c>
      <c r="AY80" s="59">
        <v>256.95999999999998</v>
      </c>
      <c r="AZ80" s="59">
        <v>489.64</v>
      </c>
      <c r="BA80" s="59">
        <v>4.17</v>
      </c>
      <c r="BB80" s="59">
        <v>439.96</v>
      </c>
      <c r="BC80" s="59">
        <v>4.9400000000000004</v>
      </c>
      <c r="BD80" s="58">
        <f t="shared" si="61"/>
        <v>2643.71</v>
      </c>
      <c r="BE80" s="59">
        <v>0.88</v>
      </c>
      <c r="BF80" s="59">
        <v>0</v>
      </c>
      <c r="BG80" s="59">
        <v>407.65</v>
      </c>
      <c r="BH80" s="59">
        <v>579.67999999999995</v>
      </c>
      <c r="BI80" s="59">
        <v>147.08000000000001</v>
      </c>
      <c r="BJ80" s="59">
        <v>1491.75</v>
      </c>
      <c r="BK80" s="59">
        <v>16.670000000000002</v>
      </c>
      <c r="BL80" s="58">
        <f t="shared" si="62"/>
        <v>367.71000000000004</v>
      </c>
      <c r="BM80" s="59">
        <v>0</v>
      </c>
      <c r="BN80" s="59">
        <v>0</v>
      </c>
      <c r="BO80" s="59">
        <v>260.16000000000003</v>
      </c>
      <c r="BP80" s="59">
        <v>3.7</v>
      </c>
      <c r="BQ80" s="59">
        <v>24</v>
      </c>
      <c r="BR80" s="59">
        <v>79.849999999999994</v>
      </c>
      <c r="BS80" s="59">
        <v>0</v>
      </c>
      <c r="BT80" s="58">
        <f t="shared" si="63"/>
        <v>215.92000000000002</v>
      </c>
      <c r="BU80" s="59">
        <v>1.07</v>
      </c>
      <c r="BV80" s="59">
        <v>0</v>
      </c>
      <c r="BW80" s="59">
        <v>176.86</v>
      </c>
      <c r="BX80" s="59">
        <v>36.799999999999997</v>
      </c>
      <c r="BY80" s="59">
        <v>1.19</v>
      </c>
      <c r="BZ80" s="59">
        <v>0</v>
      </c>
      <c r="CA80" s="59">
        <v>0</v>
      </c>
      <c r="CB80" s="58">
        <f t="shared" si="57"/>
        <v>2104.37</v>
      </c>
      <c r="CC80" s="59">
        <v>11.09</v>
      </c>
      <c r="CD80" s="59">
        <v>1983.46</v>
      </c>
      <c r="CE80" s="74">
        <v>109.82</v>
      </c>
    </row>
    <row r="81" spans="1:83" x14ac:dyDescent="0.35">
      <c r="A81" s="50" t="s">
        <v>246</v>
      </c>
      <c r="B81" s="58">
        <f t="shared" si="54"/>
        <v>40974.629999999997</v>
      </c>
      <c r="C81" s="58">
        <f t="shared" si="41"/>
        <v>449.75</v>
      </c>
      <c r="D81" s="58">
        <f t="shared" si="42"/>
        <v>137.62</v>
      </c>
      <c r="E81" s="58">
        <f t="shared" si="55"/>
        <v>18000.550000000003</v>
      </c>
      <c r="F81" s="58">
        <f t="shared" si="43"/>
        <v>13902.68</v>
      </c>
      <c r="G81" s="58">
        <f t="shared" si="44"/>
        <v>1168.4699999999998</v>
      </c>
      <c r="H81" s="58">
        <f t="shared" si="45"/>
        <v>6954.24</v>
      </c>
      <c r="I81" s="58">
        <f t="shared" si="46"/>
        <v>361.32000000000005</v>
      </c>
      <c r="J81" s="58">
        <f t="shared" si="40"/>
        <v>237.94</v>
      </c>
      <c r="K81" s="59">
        <v>4.6900000000000004</v>
      </c>
      <c r="L81" s="59">
        <v>76.650000000000006</v>
      </c>
      <c r="M81" s="59">
        <v>4.6900000000000004</v>
      </c>
      <c r="N81" s="59">
        <v>89.53</v>
      </c>
      <c r="O81" s="59">
        <v>0</v>
      </c>
      <c r="P81" s="59">
        <v>62.38</v>
      </c>
      <c r="Q81" s="59">
        <v>0</v>
      </c>
      <c r="R81" s="58">
        <f t="shared" si="58"/>
        <v>5665.2199999999993</v>
      </c>
      <c r="S81" s="59">
        <v>313.10000000000002</v>
      </c>
      <c r="T81" s="59">
        <v>0</v>
      </c>
      <c r="U81" s="59">
        <v>535.02</v>
      </c>
      <c r="V81" s="59">
        <v>2305.94</v>
      </c>
      <c r="W81" s="59">
        <v>345.95</v>
      </c>
      <c r="X81" s="59">
        <v>1998.47</v>
      </c>
      <c r="Y81" s="59">
        <v>166.74</v>
      </c>
      <c r="Z81" s="58">
        <f t="shared" ref="Z81:Z103" si="64">SUM(AA81:AE81)</f>
        <v>14154.73</v>
      </c>
      <c r="AA81" s="59">
        <v>2.7</v>
      </c>
      <c r="AB81" s="59">
        <v>13819.74</v>
      </c>
      <c r="AC81" s="59">
        <v>0</v>
      </c>
      <c r="AD81" s="59">
        <v>231.47</v>
      </c>
      <c r="AE81" s="59">
        <v>100.82</v>
      </c>
      <c r="AF81" s="58">
        <f t="shared" si="60"/>
        <v>12747.93</v>
      </c>
      <c r="AG81" s="59">
        <v>123.18</v>
      </c>
      <c r="AH81" s="59">
        <v>48.46</v>
      </c>
      <c r="AI81" s="59">
        <v>793.85</v>
      </c>
      <c r="AJ81" s="59">
        <v>8838.9599999999991</v>
      </c>
      <c r="AK81" s="59">
        <v>254.19</v>
      </c>
      <c r="AL81" s="59">
        <v>2600.75</v>
      </c>
      <c r="AM81" s="59">
        <v>88.54</v>
      </c>
      <c r="AN81" s="58">
        <f t="shared" si="39"/>
        <v>6175.09</v>
      </c>
      <c r="AO81" s="58">
        <f t="shared" si="47"/>
        <v>6.08</v>
      </c>
      <c r="AP81" s="58">
        <f t="shared" si="48"/>
        <v>0</v>
      </c>
      <c r="AQ81" s="58">
        <f t="shared" si="49"/>
        <v>975.86000000000013</v>
      </c>
      <c r="AR81" s="58">
        <f t="shared" si="50"/>
        <v>2558.4299999999998</v>
      </c>
      <c r="AS81" s="58">
        <f t="shared" si="51"/>
        <v>336.86</v>
      </c>
      <c r="AT81" s="58">
        <f t="shared" si="52"/>
        <v>2191.8200000000002</v>
      </c>
      <c r="AU81" s="58">
        <f t="shared" si="53"/>
        <v>106.03999999999999</v>
      </c>
      <c r="AV81" s="58">
        <f t="shared" si="56"/>
        <v>1641.49</v>
      </c>
      <c r="AW81" s="59">
        <v>4.13</v>
      </c>
      <c r="AX81" s="59">
        <v>0</v>
      </c>
      <c r="AY81" s="59">
        <v>214.94</v>
      </c>
      <c r="AZ81" s="59">
        <v>964.29</v>
      </c>
      <c r="BA81" s="59">
        <v>8.2100000000000009</v>
      </c>
      <c r="BB81" s="59">
        <v>425.7</v>
      </c>
      <c r="BC81" s="59">
        <v>24.22</v>
      </c>
      <c r="BD81" s="58">
        <f t="shared" si="61"/>
        <v>3590.0099999999998</v>
      </c>
      <c r="BE81" s="59">
        <v>0.88</v>
      </c>
      <c r="BF81" s="59">
        <v>0</v>
      </c>
      <c r="BG81" s="59">
        <v>388.91</v>
      </c>
      <c r="BH81" s="59">
        <v>1153.23</v>
      </c>
      <c r="BI81" s="59">
        <v>292.60000000000002</v>
      </c>
      <c r="BJ81" s="59">
        <v>1672.57</v>
      </c>
      <c r="BK81" s="59">
        <v>81.819999999999993</v>
      </c>
      <c r="BL81" s="58">
        <f t="shared" si="62"/>
        <v>427.81</v>
      </c>
      <c r="BM81" s="59">
        <v>0</v>
      </c>
      <c r="BN81" s="59">
        <v>0</v>
      </c>
      <c r="BO81" s="59">
        <v>260.82</v>
      </c>
      <c r="BP81" s="59">
        <v>38.58</v>
      </c>
      <c r="BQ81" s="59">
        <v>34.86</v>
      </c>
      <c r="BR81" s="59">
        <v>93.55</v>
      </c>
      <c r="BS81" s="59">
        <v>0</v>
      </c>
      <c r="BT81" s="58">
        <f t="shared" si="63"/>
        <v>515.78</v>
      </c>
      <c r="BU81" s="59">
        <v>1.07</v>
      </c>
      <c r="BV81" s="59">
        <v>0</v>
      </c>
      <c r="BW81" s="59">
        <v>111.19</v>
      </c>
      <c r="BX81" s="59">
        <v>402.33</v>
      </c>
      <c r="BY81" s="59">
        <v>1.19</v>
      </c>
      <c r="BZ81" s="59">
        <v>0</v>
      </c>
      <c r="CA81" s="59">
        <v>0</v>
      </c>
      <c r="CB81" s="58">
        <f t="shared" si="57"/>
        <v>1993.72</v>
      </c>
      <c r="CC81" s="59">
        <v>12.51</v>
      </c>
      <c r="CD81" s="59">
        <v>1871.39</v>
      </c>
      <c r="CE81" s="74">
        <v>109.82</v>
      </c>
    </row>
    <row r="82" spans="1:83" x14ac:dyDescent="0.35">
      <c r="A82" s="50" t="s">
        <v>247</v>
      </c>
      <c r="B82" s="58">
        <f t="shared" si="54"/>
        <v>42210.859999999993</v>
      </c>
      <c r="C82" s="58">
        <f t="shared" si="41"/>
        <v>398.87</v>
      </c>
      <c r="D82" s="58">
        <f t="shared" si="42"/>
        <v>135.57</v>
      </c>
      <c r="E82" s="58">
        <f t="shared" si="55"/>
        <v>17161.699999999997</v>
      </c>
      <c r="F82" s="58">
        <f t="shared" si="43"/>
        <v>15854.800000000001</v>
      </c>
      <c r="G82" s="58">
        <f t="shared" si="44"/>
        <v>1368.06</v>
      </c>
      <c r="H82" s="58">
        <f t="shared" si="45"/>
        <v>6891.0800000000008</v>
      </c>
      <c r="I82" s="58">
        <f t="shared" si="46"/>
        <v>400.78</v>
      </c>
      <c r="J82" s="58">
        <f t="shared" si="40"/>
        <v>247.33</v>
      </c>
      <c r="K82" s="59">
        <v>5.87</v>
      </c>
      <c r="L82" s="59">
        <v>75</v>
      </c>
      <c r="M82" s="59">
        <v>4.43</v>
      </c>
      <c r="N82" s="59">
        <v>102.76</v>
      </c>
      <c r="O82" s="59">
        <v>0</v>
      </c>
      <c r="P82" s="59">
        <v>59.27</v>
      </c>
      <c r="Q82" s="59">
        <v>0</v>
      </c>
      <c r="R82" s="58">
        <f t="shared" si="58"/>
        <v>6070.7100000000009</v>
      </c>
      <c r="S82" s="59">
        <v>275.37</v>
      </c>
      <c r="T82" s="59">
        <v>0</v>
      </c>
      <c r="U82" s="59">
        <v>505.62</v>
      </c>
      <c r="V82" s="59">
        <v>2771.34</v>
      </c>
      <c r="W82" s="59">
        <v>417.07</v>
      </c>
      <c r="X82" s="59">
        <v>1924.04</v>
      </c>
      <c r="Y82" s="59">
        <v>177.27</v>
      </c>
      <c r="Z82" s="58">
        <f t="shared" si="64"/>
        <v>13498</v>
      </c>
      <c r="AA82" s="59">
        <v>2.69</v>
      </c>
      <c r="AB82" s="59">
        <v>13178.31</v>
      </c>
      <c r="AC82" s="59">
        <v>0</v>
      </c>
      <c r="AD82" s="59">
        <v>212.99</v>
      </c>
      <c r="AE82" s="59">
        <v>104.01</v>
      </c>
      <c r="AF82" s="58">
        <f t="shared" si="60"/>
        <v>14032.460000000003</v>
      </c>
      <c r="AG82" s="59">
        <v>107.46</v>
      </c>
      <c r="AH82" s="59">
        <v>48.73</v>
      </c>
      <c r="AI82" s="59">
        <v>717.31</v>
      </c>
      <c r="AJ82" s="59">
        <v>10119.450000000001</v>
      </c>
      <c r="AK82" s="59">
        <v>311.02999999999997</v>
      </c>
      <c r="AL82" s="59">
        <v>2621.62</v>
      </c>
      <c r="AM82" s="59">
        <v>106.86</v>
      </c>
      <c r="AN82" s="58">
        <f t="shared" si="39"/>
        <v>6334.2</v>
      </c>
      <c r="AO82" s="58">
        <f t="shared" si="47"/>
        <v>7.48</v>
      </c>
      <c r="AP82" s="58">
        <f t="shared" si="48"/>
        <v>0</v>
      </c>
      <c r="AQ82" s="58">
        <f t="shared" si="49"/>
        <v>846.24000000000012</v>
      </c>
      <c r="AR82" s="58">
        <f t="shared" si="50"/>
        <v>2754.72</v>
      </c>
      <c r="AS82" s="58">
        <f t="shared" si="51"/>
        <v>426.96999999999997</v>
      </c>
      <c r="AT82" s="58">
        <f t="shared" si="52"/>
        <v>2182.1400000000003</v>
      </c>
      <c r="AU82" s="58">
        <f t="shared" si="53"/>
        <v>116.65</v>
      </c>
      <c r="AV82" s="58">
        <f t="shared" si="56"/>
        <v>1743.18</v>
      </c>
      <c r="AW82" s="59">
        <v>4.87</v>
      </c>
      <c r="AX82" s="59">
        <v>0</v>
      </c>
      <c r="AY82" s="59">
        <v>173.63</v>
      </c>
      <c r="AZ82" s="59">
        <v>1086.42</v>
      </c>
      <c r="BA82" s="59">
        <v>20.68</v>
      </c>
      <c r="BB82" s="59">
        <v>426.55</v>
      </c>
      <c r="BC82" s="59">
        <v>31.03</v>
      </c>
      <c r="BD82" s="58">
        <f t="shared" si="61"/>
        <v>3812.61</v>
      </c>
      <c r="BE82" s="59">
        <v>0.88</v>
      </c>
      <c r="BF82" s="59">
        <v>0</v>
      </c>
      <c r="BG82" s="59">
        <v>411.04</v>
      </c>
      <c r="BH82" s="59">
        <v>1294.28</v>
      </c>
      <c r="BI82" s="59">
        <v>366.58</v>
      </c>
      <c r="BJ82" s="59">
        <v>1654.21</v>
      </c>
      <c r="BK82" s="59">
        <v>85.62</v>
      </c>
      <c r="BL82" s="58">
        <f t="shared" si="62"/>
        <v>333.40999999999997</v>
      </c>
      <c r="BM82" s="59">
        <v>0</v>
      </c>
      <c r="BN82" s="59">
        <v>0</v>
      </c>
      <c r="BO82" s="59">
        <v>158.93</v>
      </c>
      <c r="BP82" s="59">
        <v>34.58</v>
      </c>
      <c r="BQ82" s="59">
        <v>38.520000000000003</v>
      </c>
      <c r="BR82" s="59">
        <v>101.38</v>
      </c>
      <c r="BS82" s="59">
        <v>0</v>
      </c>
      <c r="BT82" s="58">
        <f t="shared" si="63"/>
        <v>445</v>
      </c>
      <c r="BU82" s="59">
        <v>1.73</v>
      </c>
      <c r="BV82" s="59">
        <v>0</v>
      </c>
      <c r="BW82" s="59">
        <v>102.64</v>
      </c>
      <c r="BX82" s="59">
        <v>339.44</v>
      </c>
      <c r="BY82" s="59">
        <v>1.19</v>
      </c>
      <c r="BZ82" s="59">
        <v>0</v>
      </c>
      <c r="CA82" s="59">
        <v>0</v>
      </c>
      <c r="CB82" s="58">
        <f t="shared" si="57"/>
        <v>2028.1599999999999</v>
      </c>
      <c r="CC82" s="59">
        <v>11.84</v>
      </c>
      <c r="CD82" s="59">
        <v>1909.79</v>
      </c>
      <c r="CE82" s="74">
        <v>106.53</v>
      </c>
    </row>
    <row r="83" spans="1:83" x14ac:dyDescent="0.35">
      <c r="A83" s="50" t="s">
        <v>248</v>
      </c>
      <c r="B83" s="58">
        <f t="shared" si="54"/>
        <v>33621.579999999994</v>
      </c>
      <c r="C83" s="58">
        <f t="shared" si="41"/>
        <v>370.17999999999995</v>
      </c>
      <c r="D83" s="58">
        <f t="shared" si="42"/>
        <v>124.02</v>
      </c>
      <c r="E83" s="58">
        <f t="shared" si="55"/>
        <v>18558.09</v>
      </c>
      <c r="F83" s="58">
        <f t="shared" si="43"/>
        <v>7405.9899999999989</v>
      </c>
      <c r="G83" s="58">
        <f t="shared" si="44"/>
        <v>897.35</v>
      </c>
      <c r="H83" s="58">
        <f t="shared" si="45"/>
        <v>5996.46</v>
      </c>
      <c r="I83" s="58">
        <f t="shared" si="46"/>
        <v>269.49</v>
      </c>
      <c r="J83" s="58">
        <f t="shared" si="40"/>
        <v>245.49</v>
      </c>
      <c r="K83" s="59">
        <v>5.59</v>
      </c>
      <c r="L83" s="59">
        <v>71.8</v>
      </c>
      <c r="M83" s="59">
        <v>4.43</v>
      </c>
      <c r="N83" s="59">
        <v>105.5</v>
      </c>
      <c r="O83" s="59">
        <v>0</v>
      </c>
      <c r="P83" s="59">
        <v>58.17</v>
      </c>
      <c r="Q83" s="59">
        <v>0</v>
      </c>
      <c r="R83" s="58">
        <f t="shared" si="58"/>
        <v>4561.91</v>
      </c>
      <c r="S83" s="59">
        <v>277.81</v>
      </c>
      <c r="T83" s="59">
        <v>0</v>
      </c>
      <c r="U83" s="59">
        <v>544.41</v>
      </c>
      <c r="V83" s="59">
        <v>1479.56</v>
      </c>
      <c r="W83" s="59">
        <v>230.01</v>
      </c>
      <c r="X83" s="59">
        <v>1852.85</v>
      </c>
      <c r="Y83" s="59">
        <v>177.27</v>
      </c>
      <c r="Z83" s="58">
        <f t="shared" si="64"/>
        <v>14761.9</v>
      </c>
      <c r="AA83" s="59">
        <v>2.69</v>
      </c>
      <c r="AB83" s="59">
        <v>14373.05</v>
      </c>
      <c r="AC83" s="59">
        <v>0</v>
      </c>
      <c r="AD83" s="59">
        <v>282.14999999999998</v>
      </c>
      <c r="AE83" s="59">
        <v>104.01</v>
      </c>
      <c r="AF83" s="58">
        <f t="shared" si="60"/>
        <v>7029.68</v>
      </c>
      <c r="AG83" s="59">
        <v>78.13</v>
      </c>
      <c r="AH83" s="59">
        <v>39.64</v>
      </c>
      <c r="AI83" s="59">
        <v>589.30999999999995</v>
      </c>
      <c r="AJ83" s="59">
        <v>4175.33</v>
      </c>
      <c r="AK83" s="59">
        <v>128.33000000000001</v>
      </c>
      <c r="AL83" s="59">
        <v>1974.85</v>
      </c>
      <c r="AM83" s="59">
        <v>44.09</v>
      </c>
      <c r="AN83" s="58">
        <f t="shared" si="39"/>
        <v>4809.4000000000005</v>
      </c>
      <c r="AO83" s="58">
        <f t="shared" si="47"/>
        <v>5.9599999999999991</v>
      </c>
      <c r="AP83" s="58">
        <f t="shared" si="48"/>
        <v>0</v>
      </c>
      <c r="AQ83" s="58">
        <f t="shared" si="49"/>
        <v>952.8</v>
      </c>
      <c r="AR83" s="58">
        <f t="shared" si="50"/>
        <v>1539.07</v>
      </c>
      <c r="AS83" s="58">
        <f t="shared" si="51"/>
        <v>256.86</v>
      </c>
      <c r="AT83" s="58">
        <f t="shared" si="52"/>
        <v>2006.58</v>
      </c>
      <c r="AU83" s="58">
        <f t="shared" si="53"/>
        <v>48.129999999999995</v>
      </c>
      <c r="AV83" s="58">
        <f t="shared" si="56"/>
        <v>1310.58</v>
      </c>
      <c r="AW83" s="59">
        <v>4.0199999999999996</v>
      </c>
      <c r="AX83" s="59">
        <v>0</v>
      </c>
      <c r="AY83" s="59">
        <v>211.19</v>
      </c>
      <c r="AZ83" s="59">
        <v>645.11</v>
      </c>
      <c r="BA83" s="59">
        <v>12.28</v>
      </c>
      <c r="BB83" s="59">
        <v>425.18</v>
      </c>
      <c r="BC83" s="59">
        <v>12.8</v>
      </c>
      <c r="BD83" s="58">
        <f t="shared" si="61"/>
        <v>2898.3499999999995</v>
      </c>
      <c r="BE83" s="59">
        <v>0.88</v>
      </c>
      <c r="BF83" s="59">
        <v>0</v>
      </c>
      <c r="BG83" s="59">
        <v>379.33</v>
      </c>
      <c r="BH83" s="59">
        <v>765.6</v>
      </c>
      <c r="BI83" s="59">
        <v>216.84</v>
      </c>
      <c r="BJ83" s="59">
        <v>1500.37</v>
      </c>
      <c r="BK83" s="59">
        <v>35.33</v>
      </c>
      <c r="BL83" s="58">
        <f t="shared" si="62"/>
        <v>350.34000000000003</v>
      </c>
      <c r="BM83" s="59">
        <v>0</v>
      </c>
      <c r="BN83" s="59">
        <v>0</v>
      </c>
      <c r="BO83" s="59">
        <v>230.98</v>
      </c>
      <c r="BP83" s="59">
        <v>11.78</v>
      </c>
      <c r="BQ83" s="59">
        <v>26.55</v>
      </c>
      <c r="BR83" s="59">
        <v>81.03</v>
      </c>
      <c r="BS83" s="59">
        <v>0</v>
      </c>
      <c r="BT83" s="58">
        <f t="shared" si="63"/>
        <v>250.13</v>
      </c>
      <c r="BU83" s="59">
        <v>1.06</v>
      </c>
      <c r="BV83" s="59">
        <v>0</v>
      </c>
      <c r="BW83" s="59">
        <v>131.30000000000001</v>
      </c>
      <c r="BX83" s="59">
        <v>116.58</v>
      </c>
      <c r="BY83" s="59">
        <v>1.19</v>
      </c>
      <c r="BZ83" s="59">
        <v>0</v>
      </c>
      <c r="CA83" s="59">
        <v>0</v>
      </c>
      <c r="CB83" s="58">
        <f t="shared" si="57"/>
        <v>2213.2000000000003</v>
      </c>
      <c r="CC83" s="59">
        <v>12.58</v>
      </c>
      <c r="CD83" s="59">
        <v>2094.09</v>
      </c>
      <c r="CE83" s="74">
        <v>106.53</v>
      </c>
    </row>
    <row r="84" spans="1:83" x14ac:dyDescent="0.35">
      <c r="A84" s="50" t="s">
        <v>249</v>
      </c>
      <c r="B84" s="58">
        <f t="shared" si="54"/>
        <v>31212.12</v>
      </c>
      <c r="C84" s="58">
        <f t="shared" si="41"/>
        <v>356.41</v>
      </c>
      <c r="D84" s="58">
        <f t="shared" si="42"/>
        <v>121.16</v>
      </c>
      <c r="E84" s="58">
        <f t="shared" si="55"/>
        <v>18724.560000000001</v>
      </c>
      <c r="F84" s="58">
        <f t="shared" si="43"/>
        <v>5093.2999999999993</v>
      </c>
      <c r="G84" s="58">
        <f t="shared" si="44"/>
        <v>759.88999999999987</v>
      </c>
      <c r="H84" s="58">
        <f t="shared" si="45"/>
        <v>5930.79</v>
      </c>
      <c r="I84" s="58">
        <f t="shared" si="46"/>
        <v>226.01000000000002</v>
      </c>
      <c r="J84" s="58">
        <f t="shared" si="40"/>
        <v>224.04000000000002</v>
      </c>
      <c r="K84" s="59">
        <v>5.36</v>
      </c>
      <c r="L84" s="59">
        <v>74.13</v>
      </c>
      <c r="M84" s="59">
        <v>4.43</v>
      </c>
      <c r="N84" s="59">
        <v>83.45</v>
      </c>
      <c r="O84" s="59">
        <v>0</v>
      </c>
      <c r="P84" s="59">
        <v>56.67</v>
      </c>
      <c r="Q84" s="59">
        <v>0</v>
      </c>
      <c r="R84" s="58">
        <f t="shared" si="58"/>
        <v>4549.9900000000007</v>
      </c>
      <c r="S84" s="59">
        <v>269.8</v>
      </c>
      <c r="T84" s="59">
        <v>0</v>
      </c>
      <c r="U84" s="59">
        <v>517.57000000000005</v>
      </c>
      <c r="V84" s="59">
        <v>1440.74</v>
      </c>
      <c r="W84" s="59">
        <v>221.17</v>
      </c>
      <c r="X84" s="59">
        <v>1923.44</v>
      </c>
      <c r="Y84" s="59">
        <v>177.27</v>
      </c>
      <c r="Z84" s="58">
        <f t="shared" si="64"/>
        <v>14823.080000000002</v>
      </c>
      <c r="AA84" s="59">
        <v>2.69</v>
      </c>
      <c r="AB84" s="59">
        <v>14470.01</v>
      </c>
      <c r="AC84" s="59">
        <v>0</v>
      </c>
      <c r="AD84" s="59">
        <v>246.37</v>
      </c>
      <c r="AE84" s="59">
        <v>104.01</v>
      </c>
      <c r="AF84" s="58">
        <f t="shared" si="60"/>
        <v>4759.3499999999995</v>
      </c>
      <c r="AG84" s="59">
        <v>72.2</v>
      </c>
      <c r="AH84" s="59">
        <v>36.56</v>
      </c>
      <c r="AI84" s="59">
        <v>463.17</v>
      </c>
      <c r="AJ84" s="59">
        <v>2206.4699999999998</v>
      </c>
      <c r="AK84" s="59">
        <v>67.819999999999993</v>
      </c>
      <c r="AL84" s="59">
        <v>1889.83</v>
      </c>
      <c r="AM84" s="59">
        <v>23.3</v>
      </c>
      <c r="AN84" s="58">
        <f t="shared" si="39"/>
        <v>4627.0999999999995</v>
      </c>
      <c r="AO84" s="58">
        <f t="shared" si="47"/>
        <v>6.3599999999999994</v>
      </c>
      <c r="AP84" s="58">
        <f t="shared" si="48"/>
        <v>0</v>
      </c>
      <c r="AQ84" s="58">
        <f t="shared" si="49"/>
        <v>1157.82</v>
      </c>
      <c r="AR84" s="58">
        <f t="shared" si="50"/>
        <v>1256.1099999999999</v>
      </c>
      <c r="AS84" s="58">
        <f t="shared" si="51"/>
        <v>224.53</v>
      </c>
      <c r="AT84" s="58">
        <f t="shared" si="52"/>
        <v>1956.84</v>
      </c>
      <c r="AU84" s="58">
        <f t="shared" si="53"/>
        <v>25.44</v>
      </c>
      <c r="AV84" s="58">
        <f t="shared" si="56"/>
        <v>1275.7099999999998</v>
      </c>
      <c r="AW84" s="59">
        <v>4.42</v>
      </c>
      <c r="AX84" s="59">
        <v>0</v>
      </c>
      <c r="AY84" s="59">
        <v>275.63</v>
      </c>
      <c r="AZ84" s="59">
        <v>553.05999999999995</v>
      </c>
      <c r="BA84" s="59">
        <v>10.53</v>
      </c>
      <c r="BB84" s="59">
        <v>425.3</v>
      </c>
      <c r="BC84" s="59">
        <v>6.77</v>
      </c>
      <c r="BD84" s="58">
        <f t="shared" si="61"/>
        <v>2748.25</v>
      </c>
      <c r="BE84" s="59">
        <v>0.88</v>
      </c>
      <c r="BF84" s="59">
        <v>0</v>
      </c>
      <c r="BG84" s="59">
        <v>420</v>
      </c>
      <c r="BH84" s="59">
        <v>657.62</v>
      </c>
      <c r="BI84" s="59">
        <v>186.26</v>
      </c>
      <c r="BJ84" s="59">
        <v>1464.82</v>
      </c>
      <c r="BK84" s="59">
        <v>18.670000000000002</v>
      </c>
      <c r="BL84" s="58">
        <f t="shared" si="62"/>
        <v>368.71000000000004</v>
      </c>
      <c r="BM84" s="59">
        <v>0</v>
      </c>
      <c r="BN84" s="59">
        <v>0</v>
      </c>
      <c r="BO84" s="59">
        <v>271.20999999999998</v>
      </c>
      <c r="BP84" s="59">
        <v>4.2300000000000004</v>
      </c>
      <c r="BQ84" s="59">
        <v>26.55</v>
      </c>
      <c r="BR84" s="59">
        <v>66.72</v>
      </c>
      <c r="BS84" s="59">
        <v>0</v>
      </c>
      <c r="BT84" s="58">
        <f t="shared" si="63"/>
        <v>234.43</v>
      </c>
      <c r="BU84" s="59">
        <v>1.06</v>
      </c>
      <c r="BV84" s="59">
        <v>0</v>
      </c>
      <c r="BW84" s="59">
        <v>190.98</v>
      </c>
      <c r="BX84" s="59">
        <v>41.2</v>
      </c>
      <c r="BY84" s="59">
        <v>1.19</v>
      </c>
      <c r="BZ84" s="59">
        <v>0</v>
      </c>
      <c r="CA84" s="59">
        <v>0</v>
      </c>
      <c r="CB84" s="58">
        <f t="shared" si="57"/>
        <v>2228.56</v>
      </c>
      <c r="CC84" s="59">
        <v>10.47</v>
      </c>
      <c r="CD84" s="59">
        <v>2111.56</v>
      </c>
      <c r="CE84" s="74">
        <v>106.53</v>
      </c>
    </row>
    <row r="85" spans="1:83" x14ac:dyDescent="0.35">
      <c r="A85" s="50" t="s">
        <v>250</v>
      </c>
      <c r="B85" s="58">
        <f t="shared" si="54"/>
        <v>41316.549999999996</v>
      </c>
      <c r="C85" s="58">
        <f t="shared" si="41"/>
        <v>407.53999999999996</v>
      </c>
      <c r="D85" s="58">
        <f t="shared" si="42"/>
        <v>135.44999999999999</v>
      </c>
      <c r="E85" s="58">
        <f t="shared" si="55"/>
        <v>18261.75</v>
      </c>
      <c r="F85" s="58">
        <f t="shared" si="43"/>
        <v>13959.060000000001</v>
      </c>
      <c r="G85" s="58">
        <f t="shared" si="44"/>
        <v>1258.95</v>
      </c>
      <c r="H85" s="58">
        <f t="shared" si="45"/>
        <v>6919.28</v>
      </c>
      <c r="I85" s="58">
        <f t="shared" si="46"/>
        <v>374.52000000000004</v>
      </c>
      <c r="J85" s="58">
        <f t="shared" si="40"/>
        <v>217.12000000000003</v>
      </c>
      <c r="K85" s="59">
        <v>4.45</v>
      </c>
      <c r="L85" s="59">
        <v>75.05</v>
      </c>
      <c r="M85" s="59">
        <v>4.43</v>
      </c>
      <c r="N85" s="59">
        <v>74.92</v>
      </c>
      <c r="O85" s="59">
        <v>0</v>
      </c>
      <c r="P85" s="59">
        <v>58.27</v>
      </c>
      <c r="Q85" s="59">
        <v>0</v>
      </c>
      <c r="R85" s="58">
        <f t="shared" si="58"/>
        <v>5786.7800000000007</v>
      </c>
      <c r="S85" s="59">
        <v>280.58</v>
      </c>
      <c r="T85" s="59">
        <v>0</v>
      </c>
      <c r="U85" s="59">
        <v>530.85</v>
      </c>
      <c r="V85" s="59">
        <v>2437.66</v>
      </c>
      <c r="W85" s="59">
        <v>364.61</v>
      </c>
      <c r="X85" s="59">
        <v>1995.81</v>
      </c>
      <c r="Y85" s="59">
        <v>177.27</v>
      </c>
      <c r="Z85" s="58">
        <f t="shared" si="64"/>
        <v>14370.090000000002</v>
      </c>
      <c r="AA85" s="59">
        <v>2.69</v>
      </c>
      <c r="AB85" s="59">
        <v>14007.79</v>
      </c>
      <c r="AC85" s="59">
        <v>0</v>
      </c>
      <c r="AD85" s="59">
        <v>255.6</v>
      </c>
      <c r="AE85" s="59">
        <v>104.01</v>
      </c>
      <c r="AF85" s="58">
        <f t="shared" si="60"/>
        <v>12797.24</v>
      </c>
      <c r="AG85" s="59">
        <v>112.74</v>
      </c>
      <c r="AH85" s="59">
        <v>47.48</v>
      </c>
      <c r="AI85" s="59">
        <v>767.73</v>
      </c>
      <c r="AJ85" s="59">
        <v>8930.68</v>
      </c>
      <c r="AK85" s="59">
        <v>274.49</v>
      </c>
      <c r="AL85" s="59">
        <v>2569.81</v>
      </c>
      <c r="AM85" s="59">
        <v>94.31</v>
      </c>
      <c r="AN85" s="58">
        <f t="shared" si="39"/>
        <v>6041.0199999999995</v>
      </c>
      <c r="AO85" s="58">
        <f t="shared" si="47"/>
        <v>7.08</v>
      </c>
      <c r="AP85" s="58">
        <f t="shared" si="48"/>
        <v>0</v>
      </c>
      <c r="AQ85" s="58">
        <f t="shared" si="49"/>
        <v>966.09999999999991</v>
      </c>
      <c r="AR85" s="58">
        <f t="shared" si="50"/>
        <v>2409.27</v>
      </c>
      <c r="AS85" s="58">
        <f t="shared" si="51"/>
        <v>364.25</v>
      </c>
      <c r="AT85" s="58">
        <f t="shared" si="52"/>
        <v>2191.38</v>
      </c>
      <c r="AU85" s="58">
        <f t="shared" si="53"/>
        <v>102.94</v>
      </c>
      <c r="AV85" s="58">
        <f t="shared" si="56"/>
        <v>1586.6100000000001</v>
      </c>
      <c r="AW85" s="59">
        <v>5.14</v>
      </c>
      <c r="AX85" s="59">
        <v>0</v>
      </c>
      <c r="AY85" s="59">
        <v>207.66</v>
      </c>
      <c r="AZ85" s="59">
        <v>912.21</v>
      </c>
      <c r="BA85" s="59">
        <v>17.36</v>
      </c>
      <c r="BB85" s="59">
        <v>416.86</v>
      </c>
      <c r="BC85" s="59">
        <v>27.38</v>
      </c>
      <c r="BD85" s="58">
        <f t="shared" si="61"/>
        <v>3516.65</v>
      </c>
      <c r="BE85" s="59">
        <v>0.88</v>
      </c>
      <c r="BF85" s="59">
        <v>0</v>
      </c>
      <c r="BG85" s="59">
        <v>397.53</v>
      </c>
      <c r="BH85" s="59">
        <v>1084.56</v>
      </c>
      <c r="BI85" s="59">
        <v>307.18</v>
      </c>
      <c r="BJ85" s="59">
        <v>1650.94</v>
      </c>
      <c r="BK85" s="59">
        <v>75.56</v>
      </c>
      <c r="BL85" s="58">
        <f t="shared" si="62"/>
        <v>453.4</v>
      </c>
      <c r="BM85" s="59">
        <v>0</v>
      </c>
      <c r="BN85" s="59">
        <v>0</v>
      </c>
      <c r="BO85" s="59">
        <v>254.01</v>
      </c>
      <c r="BP85" s="59">
        <v>37.29</v>
      </c>
      <c r="BQ85" s="59">
        <v>38.520000000000003</v>
      </c>
      <c r="BR85" s="59">
        <v>123.58</v>
      </c>
      <c r="BS85" s="59">
        <v>0</v>
      </c>
      <c r="BT85" s="58">
        <f t="shared" si="63"/>
        <v>484.35999999999996</v>
      </c>
      <c r="BU85" s="59">
        <v>1.06</v>
      </c>
      <c r="BV85" s="59">
        <v>0</v>
      </c>
      <c r="BW85" s="59">
        <v>106.9</v>
      </c>
      <c r="BX85" s="59">
        <v>375.21</v>
      </c>
      <c r="BY85" s="59">
        <v>1.19</v>
      </c>
      <c r="BZ85" s="59">
        <v>0</v>
      </c>
      <c r="CA85" s="59">
        <v>0</v>
      </c>
      <c r="CB85" s="58">
        <f t="shared" si="57"/>
        <v>2104.3000000000002</v>
      </c>
      <c r="CC85" s="59">
        <v>12.92</v>
      </c>
      <c r="CD85" s="59">
        <v>1984.85</v>
      </c>
      <c r="CE85" s="74">
        <v>106.53</v>
      </c>
    </row>
    <row r="86" spans="1:83" x14ac:dyDescent="0.35">
      <c r="A86" s="50" t="s">
        <v>251</v>
      </c>
      <c r="B86" s="58">
        <f t="shared" si="54"/>
        <v>44935.14</v>
      </c>
      <c r="C86" s="58">
        <f t="shared" si="41"/>
        <v>397.38999999999993</v>
      </c>
      <c r="D86" s="58">
        <f t="shared" si="42"/>
        <v>125.00000000000001</v>
      </c>
      <c r="E86" s="58">
        <f t="shared" si="55"/>
        <v>16983.86</v>
      </c>
      <c r="F86" s="58">
        <f t="shared" ref="F86:F100" si="65">N86+V86+AJ86+AR86+CE86+AC86</f>
        <v>18170.810000000001</v>
      </c>
      <c r="G86" s="58">
        <f t="shared" si="44"/>
        <v>1625.9300000000003</v>
      </c>
      <c r="H86" s="58">
        <f t="shared" si="45"/>
        <v>7187.2000000000007</v>
      </c>
      <c r="I86" s="58">
        <f t="shared" si="46"/>
        <v>444.95</v>
      </c>
      <c r="J86" s="58">
        <f t="shared" si="40"/>
        <v>230.98000000000002</v>
      </c>
      <c r="K86" s="59">
        <v>5.58</v>
      </c>
      <c r="L86" s="59">
        <v>61.67</v>
      </c>
      <c r="M86" s="59">
        <v>4.04</v>
      </c>
      <c r="N86" s="59">
        <v>104.36</v>
      </c>
      <c r="O86" s="59">
        <v>0</v>
      </c>
      <c r="P86" s="59">
        <v>55.33</v>
      </c>
      <c r="Q86" s="59">
        <v>0</v>
      </c>
      <c r="R86" s="58">
        <f t="shared" si="58"/>
        <v>6208.39</v>
      </c>
      <c r="S86" s="59">
        <v>273.52999999999997</v>
      </c>
      <c r="T86" s="59">
        <v>0</v>
      </c>
      <c r="U86" s="59">
        <v>538.87</v>
      </c>
      <c r="V86" s="59">
        <v>2824.37</v>
      </c>
      <c r="W86" s="59">
        <v>467.62</v>
      </c>
      <c r="X86" s="59">
        <v>1927.78</v>
      </c>
      <c r="Y86" s="59">
        <v>176.22</v>
      </c>
      <c r="Z86" s="58">
        <f t="shared" si="64"/>
        <v>13250.01</v>
      </c>
      <c r="AA86" s="59">
        <v>2.69</v>
      </c>
      <c r="AB86" s="59">
        <v>12833.5</v>
      </c>
      <c r="AC86" s="59">
        <v>2.4300000000000002</v>
      </c>
      <c r="AD86" s="59">
        <v>289.57</v>
      </c>
      <c r="AE86" s="59">
        <v>121.82</v>
      </c>
      <c r="AF86" s="58">
        <f t="shared" si="60"/>
        <v>16498.849999999999</v>
      </c>
      <c r="AG86" s="59">
        <v>107.77</v>
      </c>
      <c r="AH86" s="59">
        <v>51.63</v>
      </c>
      <c r="AI86" s="59">
        <v>872.26</v>
      </c>
      <c r="AJ86" s="59">
        <v>12074.8</v>
      </c>
      <c r="AK86" s="59">
        <v>407.61</v>
      </c>
      <c r="AL86" s="59">
        <v>2859.67</v>
      </c>
      <c r="AM86" s="59">
        <v>125.11</v>
      </c>
      <c r="AN86" s="58">
        <f t="shared" si="39"/>
        <v>6823.0099999999993</v>
      </c>
      <c r="AO86" s="58">
        <f t="shared" si="47"/>
        <v>7.82</v>
      </c>
      <c r="AP86" s="58">
        <f t="shared" si="48"/>
        <v>0</v>
      </c>
      <c r="AQ86" s="58">
        <f t="shared" si="49"/>
        <v>926.31999999999994</v>
      </c>
      <c r="AR86" s="58">
        <f t="shared" si="50"/>
        <v>3061.5199999999995</v>
      </c>
      <c r="AS86" s="58">
        <f t="shared" si="51"/>
        <v>461.13</v>
      </c>
      <c r="AT86" s="58">
        <f t="shared" si="52"/>
        <v>2222.6</v>
      </c>
      <c r="AU86" s="58">
        <f t="shared" si="53"/>
        <v>143.62</v>
      </c>
      <c r="AV86" s="58">
        <f t="shared" si="56"/>
        <v>1868.9000000000003</v>
      </c>
      <c r="AW86" s="59">
        <v>5.21</v>
      </c>
      <c r="AX86" s="59">
        <v>0</v>
      </c>
      <c r="AY86" s="59">
        <v>202.76</v>
      </c>
      <c r="AZ86" s="59">
        <v>1204.8900000000001</v>
      </c>
      <c r="BA86" s="59">
        <v>13.93</v>
      </c>
      <c r="BB86" s="59">
        <v>402.23</v>
      </c>
      <c r="BC86" s="59">
        <v>39.880000000000003</v>
      </c>
      <c r="BD86" s="58">
        <f t="shared" si="61"/>
        <v>4078.85</v>
      </c>
      <c r="BE86" s="59">
        <v>0.88</v>
      </c>
      <c r="BF86" s="59">
        <v>0</v>
      </c>
      <c r="BG86" s="59">
        <v>409.81</v>
      </c>
      <c r="BH86" s="59">
        <v>1437.6</v>
      </c>
      <c r="BI86" s="59">
        <v>403.57</v>
      </c>
      <c r="BJ86" s="59">
        <v>1724.62</v>
      </c>
      <c r="BK86" s="59">
        <v>102.37</v>
      </c>
      <c r="BL86" s="58">
        <f t="shared" si="62"/>
        <v>369.32</v>
      </c>
      <c r="BM86" s="59">
        <v>0</v>
      </c>
      <c r="BN86" s="59">
        <v>0</v>
      </c>
      <c r="BO86" s="59">
        <v>192.91</v>
      </c>
      <c r="BP86" s="59">
        <v>36.85</v>
      </c>
      <c r="BQ86" s="59">
        <v>42.44</v>
      </c>
      <c r="BR86" s="59">
        <v>95.75</v>
      </c>
      <c r="BS86" s="59">
        <v>1.37</v>
      </c>
      <c r="BT86" s="58">
        <f t="shared" si="63"/>
        <v>505.94</v>
      </c>
      <c r="BU86" s="59">
        <v>1.73</v>
      </c>
      <c r="BV86" s="59">
        <v>0</v>
      </c>
      <c r="BW86" s="59">
        <v>120.84</v>
      </c>
      <c r="BX86" s="59">
        <v>382.18</v>
      </c>
      <c r="BY86" s="59">
        <v>1.19</v>
      </c>
      <c r="BZ86" s="59">
        <v>0</v>
      </c>
      <c r="CA86" s="59">
        <v>0</v>
      </c>
      <c r="CB86" s="58">
        <f t="shared" si="57"/>
        <v>1923.8999999999999</v>
      </c>
      <c r="CC86" s="59">
        <v>11.7</v>
      </c>
      <c r="CD86" s="59">
        <v>1808.87</v>
      </c>
      <c r="CE86" s="74">
        <v>103.33</v>
      </c>
    </row>
    <row r="87" spans="1:83" x14ac:dyDescent="0.35">
      <c r="A87" s="50" t="s">
        <v>252</v>
      </c>
      <c r="B87" s="58">
        <f t="shared" si="54"/>
        <v>33359.349999999991</v>
      </c>
      <c r="C87" s="58">
        <f t="shared" si="41"/>
        <v>352.1</v>
      </c>
      <c r="D87" s="58">
        <f t="shared" si="42"/>
        <v>116.19999999999999</v>
      </c>
      <c r="E87" s="58">
        <f t="shared" si="55"/>
        <v>18353.939999999999</v>
      </c>
      <c r="F87" s="58">
        <f t="shared" si="65"/>
        <v>7234.6400000000012</v>
      </c>
      <c r="G87" s="58">
        <f t="shared" si="44"/>
        <v>1013.3</v>
      </c>
      <c r="H87" s="58">
        <f t="shared" si="45"/>
        <v>6025.33</v>
      </c>
      <c r="I87" s="58">
        <f t="shared" si="46"/>
        <v>263.83999999999997</v>
      </c>
      <c r="J87" s="58">
        <f t="shared" si="40"/>
        <v>238.48000000000002</v>
      </c>
      <c r="K87" s="59">
        <v>5.87</v>
      </c>
      <c r="L87" s="59">
        <v>66.66</v>
      </c>
      <c r="M87" s="59">
        <v>4.04</v>
      </c>
      <c r="N87" s="59">
        <v>107.04</v>
      </c>
      <c r="O87" s="59">
        <v>0</v>
      </c>
      <c r="P87" s="59">
        <v>54.87</v>
      </c>
      <c r="Q87" s="59">
        <v>0</v>
      </c>
      <c r="R87" s="58">
        <f t="shared" si="58"/>
        <v>4692.37</v>
      </c>
      <c r="S87" s="59">
        <v>263.25</v>
      </c>
      <c r="T87" s="59">
        <v>0</v>
      </c>
      <c r="U87" s="59">
        <v>527.91999999999996</v>
      </c>
      <c r="V87" s="59">
        <v>1555.96</v>
      </c>
      <c r="W87" s="59">
        <v>265.52</v>
      </c>
      <c r="X87" s="59">
        <v>1903.5</v>
      </c>
      <c r="Y87" s="59">
        <v>176.22</v>
      </c>
      <c r="Z87" s="58">
        <f t="shared" si="64"/>
        <v>14786.07</v>
      </c>
      <c r="AA87" s="59">
        <v>2.69</v>
      </c>
      <c r="AB87" s="59">
        <v>14295.88</v>
      </c>
      <c r="AC87" s="59">
        <v>2.4300000000000002</v>
      </c>
      <c r="AD87" s="59">
        <v>363.25</v>
      </c>
      <c r="AE87" s="59">
        <v>121.82</v>
      </c>
      <c r="AF87" s="58">
        <f t="shared" si="60"/>
        <v>6720.44</v>
      </c>
      <c r="AG87" s="59">
        <v>73.930000000000007</v>
      </c>
      <c r="AH87" s="59">
        <v>37.29</v>
      </c>
      <c r="AI87" s="59">
        <v>527.41999999999996</v>
      </c>
      <c r="AJ87" s="59">
        <v>3936.86</v>
      </c>
      <c r="AK87" s="59">
        <v>132.9</v>
      </c>
      <c r="AL87" s="59">
        <v>1971.25</v>
      </c>
      <c r="AM87" s="59">
        <v>40.79</v>
      </c>
      <c r="AN87" s="58">
        <f t="shared" si="39"/>
        <v>4730.2700000000004</v>
      </c>
      <c r="AO87" s="58">
        <f t="shared" si="47"/>
        <v>6.3599999999999994</v>
      </c>
      <c r="AP87" s="58">
        <f t="shared" si="48"/>
        <v>0</v>
      </c>
      <c r="AQ87" s="58">
        <f t="shared" si="49"/>
        <v>922.54</v>
      </c>
      <c r="AR87" s="58">
        <f t="shared" si="50"/>
        <v>1529.02</v>
      </c>
      <c r="AS87" s="58">
        <f t="shared" si="51"/>
        <v>251.62999999999997</v>
      </c>
      <c r="AT87" s="58">
        <f t="shared" si="52"/>
        <v>1973.8899999999999</v>
      </c>
      <c r="AU87" s="58">
        <f t="shared" si="53"/>
        <v>46.830000000000005</v>
      </c>
      <c r="AV87" s="58">
        <f t="shared" si="56"/>
        <v>1259.56</v>
      </c>
      <c r="AW87" s="59">
        <v>4.42</v>
      </c>
      <c r="AX87" s="59">
        <v>0</v>
      </c>
      <c r="AY87" s="59">
        <v>199.19</v>
      </c>
      <c r="AZ87" s="59">
        <v>639.48</v>
      </c>
      <c r="BA87" s="59">
        <v>7.39</v>
      </c>
      <c r="BB87" s="59">
        <v>396.08</v>
      </c>
      <c r="BC87" s="59">
        <v>13</v>
      </c>
      <c r="BD87" s="58">
        <f t="shared" si="61"/>
        <v>2886.88</v>
      </c>
      <c r="BE87" s="59">
        <v>0.88</v>
      </c>
      <c r="BF87" s="59">
        <v>0</v>
      </c>
      <c r="BG87" s="59">
        <v>378.14</v>
      </c>
      <c r="BH87" s="59">
        <v>761.45</v>
      </c>
      <c r="BI87" s="59">
        <v>213.76</v>
      </c>
      <c r="BJ87" s="59">
        <v>1499.27</v>
      </c>
      <c r="BK87" s="59">
        <v>33.380000000000003</v>
      </c>
      <c r="BL87" s="58">
        <f t="shared" si="62"/>
        <v>348.12</v>
      </c>
      <c r="BM87" s="59">
        <v>0</v>
      </c>
      <c r="BN87" s="59">
        <v>0</v>
      </c>
      <c r="BO87" s="59">
        <v>227.99</v>
      </c>
      <c r="BP87" s="59">
        <v>11.85</v>
      </c>
      <c r="BQ87" s="59">
        <v>29.29</v>
      </c>
      <c r="BR87" s="59">
        <v>78.540000000000006</v>
      </c>
      <c r="BS87" s="59">
        <v>0.45</v>
      </c>
      <c r="BT87" s="58">
        <f t="shared" si="63"/>
        <v>235.70999999999998</v>
      </c>
      <c r="BU87" s="59">
        <v>1.06</v>
      </c>
      <c r="BV87" s="59">
        <v>0</v>
      </c>
      <c r="BW87" s="59">
        <v>117.22</v>
      </c>
      <c r="BX87" s="59">
        <v>116.24</v>
      </c>
      <c r="BY87" s="59">
        <v>1.19</v>
      </c>
      <c r="BZ87" s="59">
        <v>0</v>
      </c>
      <c r="CA87" s="59">
        <v>0</v>
      </c>
      <c r="CB87" s="58">
        <f t="shared" si="57"/>
        <v>2191.7199999999998</v>
      </c>
      <c r="CC87" s="59">
        <v>12.25</v>
      </c>
      <c r="CD87" s="59">
        <v>2076.14</v>
      </c>
      <c r="CE87" s="74">
        <v>103.33</v>
      </c>
    </row>
    <row r="88" spans="1:83" x14ac:dyDescent="0.35">
      <c r="A88" s="50" t="s">
        <v>253</v>
      </c>
      <c r="B88" s="58">
        <f t="shared" si="54"/>
        <v>31251.84</v>
      </c>
      <c r="C88" s="58">
        <f t="shared" si="41"/>
        <v>347.43</v>
      </c>
      <c r="D88" s="58">
        <f t="shared" si="42"/>
        <v>125.25</v>
      </c>
      <c r="E88" s="58">
        <f t="shared" si="55"/>
        <v>18475.11</v>
      </c>
      <c r="F88" s="58">
        <f t="shared" si="65"/>
        <v>5145.41</v>
      </c>
      <c r="G88" s="58">
        <f t="shared" si="44"/>
        <v>1012.39</v>
      </c>
      <c r="H88" s="58">
        <f t="shared" si="45"/>
        <v>5923.81</v>
      </c>
      <c r="I88" s="58">
        <f t="shared" si="46"/>
        <v>222.44</v>
      </c>
      <c r="J88" s="58">
        <f t="shared" si="40"/>
        <v>218.70999999999998</v>
      </c>
      <c r="K88" s="59">
        <v>5.25</v>
      </c>
      <c r="L88" s="59">
        <v>70.53</v>
      </c>
      <c r="M88" s="59">
        <v>4.04</v>
      </c>
      <c r="N88" s="59">
        <v>84</v>
      </c>
      <c r="O88" s="59">
        <v>0</v>
      </c>
      <c r="P88" s="59">
        <v>54.89</v>
      </c>
      <c r="Q88" s="59">
        <v>0</v>
      </c>
      <c r="R88" s="58">
        <f t="shared" si="58"/>
        <v>4698.43</v>
      </c>
      <c r="S88" s="59">
        <v>263.67</v>
      </c>
      <c r="T88" s="59">
        <v>0</v>
      </c>
      <c r="U88" s="59">
        <v>528.01</v>
      </c>
      <c r="V88" s="59">
        <v>1541.23</v>
      </c>
      <c r="W88" s="59">
        <v>259.48</v>
      </c>
      <c r="X88" s="59">
        <v>1929.82</v>
      </c>
      <c r="Y88" s="59">
        <v>176.22</v>
      </c>
      <c r="Z88" s="58">
        <f t="shared" si="64"/>
        <v>14823.900000000001</v>
      </c>
      <c r="AA88" s="59">
        <v>2.69</v>
      </c>
      <c r="AB88" s="59">
        <v>14248.17</v>
      </c>
      <c r="AC88" s="59">
        <v>2.4300000000000002</v>
      </c>
      <c r="AD88" s="59">
        <v>448.79</v>
      </c>
      <c r="AE88" s="59">
        <v>121.82</v>
      </c>
      <c r="AF88" s="58">
        <f t="shared" si="60"/>
        <v>4541.0400000000009</v>
      </c>
      <c r="AG88" s="59">
        <v>69.36</v>
      </c>
      <c r="AH88" s="59">
        <v>42.09</v>
      </c>
      <c r="AI88" s="59">
        <v>458.31</v>
      </c>
      <c r="AJ88" s="59">
        <v>2076.5500000000002</v>
      </c>
      <c r="AK88" s="59">
        <v>70.099999999999994</v>
      </c>
      <c r="AL88" s="59">
        <v>1803.11</v>
      </c>
      <c r="AM88" s="59">
        <v>21.52</v>
      </c>
      <c r="AN88" s="58">
        <f t="shared" si="39"/>
        <v>4766.9199999999992</v>
      </c>
      <c r="AO88" s="58">
        <f t="shared" si="47"/>
        <v>6.4599999999999991</v>
      </c>
      <c r="AP88" s="58">
        <f t="shared" si="48"/>
        <v>0</v>
      </c>
      <c r="AQ88" s="58">
        <f t="shared" si="49"/>
        <v>1149.7</v>
      </c>
      <c r="AR88" s="58">
        <f t="shared" si="50"/>
        <v>1337.87</v>
      </c>
      <c r="AS88" s="58">
        <f t="shared" si="51"/>
        <v>234.01999999999998</v>
      </c>
      <c r="AT88" s="58">
        <f t="shared" si="52"/>
        <v>2014.17</v>
      </c>
      <c r="AU88" s="58">
        <f t="shared" si="53"/>
        <v>24.7</v>
      </c>
      <c r="AV88" s="58">
        <f t="shared" si="56"/>
        <v>1274.3499999999999</v>
      </c>
      <c r="AW88" s="59">
        <v>4.5199999999999996</v>
      </c>
      <c r="AX88" s="59">
        <v>0</v>
      </c>
      <c r="AY88" s="59">
        <v>272.92</v>
      </c>
      <c r="AZ88" s="59">
        <v>589</v>
      </c>
      <c r="BA88" s="59">
        <v>6.81</v>
      </c>
      <c r="BB88" s="59">
        <v>394.24</v>
      </c>
      <c r="BC88" s="59">
        <v>6.86</v>
      </c>
      <c r="BD88" s="58">
        <f t="shared" si="61"/>
        <v>2861.33</v>
      </c>
      <c r="BE88" s="59">
        <v>0.88</v>
      </c>
      <c r="BF88" s="59">
        <v>0</v>
      </c>
      <c r="BG88" s="59">
        <v>425.53</v>
      </c>
      <c r="BH88" s="59">
        <v>700.78</v>
      </c>
      <c r="BI88" s="59">
        <v>196.73</v>
      </c>
      <c r="BJ88" s="59">
        <v>1519.81</v>
      </c>
      <c r="BK88" s="59">
        <v>17.600000000000001</v>
      </c>
      <c r="BL88" s="58">
        <f t="shared" si="62"/>
        <v>399.90000000000003</v>
      </c>
      <c r="BM88" s="59">
        <v>0</v>
      </c>
      <c r="BN88" s="59">
        <v>0</v>
      </c>
      <c r="BO88" s="59">
        <v>265.97000000000003</v>
      </c>
      <c r="BP88" s="59">
        <v>4.28</v>
      </c>
      <c r="BQ88" s="59">
        <v>29.29</v>
      </c>
      <c r="BR88" s="59">
        <v>100.12</v>
      </c>
      <c r="BS88" s="59">
        <v>0.24</v>
      </c>
      <c r="BT88" s="58">
        <f t="shared" si="63"/>
        <v>231.34</v>
      </c>
      <c r="BU88" s="59">
        <v>1.06</v>
      </c>
      <c r="BV88" s="59">
        <v>0</v>
      </c>
      <c r="BW88" s="59">
        <v>185.28</v>
      </c>
      <c r="BX88" s="59">
        <v>43.81</v>
      </c>
      <c r="BY88" s="59">
        <v>1.19</v>
      </c>
      <c r="BZ88" s="59">
        <v>0</v>
      </c>
      <c r="CA88" s="59">
        <v>0</v>
      </c>
      <c r="CB88" s="58">
        <f t="shared" si="57"/>
        <v>2202.84</v>
      </c>
      <c r="CC88" s="59">
        <v>12.63</v>
      </c>
      <c r="CD88" s="59">
        <v>2086.88</v>
      </c>
      <c r="CE88" s="74">
        <v>103.33</v>
      </c>
    </row>
    <row r="89" spans="1:83" x14ac:dyDescent="0.35">
      <c r="A89" s="50" t="s">
        <v>254</v>
      </c>
      <c r="B89" s="58">
        <f t="shared" si="54"/>
        <v>40207.449999999997</v>
      </c>
      <c r="C89" s="58">
        <f t="shared" si="41"/>
        <v>370.15999999999997</v>
      </c>
      <c r="D89" s="58">
        <f t="shared" si="42"/>
        <v>117.91</v>
      </c>
      <c r="E89" s="58">
        <f t="shared" si="55"/>
        <v>17982.41</v>
      </c>
      <c r="F89" s="58">
        <f t="shared" si="65"/>
        <v>13297.89</v>
      </c>
      <c r="G89" s="58">
        <f t="shared" si="44"/>
        <v>1395.47</v>
      </c>
      <c r="H89" s="58">
        <f t="shared" si="45"/>
        <v>6690.31</v>
      </c>
      <c r="I89" s="58">
        <f t="shared" si="46"/>
        <v>353.29999999999995</v>
      </c>
      <c r="J89" s="58">
        <f t="shared" si="40"/>
        <v>206.06</v>
      </c>
      <c r="K89" s="59">
        <v>4.76</v>
      </c>
      <c r="L89" s="59">
        <v>66.75</v>
      </c>
      <c r="M89" s="59">
        <v>4.04</v>
      </c>
      <c r="N89" s="59">
        <v>75.47</v>
      </c>
      <c r="O89" s="59">
        <v>0</v>
      </c>
      <c r="P89" s="59">
        <v>55.04</v>
      </c>
      <c r="Q89" s="59">
        <v>0</v>
      </c>
      <c r="R89" s="58">
        <f t="shared" si="58"/>
        <v>5978.8</v>
      </c>
      <c r="S89" s="59">
        <v>249.58</v>
      </c>
      <c r="T89" s="59">
        <v>0</v>
      </c>
      <c r="U89" s="59">
        <v>512.32000000000005</v>
      </c>
      <c r="V89" s="59">
        <v>2679.55</v>
      </c>
      <c r="W89" s="59">
        <v>439.88</v>
      </c>
      <c r="X89" s="59">
        <v>1921.25</v>
      </c>
      <c r="Y89" s="59">
        <v>176.22</v>
      </c>
      <c r="Z89" s="58">
        <f t="shared" si="64"/>
        <v>14391.03</v>
      </c>
      <c r="AA89" s="59">
        <v>2.69</v>
      </c>
      <c r="AB89" s="59">
        <v>13944.81</v>
      </c>
      <c r="AC89" s="59">
        <v>2.4300000000000002</v>
      </c>
      <c r="AD89" s="59">
        <v>319.27999999999997</v>
      </c>
      <c r="AE89" s="59">
        <v>121.82</v>
      </c>
      <c r="AF89" s="58">
        <f t="shared" si="60"/>
        <v>11669.980000000001</v>
      </c>
      <c r="AG89" s="59">
        <v>107.42</v>
      </c>
      <c r="AH89" s="59">
        <v>39.869999999999997</v>
      </c>
      <c r="AI89" s="59">
        <v>737.96</v>
      </c>
      <c r="AJ89" s="59">
        <v>7956.7</v>
      </c>
      <c r="AK89" s="59">
        <v>268.58999999999997</v>
      </c>
      <c r="AL89" s="59">
        <v>2477</v>
      </c>
      <c r="AM89" s="59">
        <v>82.44</v>
      </c>
      <c r="AN89" s="58">
        <f t="shared" si="39"/>
        <v>6024.0000000000009</v>
      </c>
      <c r="AO89" s="58">
        <f t="shared" si="47"/>
        <v>5.7100000000000009</v>
      </c>
      <c r="AP89" s="58">
        <f t="shared" si="48"/>
        <v>0</v>
      </c>
      <c r="AQ89" s="58">
        <f t="shared" si="49"/>
        <v>960.32</v>
      </c>
      <c r="AR89" s="58">
        <f t="shared" si="50"/>
        <v>2480.4100000000003</v>
      </c>
      <c r="AS89" s="58">
        <f t="shared" si="51"/>
        <v>367.71999999999997</v>
      </c>
      <c r="AT89" s="58">
        <f t="shared" si="52"/>
        <v>2115.1999999999998</v>
      </c>
      <c r="AU89" s="58">
        <f t="shared" si="53"/>
        <v>94.64</v>
      </c>
      <c r="AV89" s="58">
        <f t="shared" si="56"/>
        <v>1574.8799999999999</v>
      </c>
      <c r="AW89" s="59">
        <v>3.77</v>
      </c>
      <c r="AX89" s="59">
        <v>0</v>
      </c>
      <c r="AY89" s="59">
        <v>204.92</v>
      </c>
      <c r="AZ89" s="59">
        <v>937.65</v>
      </c>
      <c r="BA89" s="59">
        <v>10.84</v>
      </c>
      <c r="BB89" s="59">
        <v>391.42</v>
      </c>
      <c r="BC89" s="59">
        <v>26.28</v>
      </c>
      <c r="BD89" s="58">
        <f t="shared" si="61"/>
        <v>3530.75</v>
      </c>
      <c r="BE89" s="59">
        <v>0.88</v>
      </c>
      <c r="BF89" s="59">
        <v>0</v>
      </c>
      <c r="BG89" s="59">
        <v>404.98</v>
      </c>
      <c r="BH89" s="59">
        <v>1115.8499999999999</v>
      </c>
      <c r="BI89" s="59">
        <v>313.25</v>
      </c>
      <c r="BJ89" s="59">
        <v>1628.33</v>
      </c>
      <c r="BK89" s="59">
        <v>67.459999999999994</v>
      </c>
      <c r="BL89" s="58">
        <f t="shared" si="62"/>
        <v>425.4</v>
      </c>
      <c r="BM89" s="59">
        <v>0</v>
      </c>
      <c r="BN89" s="59">
        <v>0</v>
      </c>
      <c r="BO89" s="59">
        <v>248.58</v>
      </c>
      <c r="BP89" s="59">
        <v>38.03</v>
      </c>
      <c r="BQ89" s="59">
        <v>42.44</v>
      </c>
      <c r="BR89" s="59">
        <v>95.45</v>
      </c>
      <c r="BS89" s="59">
        <v>0.9</v>
      </c>
      <c r="BT89" s="58">
        <f t="shared" si="63"/>
        <v>492.96999999999997</v>
      </c>
      <c r="BU89" s="59">
        <v>1.06</v>
      </c>
      <c r="BV89" s="59">
        <v>0</v>
      </c>
      <c r="BW89" s="59">
        <v>101.84</v>
      </c>
      <c r="BX89" s="59">
        <v>388.88</v>
      </c>
      <c r="BY89" s="59">
        <v>1.19</v>
      </c>
      <c r="BZ89" s="59">
        <v>0</v>
      </c>
      <c r="CA89" s="59">
        <v>0</v>
      </c>
      <c r="CB89" s="58">
        <f t="shared" si="57"/>
        <v>1937.58</v>
      </c>
      <c r="CC89" s="59">
        <v>11.29</v>
      </c>
      <c r="CD89" s="59">
        <v>1822.96</v>
      </c>
      <c r="CE89" s="74">
        <v>103.33</v>
      </c>
    </row>
    <row r="90" spans="1:83" x14ac:dyDescent="0.35">
      <c r="A90" s="50" t="s">
        <v>255</v>
      </c>
      <c r="B90" s="58">
        <f t="shared" si="54"/>
        <v>42166.57</v>
      </c>
      <c r="C90" s="58">
        <f t="shared" si="41"/>
        <v>337.75</v>
      </c>
      <c r="D90" s="58">
        <f t="shared" si="42"/>
        <v>143.86000000000001</v>
      </c>
      <c r="E90" s="58">
        <f t="shared" si="55"/>
        <v>17027.390000000003</v>
      </c>
      <c r="F90" s="58">
        <f t="shared" si="65"/>
        <v>15714.9</v>
      </c>
      <c r="G90" s="58">
        <f t="shared" si="44"/>
        <v>1653.57</v>
      </c>
      <c r="H90" s="58">
        <f t="shared" si="45"/>
        <v>6895.8600000000006</v>
      </c>
      <c r="I90" s="58">
        <f t="shared" si="46"/>
        <v>393.24</v>
      </c>
      <c r="J90" s="58">
        <f t="shared" si="40"/>
        <v>268.07</v>
      </c>
      <c r="K90" s="59">
        <v>3.56</v>
      </c>
      <c r="L90" s="59">
        <v>98.76</v>
      </c>
      <c r="M90" s="59">
        <v>4.05</v>
      </c>
      <c r="N90" s="59">
        <v>107.19</v>
      </c>
      <c r="O90" s="59">
        <v>0.55000000000000004</v>
      </c>
      <c r="P90" s="59">
        <v>53.96</v>
      </c>
      <c r="Q90" s="59">
        <v>0</v>
      </c>
      <c r="R90" s="58">
        <f t="shared" si="58"/>
        <v>5982.05</v>
      </c>
      <c r="S90" s="59">
        <v>224.61</v>
      </c>
      <c r="T90" s="59">
        <v>0</v>
      </c>
      <c r="U90" s="59">
        <v>531.39</v>
      </c>
      <c r="V90" s="59">
        <v>2600.63</v>
      </c>
      <c r="W90" s="59">
        <v>472.18</v>
      </c>
      <c r="X90" s="59">
        <v>1980.87</v>
      </c>
      <c r="Y90" s="59">
        <v>172.37</v>
      </c>
      <c r="Z90" s="58">
        <f t="shared" si="64"/>
        <v>13534.660000000002</v>
      </c>
      <c r="AA90" s="59">
        <v>2.69</v>
      </c>
      <c r="AB90" s="59">
        <v>13030.44</v>
      </c>
      <c r="AC90" s="59">
        <v>10.68</v>
      </c>
      <c r="AD90" s="59">
        <v>358.79</v>
      </c>
      <c r="AE90" s="59">
        <v>132.06</v>
      </c>
      <c r="AF90" s="58">
        <f t="shared" si="60"/>
        <v>14065.109999999999</v>
      </c>
      <c r="AG90" s="59">
        <v>101.64</v>
      </c>
      <c r="AH90" s="59">
        <v>31.42</v>
      </c>
      <c r="AI90" s="59">
        <v>761.18</v>
      </c>
      <c r="AJ90" s="59">
        <v>10074.5</v>
      </c>
      <c r="AK90" s="59">
        <v>377.23</v>
      </c>
      <c r="AL90" s="59">
        <v>2614.79</v>
      </c>
      <c r="AM90" s="59">
        <v>104.35</v>
      </c>
      <c r="AN90" s="58">
        <f t="shared" si="39"/>
        <v>6379.23</v>
      </c>
      <c r="AO90" s="58">
        <f t="shared" si="47"/>
        <v>5.25</v>
      </c>
      <c r="AP90" s="58">
        <f t="shared" si="48"/>
        <v>0</v>
      </c>
      <c r="AQ90" s="58">
        <f t="shared" si="49"/>
        <v>876.79</v>
      </c>
      <c r="AR90" s="58">
        <f t="shared" si="50"/>
        <v>2821.67</v>
      </c>
      <c r="AS90" s="58">
        <f t="shared" si="51"/>
        <v>444.82</v>
      </c>
      <c r="AT90" s="58">
        <f t="shared" si="52"/>
        <v>2114.1799999999998</v>
      </c>
      <c r="AU90" s="58">
        <f t="shared" si="53"/>
        <v>116.52000000000001</v>
      </c>
      <c r="AV90" s="58">
        <f t="shared" si="56"/>
        <v>1697.6799999999998</v>
      </c>
      <c r="AW90" s="59">
        <v>2.64</v>
      </c>
      <c r="AX90" s="59">
        <v>0</v>
      </c>
      <c r="AY90" s="59">
        <v>175.94</v>
      </c>
      <c r="AZ90" s="59">
        <v>1112.5</v>
      </c>
      <c r="BA90" s="59">
        <v>11.49</v>
      </c>
      <c r="BB90" s="59">
        <v>364.27</v>
      </c>
      <c r="BC90" s="59">
        <v>30.84</v>
      </c>
      <c r="BD90" s="58">
        <f t="shared" si="61"/>
        <v>3859.0699999999997</v>
      </c>
      <c r="BE90" s="59">
        <v>0.88</v>
      </c>
      <c r="BF90" s="59">
        <v>0</v>
      </c>
      <c r="BG90" s="59">
        <v>418.16</v>
      </c>
      <c r="BH90" s="59">
        <v>1320.51</v>
      </c>
      <c r="BI90" s="59">
        <v>371.09</v>
      </c>
      <c r="BJ90" s="59">
        <v>1664.76</v>
      </c>
      <c r="BK90" s="59">
        <v>83.67</v>
      </c>
      <c r="BL90" s="58">
        <f t="shared" si="62"/>
        <v>359.50999999999993</v>
      </c>
      <c r="BM90" s="59">
        <v>0</v>
      </c>
      <c r="BN90" s="59">
        <v>0</v>
      </c>
      <c r="BO90" s="59">
        <v>177.92</v>
      </c>
      <c r="BP90" s="59">
        <v>33.94</v>
      </c>
      <c r="BQ90" s="59">
        <v>61.05</v>
      </c>
      <c r="BR90" s="59">
        <v>85.15</v>
      </c>
      <c r="BS90" s="59">
        <v>1.45</v>
      </c>
      <c r="BT90" s="58">
        <f t="shared" si="63"/>
        <v>462.97</v>
      </c>
      <c r="BU90" s="59">
        <v>1.73</v>
      </c>
      <c r="BV90" s="59">
        <v>0</v>
      </c>
      <c r="BW90" s="59">
        <v>104.77</v>
      </c>
      <c r="BX90" s="59">
        <v>354.72</v>
      </c>
      <c r="BY90" s="59">
        <v>1.19</v>
      </c>
      <c r="BZ90" s="59">
        <v>0</v>
      </c>
      <c r="CA90" s="59">
        <v>0.56000000000000005</v>
      </c>
      <c r="CB90" s="58">
        <f t="shared" si="57"/>
        <v>1937.45</v>
      </c>
      <c r="CC90" s="59">
        <v>13.68</v>
      </c>
      <c r="CD90" s="59">
        <v>1823.54</v>
      </c>
      <c r="CE90" s="74">
        <v>100.23</v>
      </c>
    </row>
    <row r="91" spans="1:83" x14ac:dyDescent="0.35">
      <c r="A91" s="50" t="s">
        <v>256</v>
      </c>
      <c r="B91" s="58">
        <f t="shared" si="54"/>
        <v>34088.86</v>
      </c>
      <c r="C91" s="58">
        <f t="shared" si="41"/>
        <v>317.82</v>
      </c>
      <c r="D91" s="58">
        <f t="shared" si="42"/>
        <v>141.88</v>
      </c>
      <c r="E91" s="58">
        <f t="shared" si="55"/>
        <v>18091.489999999998</v>
      </c>
      <c r="F91" s="58">
        <f t="shared" si="65"/>
        <v>8020.7199999999993</v>
      </c>
      <c r="G91" s="58">
        <f t="shared" si="44"/>
        <v>1249.99</v>
      </c>
      <c r="H91" s="58">
        <f t="shared" si="45"/>
        <v>5996.57</v>
      </c>
      <c r="I91" s="58">
        <f t="shared" si="46"/>
        <v>270.39</v>
      </c>
      <c r="J91" s="58">
        <f t="shared" si="40"/>
        <v>269.83</v>
      </c>
      <c r="K91" s="59">
        <v>3.82</v>
      </c>
      <c r="L91" s="59">
        <v>98.17</v>
      </c>
      <c r="M91" s="59">
        <v>4.05</v>
      </c>
      <c r="N91" s="59">
        <v>110.17</v>
      </c>
      <c r="O91" s="59">
        <v>0.35</v>
      </c>
      <c r="P91" s="59">
        <v>53.27</v>
      </c>
      <c r="Q91" s="59">
        <v>0</v>
      </c>
      <c r="R91" s="58">
        <f t="shared" si="58"/>
        <v>4694.38</v>
      </c>
      <c r="S91" s="59">
        <v>237.49</v>
      </c>
      <c r="T91" s="59">
        <v>0</v>
      </c>
      <c r="U91" s="59">
        <v>507.66</v>
      </c>
      <c r="V91" s="59">
        <v>1633.64</v>
      </c>
      <c r="W91" s="59">
        <v>304.07</v>
      </c>
      <c r="X91" s="59">
        <v>1839.15</v>
      </c>
      <c r="Y91" s="59">
        <v>172.37</v>
      </c>
      <c r="Z91" s="58">
        <f t="shared" si="64"/>
        <v>14520.78</v>
      </c>
      <c r="AA91" s="59">
        <v>2.69</v>
      </c>
      <c r="AB91" s="59">
        <v>13884.29</v>
      </c>
      <c r="AC91" s="59">
        <v>10.68</v>
      </c>
      <c r="AD91" s="59">
        <v>491.06</v>
      </c>
      <c r="AE91" s="59">
        <v>132.06</v>
      </c>
      <c r="AF91" s="58">
        <f t="shared" si="60"/>
        <v>7449.7300000000005</v>
      </c>
      <c r="AG91" s="59">
        <v>68.239999999999995</v>
      </c>
      <c r="AH91" s="59">
        <v>30.28</v>
      </c>
      <c r="AI91" s="59">
        <v>654.57000000000005</v>
      </c>
      <c r="AJ91" s="59">
        <v>4471.2299999999996</v>
      </c>
      <c r="AK91" s="59">
        <v>167.42</v>
      </c>
      <c r="AL91" s="59">
        <v>2011.68</v>
      </c>
      <c r="AM91" s="59">
        <v>46.31</v>
      </c>
      <c r="AN91" s="58">
        <f t="shared" si="39"/>
        <v>5036.8</v>
      </c>
      <c r="AO91" s="58">
        <f t="shared" si="47"/>
        <v>5.58</v>
      </c>
      <c r="AP91" s="58">
        <f t="shared" si="48"/>
        <v>0</v>
      </c>
      <c r="AQ91" s="58">
        <f t="shared" si="49"/>
        <v>1037.24</v>
      </c>
      <c r="AR91" s="58">
        <f t="shared" si="50"/>
        <v>1694.77</v>
      </c>
      <c r="AS91" s="58">
        <f t="shared" si="51"/>
        <v>287.08999999999997</v>
      </c>
      <c r="AT91" s="58">
        <f t="shared" si="52"/>
        <v>1960.41</v>
      </c>
      <c r="AU91" s="58">
        <f t="shared" si="53"/>
        <v>51.71</v>
      </c>
      <c r="AV91" s="58">
        <f t="shared" si="56"/>
        <v>1398.97</v>
      </c>
      <c r="AW91" s="59">
        <v>3.64</v>
      </c>
      <c r="AX91" s="59">
        <v>0</v>
      </c>
      <c r="AY91" s="59">
        <v>252.66</v>
      </c>
      <c r="AZ91" s="59">
        <v>709.48</v>
      </c>
      <c r="BA91" s="59">
        <v>7.33</v>
      </c>
      <c r="BB91" s="59">
        <v>412.17</v>
      </c>
      <c r="BC91" s="59">
        <v>13.69</v>
      </c>
      <c r="BD91" s="58">
        <f t="shared" si="61"/>
        <v>2979.3100000000004</v>
      </c>
      <c r="BE91" s="59">
        <v>0.88</v>
      </c>
      <c r="BF91" s="59">
        <v>0</v>
      </c>
      <c r="BG91" s="59">
        <v>392.5</v>
      </c>
      <c r="BH91" s="59">
        <v>842.81</v>
      </c>
      <c r="BI91" s="59">
        <v>236.85</v>
      </c>
      <c r="BJ91" s="59">
        <v>1469.14</v>
      </c>
      <c r="BK91" s="59">
        <v>37.130000000000003</v>
      </c>
      <c r="BL91" s="58">
        <f t="shared" si="62"/>
        <v>377.42999999999995</v>
      </c>
      <c r="BM91" s="59">
        <v>0</v>
      </c>
      <c r="BN91" s="59">
        <v>0</v>
      </c>
      <c r="BO91" s="59">
        <v>243.35</v>
      </c>
      <c r="BP91" s="59">
        <v>12.62</v>
      </c>
      <c r="BQ91" s="59">
        <v>41.72</v>
      </c>
      <c r="BR91" s="59">
        <v>79.099999999999994</v>
      </c>
      <c r="BS91" s="59">
        <v>0.64</v>
      </c>
      <c r="BT91" s="58">
        <f t="shared" si="63"/>
        <v>281.08999999999997</v>
      </c>
      <c r="BU91" s="59">
        <v>1.06</v>
      </c>
      <c r="BV91" s="59">
        <v>0</v>
      </c>
      <c r="BW91" s="59">
        <v>148.72999999999999</v>
      </c>
      <c r="BX91" s="59">
        <v>129.86000000000001</v>
      </c>
      <c r="BY91" s="59">
        <v>1.19</v>
      </c>
      <c r="BZ91" s="59">
        <v>0</v>
      </c>
      <c r="CA91" s="59">
        <v>0.25</v>
      </c>
      <c r="CB91" s="58">
        <f t="shared" si="57"/>
        <v>2117.34</v>
      </c>
      <c r="CC91" s="59">
        <v>13.43</v>
      </c>
      <c r="CD91" s="59">
        <v>2003.68</v>
      </c>
      <c r="CE91" s="74">
        <v>100.23</v>
      </c>
    </row>
    <row r="92" spans="1:83" x14ac:dyDescent="0.35">
      <c r="A92" s="50" t="s">
        <v>257</v>
      </c>
      <c r="B92" s="58">
        <f t="shared" si="54"/>
        <v>29416.049999999996</v>
      </c>
      <c r="C92" s="58">
        <f t="shared" si="41"/>
        <v>311.26000000000005</v>
      </c>
      <c r="D92" s="58">
        <f t="shared" si="42"/>
        <v>141.39000000000001</v>
      </c>
      <c r="E92" s="58">
        <f t="shared" si="55"/>
        <v>17180.78</v>
      </c>
      <c r="F92" s="58">
        <f t="shared" si="65"/>
        <v>4636.8499999999995</v>
      </c>
      <c r="G92" s="58">
        <f t="shared" si="44"/>
        <v>1104.28</v>
      </c>
      <c r="H92" s="58">
        <f t="shared" si="45"/>
        <v>5831.35</v>
      </c>
      <c r="I92" s="58">
        <f t="shared" si="46"/>
        <v>210.14000000000001</v>
      </c>
      <c r="J92" s="58">
        <f t="shared" si="40"/>
        <v>241.11999999999998</v>
      </c>
      <c r="K92" s="59">
        <v>3.92</v>
      </c>
      <c r="L92" s="59">
        <v>95.47</v>
      </c>
      <c r="M92" s="59">
        <v>4.05</v>
      </c>
      <c r="N92" s="59">
        <v>86.39</v>
      </c>
      <c r="O92" s="59">
        <v>0.32</v>
      </c>
      <c r="P92" s="59">
        <v>50.97</v>
      </c>
      <c r="Q92" s="59">
        <v>0</v>
      </c>
      <c r="R92" s="58">
        <f t="shared" si="58"/>
        <v>4612.2299999999996</v>
      </c>
      <c r="S92" s="59">
        <v>236.61</v>
      </c>
      <c r="T92" s="59">
        <v>0</v>
      </c>
      <c r="U92" s="59">
        <v>500.07</v>
      </c>
      <c r="V92" s="59">
        <v>1474.35</v>
      </c>
      <c r="W92" s="59">
        <v>272.14999999999998</v>
      </c>
      <c r="X92" s="59">
        <v>1956.68</v>
      </c>
      <c r="Y92" s="59">
        <v>172.37</v>
      </c>
      <c r="Z92" s="58">
        <f t="shared" si="64"/>
        <v>14360.41</v>
      </c>
      <c r="AA92" s="59">
        <v>2.69</v>
      </c>
      <c r="AB92" s="59">
        <v>13678.91</v>
      </c>
      <c r="AC92" s="59">
        <v>10.68</v>
      </c>
      <c r="AD92" s="59">
        <v>536.07000000000005</v>
      </c>
      <c r="AE92" s="59">
        <v>132.06</v>
      </c>
      <c r="AF92" s="58">
        <f t="shared" si="60"/>
        <v>4013.7200000000003</v>
      </c>
      <c r="AG92" s="59">
        <v>62.31</v>
      </c>
      <c r="AH92" s="59">
        <v>33.9</v>
      </c>
      <c r="AI92" s="59">
        <v>330.91</v>
      </c>
      <c r="AJ92" s="59">
        <v>1722.54</v>
      </c>
      <c r="AK92" s="59">
        <v>64.5</v>
      </c>
      <c r="AL92" s="59">
        <v>1781.72</v>
      </c>
      <c r="AM92" s="59">
        <v>17.84</v>
      </c>
      <c r="AN92" s="58">
        <f t="shared" si="39"/>
        <v>4430.79</v>
      </c>
      <c r="AO92" s="58">
        <f t="shared" si="47"/>
        <v>5.73</v>
      </c>
      <c r="AP92" s="58">
        <f t="shared" si="48"/>
        <v>0</v>
      </c>
      <c r="AQ92" s="58">
        <f t="shared" si="49"/>
        <v>1021.31</v>
      </c>
      <c r="AR92" s="58">
        <f t="shared" si="50"/>
        <v>1242.6600000000001</v>
      </c>
      <c r="AS92" s="58">
        <f t="shared" si="51"/>
        <v>231.23999999999998</v>
      </c>
      <c r="AT92" s="58">
        <f t="shared" si="52"/>
        <v>1909.92</v>
      </c>
      <c r="AU92" s="58">
        <f t="shared" si="53"/>
        <v>19.93</v>
      </c>
      <c r="AV92" s="58">
        <f t="shared" si="56"/>
        <v>1157.25</v>
      </c>
      <c r="AW92" s="59">
        <v>3.79</v>
      </c>
      <c r="AX92" s="59">
        <v>0</v>
      </c>
      <c r="AY92" s="59">
        <v>210.87</v>
      </c>
      <c r="AZ92" s="59">
        <v>547.99</v>
      </c>
      <c r="BA92" s="59">
        <v>5.66</v>
      </c>
      <c r="BB92" s="59">
        <v>383.67</v>
      </c>
      <c r="BC92" s="59">
        <v>5.27</v>
      </c>
      <c r="BD92" s="58">
        <f t="shared" si="61"/>
        <v>2708.4100000000003</v>
      </c>
      <c r="BE92" s="59">
        <v>0.88</v>
      </c>
      <c r="BF92" s="59">
        <v>0</v>
      </c>
      <c r="BG92" s="59">
        <v>420.52</v>
      </c>
      <c r="BH92" s="59">
        <v>650.02</v>
      </c>
      <c r="BI92" s="59">
        <v>182.67</v>
      </c>
      <c r="BJ92" s="59">
        <v>1440.01</v>
      </c>
      <c r="BK92" s="59">
        <v>14.31</v>
      </c>
      <c r="BL92" s="58">
        <f t="shared" si="62"/>
        <v>385.94000000000005</v>
      </c>
      <c r="BM92" s="59">
        <v>0</v>
      </c>
      <c r="BN92" s="59">
        <v>0</v>
      </c>
      <c r="BO92" s="59">
        <v>253.78</v>
      </c>
      <c r="BP92" s="59">
        <v>3.95</v>
      </c>
      <c r="BQ92" s="59">
        <v>41.72</v>
      </c>
      <c r="BR92" s="59">
        <v>86.24</v>
      </c>
      <c r="BS92" s="59">
        <v>0.25</v>
      </c>
      <c r="BT92" s="58">
        <f t="shared" si="63"/>
        <v>179.18999999999997</v>
      </c>
      <c r="BU92" s="59">
        <v>1.06</v>
      </c>
      <c r="BV92" s="59">
        <v>0</v>
      </c>
      <c r="BW92" s="59">
        <v>136.13999999999999</v>
      </c>
      <c r="BX92" s="59">
        <v>40.700000000000003</v>
      </c>
      <c r="BY92" s="59">
        <v>1.19</v>
      </c>
      <c r="BZ92" s="59">
        <v>0</v>
      </c>
      <c r="CA92" s="59">
        <v>0.1</v>
      </c>
      <c r="CB92" s="58">
        <f t="shared" si="57"/>
        <v>1757.78</v>
      </c>
      <c r="CC92" s="59">
        <v>12.02</v>
      </c>
      <c r="CD92" s="59">
        <v>1645.53</v>
      </c>
      <c r="CE92" s="74">
        <v>100.23</v>
      </c>
    </row>
    <row r="93" spans="1:83" x14ac:dyDescent="0.35">
      <c r="A93" s="50" t="s">
        <v>258</v>
      </c>
      <c r="B93" s="58">
        <f t="shared" si="54"/>
        <v>40654.22</v>
      </c>
      <c r="C93" s="58">
        <f t="shared" si="41"/>
        <v>332.82</v>
      </c>
      <c r="D93" s="58">
        <f t="shared" si="42"/>
        <v>138.41999999999999</v>
      </c>
      <c r="E93" s="58">
        <f t="shared" si="55"/>
        <v>16926.149999999998</v>
      </c>
      <c r="F93" s="58">
        <f t="shared" si="65"/>
        <v>14327.78</v>
      </c>
      <c r="G93" s="58">
        <f t="shared" si="44"/>
        <v>1736.3600000000001</v>
      </c>
      <c r="H93" s="58">
        <f t="shared" si="45"/>
        <v>6825.7199999999993</v>
      </c>
      <c r="I93" s="58">
        <f t="shared" si="46"/>
        <v>366.97</v>
      </c>
      <c r="J93" s="58">
        <f t="shared" si="40"/>
        <v>227.36</v>
      </c>
      <c r="K93" s="59">
        <v>3.66</v>
      </c>
      <c r="L93" s="59">
        <v>81.2</v>
      </c>
      <c r="M93" s="59">
        <v>4.05</v>
      </c>
      <c r="N93" s="59">
        <v>86.03</v>
      </c>
      <c r="O93" s="59">
        <v>0.55000000000000004</v>
      </c>
      <c r="P93" s="59">
        <v>51.87</v>
      </c>
      <c r="Q93" s="59">
        <v>0</v>
      </c>
      <c r="R93" s="58">
        <f t="shared" si="58"/>
        <v>5978.9800000000005</v>
      </c>
      <c r="S93" s="59">
        <v>216.74</v>
      </c>
      <c r="T93" s="59">
        <v>0</v>
      </c>
      <c r="U93" s="59">
        <v>543.49</v>
      </c>
      <c r="V93" s="59">
        <v>2620.0300000000002</v>
      </c>
      <c r="W93" s="59">
        <v>471.87</v>
      </c>
      <c r="X93" s="59">
        <v>1954.48</v>
      </c>
      <c r="Y93" s="59">
        <v>172.37</v>
      </c>
      <c r="Z93" s="58">
        <f t="shared" si="64"/>
        <v>13859.27</v>
      </c>
      <c r="AA93" s="59">
        <v>2.69</v>
      </c>
      <c r="AB93" s="59">
        <v>13192.49</v>
      </c>
      <c r="AC93" s="59">
        <v>10.68</v>
      </c>
      <c r="AD93" s="59">
        <v>521.35</v>
      </c>
      <c r="AE93" s="59">
        <v>132.06</v>
      </c>
      <c r="AF93" s="58">
        <f t="shared" si="60"/>
        <v>12810.2</v>
      </c>
      <c r="AG93" s="59">
        <v>104.78</v>
      </c>
      <c r="AH93" s="59">
        <v>46.43</v>
      </c>
      <c r="AI93" s="59">
        <v>826.23</v>
      </c>
      <c r="AJ93" s="59">
        <v>8876.07</v>
      </c>
      <c r="AK93" s="59">
        <v>332.36</v>
      </c>
      <c r="AL93" s="59">
        <v>2532.39</v>
      </c>
      <c r="AM93" s="59">
        <v>91.94</v>
      </c>
      <c r="AN93" s="58">
        <f t="shared" si="39"/>
        <v>6305.4699999999993</v>
      </c>
      <c r="AO93" s="58">
        <f t="shared" si="47"/>
        <v>4.9499999999999993</v>
      </c>
      <c r="AP93" s="58">
        <f t="shared" si="48"/>
        <v>0</v>
      </c>
      <c r="AQ93" s="58">
        <f t="shared" si="49"/>
        <v>997.97</v>
      </c>
      <c r="AR93" s="58">
        <f t="shared" si="50"/>
        <v>2634.74</v>
      </c>
      <c r="AS93" s="58">
        <f t="shared" si="51"/>
        <v>410.22999999999996</v>
      </c>
      <c r="AT93" s="58">
        <f t="shared" si="52"/>
        <v>2154.92</v>
      </c>
      <c r="AU93" s="58">
        <f t="shared" si="53"/>
        <v>102.66</v>
      </c>
      <c r="AV93" s="58">
        <f t="shared" si="56"/>
        <v>1646.98</v>
      </c>
      <c r="AW93" s="59">
        <v>3.01</v>
      </c>
      <c r="AX93" s="59">
        <v>0</v>
      </c>
      <c r="AY93" s="59">
        <v>229.81</v>
      </c>
      <c r="AZ93" s="59">
        <v>1001.64</v>
      </c>
      <c r="BA93" s="59">
        <v>10.34</v>
      </c>
      <c r="BB93" s="59">
        <v>375.01</v>
      </c>
      <c r="BC93" s="59">
        <v>27.17</v>
      </c>
      <c r="BD93" s="58">
        <f t="shared" si="61"/>
        <v>3690.31</v>
      </c>
      <c r="BE93" s="59">
        <v>0.88</v>
      </c>
      <c r="BF93" s="59">
        <v>0</v>
      </c>
      <c r="BG93" s="59">
        <v>403.73</v>
      </c>
      <c r="BH93" s="59">
        <v>1201.52</v>
      </c>
      <c r="BI93" s="59">
        <v>337.65</v>
      </c>
      <c r="BJ93" s="59">
        <v>1672.81</v>
      </c>
      <c r="BK93" s="59">
        <v>73.72</v>
      </c>
      <c r="BL93" s="58">
        <f t="shared" si="62"/>
        <v>458.99</v>
      </c>
      <c r="BM93" s="59">
        <v>0</v>
      </c>
      <c r="BN93" s="59">
        <v>0</v>
      </c>
      <c r="BO93" s="59">
        <v>251.12</v>
      </c>
      <c r="BP93" s="59">
        <v>38.450000000000003</v>
      </c>
      <c r="BQ93" s="59">
        <v>61.05</v>
      </c>
      <c r="BR93" s="59">
        <v>107.1</v>
      </c>
      <c r="BS93" s="59">
        <v>1.27</v>
      </c>
      <c r="BT93" s="58">
        <f t="shared" si="63"/>
        <v>509.19</v>
      </c>
      <c r="BU93" s="59">
        <v>1.06</v>
      </c>
      <c r="BV93" s="59">
        <v>0</v>
      </c>
      <c r="BW93" s="59">
        <v>113.31</v>
      </c>
      <c r="BX93" s="59">
        <v>393.13</v>
      </c>
      <c r="BY93" s="59">
        <v>1.19</v>
      </c>
      <c r="BZ93" s="59">
        <v>0</v>
      </c>
      <c r="CA93" s="59">
        <v>0.5</v>
      </c>
      <c r="CB93" s="58">
        <f t="shared" si="57"/>
        <v>1472.94</v>
      </c>
      <c r="CC93" s="59">
        <v>10.79</v>
      </c>
      <c r="CD93" s="59">
        <v>1361.92</v>
      </c>
      <c r="CE93" s="74">
        <v>100.23</v>
      </c>
    </row>
    <row r="94" spans="1:83" x14ac:dyDescent="0.35">
      <c r="A94" s="50" t="s">
        <v>259</v>
      </c>
      <c r="B94" s="58">
        <f t="shared" si="54"/>
        <v>42228.94000000001</v>
      </c>
      <c r="C94" s="58">
        <f t="shared" si="41"/>
        <v>315.89999999999998</v>
      </c>
      <c r="D94" s="58">
        <f t="shared" si="42"/>
        <v>152.59</v>
      </c>
      <c r="E94" s="58">
        <f t="shared" si="55"/>
        <v>17032.52</v>
      </c>
      <c r="F94" s="58">
        <f t="shared" si="65"/>
        <v>15619.369999999999</v>
      </c>
      <c r="G94" s="58">
        <f t="shared" si="44"/>
        <v>1958.2600000000002</v>
      </c>
      <c r="H94" s="58">
        <f t="shared" si="45"/>
        <v>6753.7300000000005</v>
      </c>
      <c r="I94" s="58">
        <f t="shared" si="46"/>
        <v>396.57000000000005</v>
      </c>
      <c r="J94" s="58">
        <f t="shared" si="40"/>
        <v>284.06</v>
      </c>
      <c r="K94" s="59">
        <v>5.05</v>
      </c>
      <c r="L94" s="59">
        <v>105.97</v>
      </c>
      <c r="M94" s="59">
        <v>3.36</v>
      </c>
      <c r="N94" s="59">
        <v>116.55</v>
      </c>
      <c r="O94" s="59">
        <v>0.5</v>
      </c>
      <c r="P94" s="59">
        <v>52.63</v>
      </c>
      <c r="Q94" s="59">
        <v>0</v>
      </c>
      <c r="R94" s="58">
        <f t="shared" si="58"/>
        <v>5905.3499999999995</v>
      </c>
      <c r="S94" s="59">
        <v>202.1</v>
      </c>
      <c r="T94" s="59">
        <v>0</v>
      </c>
      <c r="U94" s="59">
        <v>565.99</v>
      </c>
      <c r="V94" s="59">
        <v>2466.88</v>
      </c>
      <c r="W94" s="59">
        <v>558.45000000000005</v>
      </c>
      <c r="X94" s="59">
        <v>1948.53</v>
      </c>
      <c r="Y94" s="59">
        <v>163.4</v>
      </c>
      <c r="Z94" s="58">
        <f t="shared" si="64"/>
        <v>13489.05</v>
      </c>
      <c r="AA94" s="59">
        <v>2.69</v>
      </c>
      <c r="AB94" s="59">
        <v>12832.74</v>
      </c>
      <c r="AC94" s="59">
        <v>19.05</v>
      </c>
      <c r="AD94" s="59">
        <v>506.18</v>
      </c>
      <c r="AE94" s="59">
        <v>128.38999999999999</v>
      </c>
      <c r="AF94" s="58">
        <f t="shared" si="60"/>
        <v>14252.73</v>
      </c>
      <c r="AG94" s="59">
        <v>100.53</v>
      </c>
      <c r="AH94" s="59">
        <v>34.68</v>
      </c>
      <c r="AI94" s="59">
        <v>888.44</v>
      </c>
      <c r="AJ94" s="59">
        <v>10093.85</v>
      </c>
      <c r="AK94" s="59">
        <v>403.06</v>
      </c>
      <c r="AL94" s="59">
        <v>2625.71</v>
      </c>
      <c r="AM94" s="59">
        <v>106.46</v>
      </c>
      <c r="AN94" s="58">
        <f t="shared" si="39"/>
        <v>6369.97</v>
      </c>
      <c r="AO94" s="58">
        <f t="shared" si="47"/>
        <v>5.5299999999999994</v>
      </c>
      <c r="AP94" s="58">
        <f t="shared" si="48"/>
        <v>0</v>
      </c>
      <c r="AQ94" s="58">
        <f t="shared" si="49"/>
        <v>923.36999999999989</v>
      </c>
      <c r="AR94" s="58">
        <f t="shared" si="50"/>
        <v>2825.82</v>
      </c>
      <c r="AS94" s="58">
        <f t="shared" si="51"/>
        <v>490.07000000000005</v>
      </c>
      <c r="AT94" s="58">
        <f t="shared" si="52"/>
        <v>1998.47</v>
      </c>
      <c r="AU94" s="58">
        <f t="shared" si="53"/>
        <v>126.71000000000001</v>
      </c>
      <c r="AV94" s="58">
        <f t="shared" si="56"/>
        <v>1673.8500000000001</v>
      </c>
      <c r="AW94" s="59">
        <v>2.92</v>
      </c>
      <c r="AX94" s="59">
        <v>0</v>
      </c>
      <c r="AY94" s="59">
        <v>208.03</v>
      </c>
      <c r="AZ94" s="59">
        <v>1114.99</v>
      </c>
      <c r="BA94" s="59">
        <v>14.3</v>
      </c>
      <c r="BB94" s="59">
        <v>304.18</v>
      </c>
      <c r="BC94" s="59">
        <v>29.43</v>
      </c>
      <c r="BD94" s="58">
        <f t="shared" si="61"/>
        <v>3828.73</v>
      </c>
      <c r="BE94" s="59">
        <v>0.88</v>
      </c>
      <c r="BF94" s="59">
        <v>0</v>
      </c>
      <c r="BG94" s="59">
        <v>417.65</v>
      </c>
      <c r="BH94" s="59">
        <v>1321.3</v>
      </c>
      <c r="BI94" s="59">
        <v>409.39</v>
      </c>
      <c r="BJ94" s="59">
        <v>1584.53</v>
      </c>
      <c r="BK94" s="59">
        <v>94.98</v>
      </c>
      <c r="BL94" s="58">
        <f t="shared" si="62"/>
        <v>378.08</v>
      </c>
      <c r="BM94" s="59">
        <v>0</v>
      </c>
      <c r="BN94" s="59">
        <v>0</v>
      </c>
      <c r="BO94" s="59">
        <v>174.39</v>
      </c>
      <c r="BP94" s="59">
        <v>27.65</v>
      </c>
      <c r="BQ94" s="59">
        <v>65.16</v>
      </c>
      <c r="BR94" s="59">
        <v>109.76</v>
      </c>
      <c r="BS94" s="59">
        <v>1.1200000000000001</v>
      </c>
      <c r="BT94" s="58">
        <f t="shared" si="63"/>
        <v>489.31</v>
      </c>
      <c r="BU94" s="59">
        <v>1.73</v>
      </c>
      <c r="BV94" s="59">
        <v>0</v>
      </c>
      <c r="BW94" s="59">
        <v>123.3</v>
      </c>
      <c r="BX94" s="59">
        <v>361.88</v>
      </c>
      <c r="BY94" s="59">
        <v>1.22</v>
      </c>
      <c r="BZ94" s="59">
        <v>0</v>
      </c>
      <c r="CA94" s="59">
        <v>1.18</v>
      </c>
      <c r="CB94" s="58">
        <f t="shared" si="57"/>
        <v>1927.78</v>
      </c>
      <c r="CC94" s="59">
        <v>11.94</v>
      </c>
      <c r="CD94" s="59">
        <v>1818.62</v>
      </c>
      <c r="CE94" s="74">
        <v>97.22</v>
      </c>
    </row>
    <row r="95" spans="1:83" x14ac:dyDescent="0.35">
      <c r="A95" s="50" t="s">
        <v>260</v>
      </c>
      <c r="B95" s="58">
        <f t="shared" ref="B95:B101" si="66">SUM(C95:I95)</f>
        <v>23690.61</v>
      </c>
      <c r="C95" s="58">
        <f t="shared" si="41"/>
        <v>251.65</v>
      </c>
      <c r="D95" s="58">
        <f t="shared" si="42"/>
        <v>147.49</v>
      </c>
      <c r="E95" s="58">
        <f t="shared" si="55"/>
        <v>9817.2099999999991</v>
      </c>
      <c r="F95" s="58">
        <f t="shared" si="65"/>
        <v>6910.51</v>
      </c>
      <c r="G95" s="58">
        <f t="shared" si="44"/>
        <v>1093.73</v>
      </c>
      <c r="H95" s="58">
        <f t="shared" si="45"/>
        <v>5216.16</v>
      </c>
      <c r="I95" s="58">
        <f t="shared" si="46"/>
        <v>253.85999999999999</v>
      </c>
      <c r="J95" s="58">
        <f t="shared" ref="J95:J102" si="67">SUM(K95:Q95)</f>
        <v>270.08999999999997</v>
      </c>
      <c r="K95" s="59">
        <v>4.34</v>
      </c>
      <c r="L95" s="59">
        <v>104.12</v>
      </c>
      <c r="M95" s="59">
        <v>3.36</v>
      </c>
      <c r="N95" s="59">
        <v>105.24</v>
      </c>
      <c r="O95" s="59">
        <v>0.28999999999999998</v>
      </c>
      <c r="P95" s="59">
        <v>52.74</v>
      </c>
      <c r="Q95" s="59">
        <v>0</v>
      </c>
      <c r="R95" s="58">
        <f t="shared" si="58"/>
        <v>4052.9900000000002</v>
      </c>
      <c r="S95" s="59">
        <v>172.87</v>
      </c>
      <c r="T95" s="59">
        <v>0</v>
      </c>
      <c r="U95" s="59">
        <v>454</v>
      </c>
      <c r="V95" s="59">
        <v>1384.35</v>
      </c>
      <c r="W95" s="59">
        <v>322.3</v>
      </c>
      <c r="X95" s="59">
        <v>1556.07</v>
      </c>
      <c r="Y95" s="59">
        <v>163.4</v>
      </c>
      <c r="Z95" s="58">
        <f t="shared" si="64"/>
        <v>6899.0000000000009</v>
      </c>
      <c r="AA95" s="59">
        <v>2.2599999999999998</v>
      </c>
      <c r="AB95" s="59">
        <v>6378</v>
      </c>
      <c r="AC95" s="59">
        <v>19.05</v>
      </c>
      <c r="AD95" s="59">
        <v>371.3</v>
      </c>
      <c r="AE95" s="59">
        <v>128.38999999999999</v>
      </c>
      <c r="AF95" s="58">
        <f t="shared" si="60"/>
        <v>6804.88</v>
      </c>
      <c r="AG95" s="59">
        <v>67.459999999999994</v>
      </c>
      <c r="AH95" s="59">
        <v>30.86</v>
      </c>
      <c r="AI95" s="59">
        <v>525.5</v>
      </c>
      <c r="AJ95" s="59">
        <v>3915.43</v>
      </c>
      <c r="AK95" s="59">
        <v>169.32</v>
      </c>
      <c r="AL95" s="59">
        <v>2055.0100000000002</v>
      </c>
      <c r="AM95" s="59">
        <v>41.3</v>
      </c>
      <c r="AN95" s="58">
        <f t="shared" si="39"/>
        <v>3937.37</v>
      </c>
      <c r="AO95" s="58">
        <f t="shared" si="47"/>
        <v>4.72</v>
      </c>
      <c r="AP95" s="58">
        <f t="shared" si="48"/>
        <v>0</v>
      </c>
      <c r="AQ95" s="58">
        <f t="shared" si="49"/>
        <v>839.8</v>
      </c>
      <c r="AR95" s="58">
        <f t="shared" si="50"/>
        <v>1389.22</v>
      </c>
      <c r="AS95" s="58">
        <f t="shared" si="51"/>
        <v>230.52</v>
      </c>
      <c r="AT95" s="58">
        <f t="shared" si="52"/>
        <v>1423.95</v>
      </c>
      <c r="AU95" s="58">
        <f t="shared" si="53"/>
        <v>49.160000000000004</v>
      </c>
      <c r="AV95" s="58">
        <f t="shared" ref="AV95:AV101" si="68">SUM(AW95:BC95)</f>
        <v>1076.24</v>
      </c>
      <c r="AW95" s="59">
        <v>2.78</v>
      </c>
      <c r="AX95" s="59">
        <v>0</v>
      </c>
      <c r="AY95" s="59">
        <v>203.37</v>
      </c>
      <c r="AZ95" s="59">
        <v>549.91999999999996</v>
      </c>
      <c r="BA95" s="59">
        <v>6.22</v>
      </c>
      <c r="BB95" s="59">
        <v>302.52999999999997</v>
      </c>
      <c r="BC95" s="59">
        <v>11.42</v>
      </c>
      <c r="BD95" s="58">
        <f t="shared" si="61"/>
        <v>2299.17</v>
      </c>
      <c r="BE95" s="59">
        <v>0.88</v>
      </c>
      <c r="BF95" s="59">
        <v>0</v>
      </c>
      <c r="BG95" s="59">
        <v>302.82</v>
      </c>
      <c r="BH95" s="59">
        <v>714.16</v>
      </c>
      <c r="BI95" s="59">
        <v>178.43</v>
      </c>
      <c r="BJ95" s="59">
        <v>1066.04</v>
      </c>
      <c r="BK95" s="59">
        <v>36.840000000000003</v>
      </c>
      <c r="BL95" s="58">
        <f t="shared" si="62"/>
        <v>322.57</v>
      </c>
      <c r="BM95" s="59">
        <v>0</v>
      </c>
      <c r="BN95" s="59">
        <v>0</v>
      </c>
      <c r="BO95" s="59">
        <v>213.22</v>
      </c>
      <c r="BP95" s="59">
        <v>8.8800000000000008</v>
      </c>
      <c r="BQ95" s="59">
        <v>44.65</v>
      </c>
      <c r="BR95" s="59">
        <v>55.38</v>
      </c>
      <c r="BS95" s="59">
        <v>0.44</v>
      </c>
      <c r="BT95" s="58">
        <f t="shared" si="63"/>
        <v>239.39000000000001</v>
      </c>
      <c r="BU95" s="59">
        <v>1.06</v>
      </c>
      <c r="BV95" s="59">
        <v>0</v>
      </c>
      <c r="BW95" s="59">
        <v>120.39</v>
      </c>
      <c r="BX95" s="59">
        <v>116.26</v>
      </c>
      <c r="BY95" s="59">
        <v>1.22</v>
      </c>
      <c r="BZ95" s="59">
        <v>0</v>
      </c>
      <c r="CA95" s="59">
        <v>0.46</v>
      </c>
      <c r="CB95" s="58">
        <f t="shared" si="57"/>
        <v>1726.28</v>
      </c>
      <c r="CC95" s="59">
        <v>12.51</v>
      </c>
      <c r="CD95" s="59">
        <v>1616.55</v>
      </c>
      <c r="CE95" s="74">
        <v>97.22</v>
      </c>
    </row>
    <row r="96" spans="1:83" x14ac:dyDescent="0.35">
      <c r="A96" s="50" t="s">
        <v>261</v>
      </c>
      <c r="B96" s="58">
        <f t="shared" si="66"/>
        <v>26344.240000000002</v>
      </c>
      <c r="C96" s="58">
        <f t="shared" si="41"/>
        <v>283.59999999999997</v>
      </c>
      <c r="D96" s="58">
        <f t="shared" si="42"/>
        <v>148.20999999999998</v>
      </c>
      <c r="E96" s="58">
        <f t="shared" si="55"/>
        <v>13926.02</v>
      </c>
      <c r="F96" s="58">
        <f t="shared" si="65"/>
        <v>5150.3000000000011</v>
      </c>
      <c r="G96" s="58">
        <f t="shared" si="44"/>
        <v>1144.27</v>
      </c>
      <c r="H96" s="58">
        <f t="shared" si="45"/>
        <v>5473.15</v>
      </c>
      <c r="I96" s="58">
        <f t="shared" si="46"/>
        <v>218.69000000000003</v>
      </c>
      <c r="J96" s="58">
        <f t="shared" si="67"/>
        <v>240.07</v>
      </c>
      <c r="K96" s="59">
        <v>4.68</v>
      </c>
      <c r="L96" s="59">
        <v>95.01</v>
      </c>
      <c r="M96" s="59">
        <v>3.36</v>
      </c>
      <c r="N96" s="59">
        <v>89.35</v>
      </c>
      <c r="O96" s="59">
        <v>0.3</v>
      </c>
      <c r="P96" s="59">
        <v>47.37</v>
      </c>
      <c r="Q96" s="59">
        <v>0</v>
      </c>
      <c r="R96" s="58">
        <f t="shared" si="58"/>
        <v>4486.3499999999995</v>
      </c>
      <c r="S96" s="59">
        <v>211.09</v>
      </c>
      <c r="T96" s="59">
        <v>0</v>
      </c>
      <c r="U96" s="59">
        <v>517.48</v>
      </c>
      <c r="V96" s="59">
        <v>1474.45</v>
      </c>
      <c r="W96" s="59">
        <v>334.43</v>
      </c>
      <c r="X96" s="59">
        <v>1785.5</v>
      </c>
      <c r="Y96" s="59">
        <v>163.4</v>
      </c>
      <c r="Z96" s="58">
        <f t="shared" si="64"/>
        <v>10813.3</v>
      </c>
      <c r="AA96" s="59">
        <v>2.2599999999999998</v>
      </c>
      <c r="AB96" s="59">
        <v>10176.540000000001</v>
      </c>
      <c r="AC96" s="59">
        <v>19.05</v>
      </c>
      <c r="AD96" s="59">
        <v>487.06</v>
      </c>
      <c r="AE96" s="59">
        <v>128.38999999999999</v>
      </c>
      <c r="AF96" s="58">
        <f t="shared" si="60"/>
        <v>4836.5599999999995</v>
      </c>
      <c r="AG96" s="59">
        <v>59.93</v>
      </c>
      <c r="AH96" s="59">
        <v>40.81</v>
      </c>
      <c r="AI96" s="59">
        <v>369.75</v>
      </c>
      <c r="AJ96" s="59">
        <v>2392.7600000000002</v>
      </c>
      <c r="AK96" s="59">
        <v>87.17</v>
      </c>
      <c r="AL96" s="59">
        <v>1860.9</v>
      </c>
      <c r="AM96" s="59">
        <v>25.24</v>
      </c>
      <c r="AN96" s="58">
        <f t="shared" si="39"/>
        <v>4054.2300000000005</v>
      </c>
      <c r="AO96" s="58">
        <f t="shared" si="47"/>
        <v>5.6400000000000006</v>
      </c>
      <c r="AP96" s="58">
        <f t="shared" si="48"/>
        <v>0</v>
      </c>
      <c r="AQ96" s="58">
        <f t="shared" si="49"/>
        <v>1054.77</v>
      </c>
      <c r="AR96" s="58">
        <f t="shared" si="50"/>
        <v>1077.4700000000003</v>
      </c>
      <c r="AS96" s="58">
        <f t="shared" si="51"/>
        <v>235.31</v>
      </c>
      <c r="AT96" s="58">
        <f t="shared" si="52"/>
        <v>1650.99</v>
      </c>
      <c r="AU96" s="58">
        <f t="shared" si="53"/>
        <v>30.05</v>
      </c>
      <c r="AV96" s="58">
        <f t="shared" si="68"/>
        <v>1029.2</v>
      </c>
      <c r="AW96" s="59">
        <v>3.7</v>
      </c>
      <c r="AX96" s="59">
        <v>0</v>
      </c>
      <c r="AY96" s="59">
        <v>234.04</v>
      </c>
      <c r="AZ96" s="59">
        <v>476.76</v>
      </c>
      <c r="BA96" s="59">
        <v>6.39</v>
      </c>
      <c r="BB96" s="59">
        <v>301.33</v>
      </c>
      <c r="BC96" s="59">
        <v>6.98</v>
      </c>
      <c r="BD96" s="58">
        <f t="shared" si="61"/>
        <v>2432.9699999999998</v>
      </c>
      <c r="BE96" s="59">
        <v>0.88</v>
      </c>
      <c r="BF96" s="59">
        <v>0</v>
      </c>
      <c r="BG96" s="59">
        <v>385.68</v>
      </c>
      <c r="BH96" s="59">
        <v>562.33000000000004</v>
      </c>
      <c r="BI96" s="59">
        <v>183.05</v>
      </c>
      <c r="BJ96" s="59">
        <v>1278.51</v>
      </c>
      <c r="BK96" s="59">
        <v>22.52</v>
      </c>
      <c r="BL96" s="58">
        <f t="shared" si="62"/>
        <v>401.47</v>
      </c>
      <c r="BM96" s="59">
        <v>0</v>
      </c>
      <c r="BN96" s="59">
        <v>0</v>
      </c>
      <c r="BO96" s="59">
        <v>282.68</v>
      </c>
      <c r="BP96" s="59">
        <v>2.72</v>
      </c>
      <c r="BQ96" s="59">
        <v>44.65</v>
      </c>
      <c r="BR96" s="59">
        <v>71.150000000000006</v>
      </c>
      <c r="BS96" s="59">
        <v>0.27</v>
      </c>
      <c r="BT96" s="58">
        <f t="shared" si="63"/>
        <v>190.59</v>
      </c>
      <c r="BU96" s="59">
        <v>1.06</v>
      </c>
      <c r="BV96" s="59">
        <v>0</v>
      </c>
      <c r="BW96" s="59">
        <v>152.37</v>
      </c>
      <c r="BX96" s="59">
        <v>35.659999999999997</v>
      </c>
      <c r="BY96" s="59">
        <v>1.22</v>
      </c>
      <c r="BZ96" s="59">
        <v>0</v>
      </c>
      <c r="CA96" s="59">
        <v>0.28000000000000003</v>
      </c>
      <c r="CB96" s="58">
        <f t="shared" si="57"/>
        <v>1913.73</v>
      </c>
      <c r="CC96" s="59">
        <v>12.39</v>
      </c>
      <c r="CD96" s="59">
        <v>1804.12</v>
      </c>
      <c r="CE96" s="74">
        <v>97.22</v>
      </c>
    </row>
    <row r="97" spans="1:83" x14ac:dyDescent="0.35">
      <c r="A97" s="50" t="s">
        <v>262</v>
      </c>
      <c r="B97" s="58">
        <f t="shared" si="66"/>
        <v>37331.459999999992</v>
      </c>
      <c r="C97" s="58">
        <f t="shared" si="41"/>
        <v>299.49999999999994</v>
      </c>
      <c r="D97" s="58">
        <f t="shared" si="42"/>
        <v>146.83999999999997</v>
      </c>
      <c r="E97" s="58">
        <f t="shared" si="55"/>
        <v>13564.4</v>
      </c>
      <c r="F97" s="58">
        <f t="shared" si="65"/>
        <v>14522.029999999999</v>
      </c>
      <c r="G97" s="58">
        <f t="shared" si="44"/>
        <v>1823.4700000000003</v>
      </c>
      <c r="H97" s="58">
        <f t="shared" si="45"/>
        <v>6594.41</v>
      </c>
      <c r="I97" s="58">
        <f t="shared" si="46"/>
        <v>380.81</v>
      </c>
      <c r="J97" s="58">
        <f t="shared" si="67"/>
        <v>237.57</v>
      </c>
      <c r="K97" s="59">
        <v>5.38</v>
      </c>
      <c r="L97" s="59">
        <v>99.82</v>
      </c>
      <c r="M97" s="59">
        <v>3.36</v>
      </c>
      <c r="N97" s="59">
        <v>93.77</v>
      </c>
      <c r="O97" s="59">
        <v>0.5</v>
      </c>
      <c r="P97" s="59">
        <v>34.74</v>
      </c>
      <c r="Q97" s="59">
        <v>0</v>
      </c>
      <c r="R97" s="58">
        <f t="shared" si="58"/>
        <v>5868.99</v>
      </c>
      <c r="S97" s="59">
        <v>193.34</v>
      </c>
      <c r="T97" s="59">
        <v>0</v>
      </c>
      <c r="U97" s="59">
        <v>551.23</v>
      </c>
      <c r="V97" s="59">
        <v>2509.2800000000002</v>
      </c>
      <c r="W97" s="59">
        <v>557.78</v>
      </c>
      <c r="X97" s="59">
        <v>1893.96</v>
      </c>
      <c r="Y97" s="59">
        <v>163.4</v>
      </c>
      <c r="Z97" s="58">
        <f t="shared" si="64"/>
        <v>10510.47</v>
      </c>
      <c r="AA97" s="59">
        <v>2.2599999999999998</v>
      </c>
      <c r="AB97" s="59">
        <v>9903.32</v>
      </c>
      <c r="AC97" s="59">
        <v>19.05</v>
      </c>
      <c r="AD97" s="59">
        <v>457.45</v>
      </c>
      <c r="AE97" s="59">
        <v>128.38999999999999</v>
      </c>
      <c r="AF97" s="58">
        <f t="shared" si="60"/>
        <v>13496.39</v>
      </c>
      <c r="AG97" s="59">
        <v>92.93</v>
      </c>
      <c r="AH97" s="59">
        <v>34.51</v>
      </c>
      <c r="AI97" s="59">
        <v>788.73</v>
      </c>
      <c r="AJ97" s="59">
        <v>9410.99</v>
      </c>
      <c r="AK97" s="59">
        <v>361.96</v>
      </c>
      <c r="AL97" s="59">
        <v>2708.01</v>
      </c>
      <c r="AM97" s="59">
        <v>99.26</v>
      </c>
      <c r="AN97" s="58">
        <f t="shared" si="39"/>
        <v>5724.07</v>
      </c>
      <c r="AO97" s="58">
        <f t="shared" si="47"/>
        <v>5.59</v>
      </c>
      <c r="AP97" s="58">
        <f t="shared" si="48"/>
        <v>0</v>
      </c>
      <c r="AQ97" s="58">
        <f t="shared" si="49"/>
        <v>933.5200000000001</v>
      </c>
      <c r="AR97" s="58">
        <f t="shared" si="50"/>
        <v>2391.7199999999998</v>
      </c>
      <c r="AS97" s="58">
        <f t="shared" si="51"/>
        <v>445.78000000000009</v>
      </c>
      <c r="AT97" s="58">
        <f t="shared" si="52"/>
        <v>1829.31</v>
      </c>
      <c r="AU97" s="58">
        <f t="shared" si="53"/>
        <v>118.14999999999999</v>
      </c>
      <c r="AV97" s="58">
        <f t="shared" si="68"/>
        <v>1474.82</v>
      </c>
      <c r="AW97" s="59">
        <v>3.65</v>
      </c>
      <c r="AX97" s="59">
        <v>0</v>
      </c>
      <c r="AY97" s="59">
        <v>219.8</v>
      </c>
      <c r="AZ97" s="59">
        <v>905.17</v>
      </c>
      <c r="BA97" s="59">
        <v>12.68</v>
      </c>
      <c r="BB97" s="59">
        <v>306.08</v>
      </c>
      <c r="BC97" s="59">
        <v>27.44</v>
      </c>
      <c r="BD97" s="58">
        <f t="shared" si="61"/>
        <v>3333.9</v>
      </c>
      <c r="BE97" s="59">
        <v>0.88</v>
      </c>
      <c r="BF97" s="59">
        <v>0</v>
      </c>
      <c r="BG97" s="59">
        <v>369.66</v>
      </c>
      <c r="BH97" s="59">
        <v>1090.8399999999999</v>
      </c>
      <c r="BI97" s="59">
        <v>366.72</v>
      </c>
      <c r="BJ97" s="59">
        <v>1417.24</v>
      </c>
      <c r="BK97" s="59">
        <v>88.56</v>
      </c>
      <c r="BL97" s="58">
        <f t="shared" si="62"/>
        <v>435.71999999999997</v>
      </c>
      <c r="BM97" s="59">
        <v>0</v>
      </c>
      <c r="BN97" s="59">
        <v>0</v>
      </c>
      <c r="BO97" s="59">
        <v>235.43</v>
      </c>
      <c r="BP97" s="59">
        <v>28.09</v>
      </c>
      <c r="BQ97" s="59">
        <v>65.16</v>
      </c>
      <c r="BR97" s="59">
        <v>105.99</v>
      </c>
      <c r="BS97" s="59">
        <v>1.05</v>
      </c>
      <c r="BT97" s="58">
        <f t="shared" si="63"/>
        <v>479.63000000000005</v>
      </c>
      <c r="BU97" s="59">
        <v>1.06</v>
      </c>
      <c r="BV97" s="59">
        <v>0</v>
      </c>
      <c r="BW97" s="59">
        <v>108.63</v>
      </c>
      <c r="BX97" s="59">
        <v>367.62</v>
      </c>
      <c r="BY97" s="59">
        <v>1.22</v>
      </c>
      <c r="BZ97" s="59">
        <v>0</v>
      </c>
      <c r="CA97" s="59">
        <v>1.1000000000000001</v>
      </c>
      <c r="CB97" s="58">
        <f t="shared" si="57"/>
        <v>1493.97</v>
      </c>
      <c r="CC97" s="59">
        <v>12.51</v>
      </c>
      <c r="CD97" s="59">
        <v>1384.24</v>
      </c>
      <c r="CE97" s="74">
        <v>97.22</v>
      </c>
    </row>
    <row r="98" spans="1:83" x14ac:dyDescent="0.35">
      <c r="A98" s="50" t="s">
        <v>263</v>
      </c>
      <c r="B98" s="58">
        <f t="shared" si="66"/>
        <v>38819.670000000006</v>
      </c>
      <c r="C98" s="58">
        <f t="shared" si="41"/>
        <v>301.73</v>
      </c>
      <c r="D98" s="58">
        <f t="shared" si="42"/>
        <v>155.63999999999999</v>
      </c>
      <c r="E98" s="58">
        <f t="shared" si="55"/>
        <v>11882.859999999999</v>
      </c>
      <c r="F98" s="58">
        <f t="shared" si="65"/>
        <v>17467.900000000001</v>
      </c>
      <c r="G98" s="58">
        <f t="shared" si="44"/>
        <v>1940.98</v>
      </c>
      <c r="H98" s="58">
        <f t="shared" si="45"/>
        <v>6647.15</v>
      </c>
      <c r="I98" s="58">
        <f t="shared" si="46"/>
        <v>423.40999999999997</v>
      </c>
      <c r="J98" s="58">
        <f t="shared" si="67"/>
        <v>277.69</v>
      </c>
      <c r="K98" s="59">
        <v>3.9</v>
      </c>
      <c r="L98" s="59">
        <v>105.52</v>
      </c>
      <c r="M98" s="59">
        <v>3.64</v>
      </c>
      <c r="N98" s="59">
        <v>115.48</v>
      </c>
      <c r="O98" s="59">
        <v>0.64</v>
      </c>
      <c r="P98" s="59">
        <v>48.51</v>
      </c>
      <c r="Q98" s="59">
        <v>0</v>
      </c>
      <c r="R98" s="58">
        <f t="shared" si="58"/>
        <v>5933.68</v>
      </c>
      <c r="S98" s="59">
        <v>186.6</v>
      </c>
      <c r="T98" s="59">
        <v>0</v>
      </c>
      <c r="U98" s="59">
        <v>583.57000000000005</v>
      </c>
      <c r="V98" s="59">
        <v>2538.4</v>
      </c>
      <c r="W98" s="59">
        <v>579.61</v>
      </c>
      <c r="X98" s="59">
        <v>1884.32</v>
      </c>
      <c r="Y98" s="59">
        <v>161.18</v>
      </c>
      <c r="Z98" s="58">
        <f t="shared" si="64"/>
        <v>8789.32</v>
      </c>
      <c r="AA98" s="59">
        <v>2.2599999999999998</v>
      </c>
      <c r="AB98" s="59">
        <v>8224.9599999999991</v>
      </c>
      <c r="AC98" s="59">
        <v>21.02</v>
      </c>
      <c r="AD98" s="59">
        <v>390.6</v>
      </c>
      <c r="AE98" s="59">
        <v>150.47999999999999</v>
      </c>
      <c r="AF98" s="58">
        <f t="shared" si="60"/>
        <v>16255.449999999999</v>
      </c>
      <c r="AG98" s="59">
        <v>103.36</v>
      </c>
      <c r="AH98" s="59">
        <v>38.01</v>
      </c>
      <c r="AI98" s="59">
        <v>837.58</v>
      </c>
      <c r="AJ98" s="59">
        <v>11866.55</v>
      </c>
      <c r="AK98" s="59">
        <v>496.55</v>
      </c>
      <c r="AL98" s="59">
        <v>2795.48</v>
      </c>
      <c r="AM98" s="59">
        <v>117.92</v>
      </c>
      <c r="AN98" s="58">
        <f t="shared" si="39"/>
        <v>6105.7800000000007</v>
      </c>
      <c r="AO98" s="58">
        <f t="shared" si="47"/>
        <v>5.6099999999999994</v>
      </c>
      <c r="AP98" s="58">
        <f t="shared" si="48"/>
        <v>0</v>
      </c>
      <c r="AQ98" s="58">
        <f t="shared" si="49"/>
        <v>881.77999999999986</v>
      </c>
      <c r="AR98" s="58">
        <f t="shared" si="50"/>
        <v>2832.1400000000003</v>
      </c>
      <c r="AS98" s="58">
        <f t="shared" si="51"/>
        <v>473.58</v>
      </c>
      <c r="AT98" s="58">
        <f t="shared" si="52"/>
        <v>1768.36</v>
      </c>
      <c r="AU98" s="58">
        <f t="shared" si="53"/>
        <v>144.30999999999997</v>
      </c>
      <c r="AV98" s="58">
        <f t="shared" si="68"/>
        <v>1727.54</v>
      </c>
      <c r="AW98" s="59">
        <v>3</v>
      </c>
      <c r="AX98" s="59">
        <v>0</v>
      </c>
      <c r="AY98" s="59">
        <v>194.47</v>
      </c>
      <c r="AZ98" s="59">
        <v>1119.5999999999999</v>
      </c>
      <c r="BA98" s="59">
        <v>19.7</v>
      </c>
      <c r="BB98" s="59">
        <v>354.27</v>
      </c>
      <c r="BC98" s="59">
        <v>36.5</v>
      </c>
      <c r="BD98" s="58">
        <f t="shared" si="61"/>
        <v>3529.98</v>
      </c>
      <c r="BE98" s="59">
        <v>0.88</v>
      </c>
      <c r="BF98" s="59">
        <v>0</v>
      </c>
      <c r="BG98" s="59">
        <v>392.08</v>
      </c>
      <c r="BH98" s="59">
        <v>1323.16</v>
      </c>
      <c r="BI98" s="59">
        <v>390.3</v>
      </c>
      <c r="BJ98" s="59">
        <v>1318.87</v>
      </c>
      <c r="BK98" s="59">
        <v>104.69</v>
      </c>
      <c r="BL98" s="58">
        <f t="shared" si="62"/>
        <v>368.95</v>
      </c>
      <c r="BM98" s="59">
        <v>0</v>
      </c>
      <c r="BN98" s="59">
        <v>0</v>
      </c>
      <c r="BO98" s="59">
        <v>180.31</v>
      </c>
      <c r="BP98" s="59">
        <v>29.35</v>
      </c>
      <c r="BQ98" s="59">
        <v>62.37</v>
      </c>
      <c r="BR98" s="59">
        <v>95.22</v>
      </c>
      <c r="BS98" s="59">
        <v>1.7</v>
      </c>
      <c r="BT98" s="58">
        <f t="shared" si="63"/>
        <v>479.30999999999995</v>
      </c>
      <c r="BU98" s="59">
        <v>1.73</v>
      </c>
      <c r="BV98" s="59">
        <v>0</v>
      </c>
      <c r="BW98" s="59">
        <v>114.92</v>
      </c>
      <c r="BX98" s="59">
        <v>360.03</v>
      </c>
      <c r="BY98" s="59">
        <v>1.21</v>
      </c>
      <c r="BZ98" s="59">
        <v>0</v>
      </c>
      <c r="CA98" s="59">
        <v>1.42</v>
      </c>
      <c r="CB98" s="58">
        <f t="shared" si="57"/>
        <v>1457.7499999999998</v>
      </c>
      <c r="CC98" s="59">
        <v>12.11</v>
      </c>
      <c r="CD98" s="59">
        <v>1351.33</v>
      </c>
      <c r="CE98" s="74">
        <v>94.31</v>
      </c>
    </row>
    <row r="99" spans="1:83" x14ac:dyDescent="0.35">
      <c r="A99" s="50" t="s">
        <v>264</v>
      </c>
      <c r="B99" s="58">
        <f t="shared" si="66"/>
        <v>30446.940000000006</v>
      </c>
      <c r="C99" s="58">
        <f t="shared" si="41"/>
        <v>284.27</v>
      </c>
      <c r="D99" s="58">
        <f t="shared" si="42"/>
        <v>146.19000000000003</v>
      </c>
      <c r="E99" s="58">
        <f t="shared" si="55"/>
        <v>13643.680000000002</v>
      </c>
      <c r="F99" s="58">
        <f t="shared" si="65"/>
        <v>8995.85</v>
      </c>
      <c r="G99" s="58">
        <f t="shared" si="44"/>
        <v>1305.67</v>
      </c>
      <c r="H99" s="58">
        <f t="shared" si="45"/>
        <v>5786.08</v>
      </c>
      <c r="I99" s="58">
        <f t="shared" si="46"/>
        <v>285.20000000000005</v>
      </c>
      <c r="J99" s="58">
        <f t="shared" si="67"/>
        <v>260.45999999999998</v>
      </c>
      <c r="K99" s="59">
        <v>3.16</v>
      </c>
      <c r="L99" s="59">
        <v>102.64</v>
      </c>
      <c r="M99" s="59">
        <v>3.64</v>
      </c>
      <c r="N99" s="59">
        <v>103.16</v>
      </c>
      <c r="O99" s="59">
        <v>0.37</v>
      </c>
      <c r="P99" s="59">
        <v>47.49</v>
      </c>
      <c r="Q99" s="59">
        <v>0</v>
      </c>
      <c r="R99" s="58">
        <f t="shared" si="58"/>
        <v>4526.05</v>
      </c>
      <c r="S99" s="59">
        <v>197.95</v>
      </c>
      <c r="T99" s="59">
        <v>0</v>
      </c>
      <c r="U99" s="59">
        <v>544.79</v>
      </c>
      <c r="V99" s="59">
        <v>1500.79</v>
      </c>
      <c r="W99" s="59">
        <v>332.17</v>
      </c>
      <c r="X99" s="59">
        <v>1789.17</v>
      </c>
      <c r="Y99" s="59">
        <v>161.18</v>
      </c>
      <c r="Z99" s="58">
        <f t="shared" si="64"/>
        <v>10884.97</v>
      </c>
      <c r="AA99" s="59">
        <v>2.4</v>
      </c>
      <c r="AB99" s="59">
        <v>10281.02</v>
      </c>
      <c r="AC99" s="59">
        <v>21.02</v>
      </c>
      <c r="AD99" s="59">
        <v>430.05</v>
      </c>
      <c r="AE99" s="59">
        <v>150.47999999999999</v>
      </c>
      <c r="AF99" s="58">
        <f t="shared" si="60"/>
        <v>8766.7400000000016</v>
      </c>
      <c r="AG99" s="59">
        <v>75.41</v>
      </c>
      <c r="AH99" s="59">
        <v>34.840000000000003</v>
      </c>
      <c r="AI99" s="59">
        <v>600.04</v>
      </c>
      <c r="AJ99" s="59">
        <v>5612.26</v>
      </c>
      <c r="AK99" s="59">
        <v>234.84</v>
      </c>
      <c r="AL99" s="59">
        <v>2153.58</v>
      </c>
      <c r="AM99" s="59">
        <v>55.77</v>
      </c>
      <c r="AN99" s="58">
        <f t="shared" si="39"/>
        <v>4657.3600000000006</v>
      </c>
      <c r="AO99" s="58">
        <f t="shared" si="47"/>
        <v>5.35</v>
      </c>
      <c r="AP99" s="58">
        <f t="shared" si="48"/>
        <v>0</v>
      </c>
      <c r="AQ99" s="58">
        <f t="shared" si="49"/>
        <v>965.85</v>
      </c>
      <c r="AR99" s="58">
        <f t="shared" si="50"/>
        <v>1664.31</v>
      </c>
      <c r="AS99" s="58">
        <f t="shared" si="51"/>
        <v>308.23999999999995</v>
      </c>
      <c r="AT99" s="58">
        <f t="shared" si="52"/>
        <v>1645.3600000000001</v>
      </c>
      <c r="AU99" s="58">
        <f t="shared" si="53"/>
        <v>68.25</v>
      </c>
      <c r="AV99" s="58">
        <f t="shared" si="68"/>
        <v>1267.9699999999998</v>
      </c>
      <c r="AW99" s="59">
        <v>3.41</v>
      </c>
      <c r="AX99" s="59">
        <v>0</v>
      </c>
      <c r="AY99" s="59">
        <v>232.92</v>
      </c>
      <c r="AZ99" s="59">
        <v>660.31</v>
      </c>
      <c r="BA99" s="59">
        <v>11.62</v>
      </c>
      <c r="BB99" s="59">
        <v>342.45</v>
      </c>
      <c r="BC99" s="59">
        <v>17.260000000000002</v>
      </c>
      <c r="BD99" s="58">
        <f t="shared" si="61"/>
        <v>2758.9300000000003</v>
      </c>
      <c r="BE99" s="59">
        <v>0.88</v>
      </c>
      <c r="BF99" s="59">
        <v>0</v>
      </c>
      <c r="BG99" s="59">
        <v>378.71</v>
      </c>
      <c r="BH99" s="59">
        <v>855.89</v>
      </c>
      <c r="BI99" s="59">
        <v>252.47</v>
      </c>
      <c r="BJ99" s="59">
        <v>1221.47</v>
      </c>
      <c r="BK99" s="59">
        <v>49.51</v>
      </c>
      <c r="BL99" s="58">
        <f t="shared" si="62"/>
        <v>353.65</v>
      </c>
      <c r="BM99" s="59">
        <v>0</v>
      </c>
      <c r="BN99" s="59">
        <v>0</v>
      </c>
      <c r="BO99" s="59">
        <v>217.3</v>
      </c>
      <c r="BP99" s="59">
        <v>11.16</v>
      </c>
      <c r="BQ99" s="59">
        <v>42.94</v>
      </c>
      <c r="BR99" s="59">
        <v>81.44</v>
      </c>
      <c r="BS99" s="59">
        <v>0.81</v>
      </c>
      <c r="BT99" s="58">
        <f t="shared" si="63"/>
        <v>276.80999999999995</v>
      </c>
      <c r="BU99" s="59">
        <v>1.06</v>
      </c>
      <c r="BV99" s="59">
        <v>0</v>
      </c>
      <c r="BW99" s="59">
        <v>136.91999999999999</v>
      </c>
      <c r="BX99" s="59">
        <v>136.94999999999999</v>
      </c>
      <c r="BY99" s="59">
        <v>1.21</v>
      </c>
      <c r="BZ99" s="59">
        <v>0</v>
      </c>
      <c r="CA99" s="59">
        <v>0.67</v>
      </c>
      <c r="CB99" s="58">
        <f t="shared" si="57"/>
        <v>1351.36</v>
      </c>
      <c r="CC99" s="59">
        <v>8.7100000000000009</v>
      </c>
      <c r="CD99" s="59">
        <v>1248.3399999999999</v>
      </c>
      <c r="CE99" s="74">
        <v>94.31</v>
      </c>
    </row>
    <row r="100" spans="1:83" x14ac:dyDescent="0.35">
      <c r="A100" s="50" t="s">
        <v>488</v>
      </c>
      <c r="B100" s="58">
        <f t="shared" ref="B100" si="69">SUM(C100:I100)</f>
        <v>26627.98</v>
      </c>
      <c r="C100" s="58">
        <f t="shared" si="41"/>
        <v>268.55</v>
      </c>
      <c r="D100" s="58">
        <f t="shared" si="42"/>
        <v>147.29000000000002</v>
      </c>
      <c r="E100" s="58">
        <f t="shared" si="55"/>
        <v>14578.949999999999</v>
      </c>
      <c r="F100" s="58">
        <f t="shared" si="65"/>
        <v>4749.67</v>
      </c>
      <c r="G100" s="58">
        <f t="shared" si="44"/>
        <v>1102.67</v>
      </c>
      <c r="H100" s="58">
        <f t="shared" si="45"/>
        <v>5576.0199999999995</v>
      </c>
      <c r="I100" s="58">
        <f t="shared" si="46"/>
        <v>204.83</v>
      </c>
      <c r="J100" s="58">
        <f t="shared" ref="J100" si="70">SUM(K100:Q100)</f>
        <v>245.45000000000005</v>
      </c>
      <c r="K100" s="59">
        <v>3.04</v>
      </c>
      <c r="L100" s="59">
        <v>99.93</v>
      </c>
      <c r="M100" s="59">
        <v>3.64</v>
      </c>
      <c r="N100" s="59">
        <v>93.15</v>
      </c>
      <c r="O100" s="59">
        <v>0.36</v>
      </c>
      <c r="P100" s="59">
        <v>45.33</v>
      </c>
      <c r="Q100" s="59">
        <v>0</v>
      </c>
      <c r="R100" s="58">
        <f t="shared" ref="R100" si="71">SUM(S100:Y100)</f>
        <v>4384.3</v>
      </c>
      <c r="S100" s="59">
        <v>199.27</v>
      </c>
      <c r="T100" s="59">
        <v>0</v>
      </c>
      <c r="U100" s="59">
        <v>492.08</v>
      </c>
      <c r="V100" s="59">
        <v>1441.2</v>
      </c>
      <c r="W100" s="59">
        <v>324.58</v>
      </c>
      <c r="X100" s="59">
        <v>1765.99</v>
      </c>
      <c r="Y100" s="59">
        <v>161.18</v>
      </c>
      <c r="Z100" s="58">
        <f t="shared" ref="Z100" si="72">SUM(AA100:AE100)</f>
        <v>12132.34</v>
      </c>
      <c r="AA100" s="59">
        <v>2.69</v>
      </c>
      <c r="AB100" s="59">
        <v>11494.17</v>
      </c>
      <c r="AC100" s="59">
        <v>21.02</v>
      </c>
      <c r="AD100" s="59">
        <v>463.98</v>
      </c>
      <c r="AE100" s="59">
        <v>150.47999999999999</v>
      </c>
      <c r="AF100" s="58">
        <f t="shared" ref="AF100" si="73">SUM(AG100:AM100)</f>
        <v>4163.3599999999997</v>
      </c>
      <c r="AG100" s="59">
        <v>57.67</v>
      </c>
      <c r="AH100" s="59">
        <v>37</v>
      </c>
      <c r="AI100" s="59">
        <v>245.52</v>
      </c>
      <c r="AJ100" s="59">
        <v>1975.11</v>
      </c>
      <c r="AK100" s="59">
        <v>82.65</v>
      </c>
      <c r="AL100" s="59">
        <v>1745.78</v>
      </c>
      <c r="AM100" s="59">
        <v>19.63</v>
      </c>
      <c r="AN100" s="58">
        <f t="shared" ref="AN100" si="74">SUM(AO100:AU100)</f>
        <v>4227.3500000000004</v>
      </c>
      <c r="AO100" s="58">
        <f t="shared" si="47"/>
        <v>5.8800000000000008</v>
      </c>
      <c r="AP100" s="58">
        <f t="shared" si="48"/>
        <v>0</v>
      </c>
      <c r="AQ100" s="58">
        <f t="shared" si="49"/>
        <v>944.73</v>
      </c>
      <c r="AR100" s="58">
        <f t="shared" si="50"/>
        <v>1153.1799999999998</v>
      </c>
      <c r="AS100" s="58">
        <f t="shared" si="51"/>
        <v>231.1</v>
      </c>
      <c r="AT100" s="58">
        <f t="shared" si="52"/>
        <v>1868.4399999999998</v>
      </c>
      <c r="AU100" s="58">
        <f t="shared" si="53"/>
        <v>24.02</v>
      </c>
      <c r="AV100" s="58">
        <f t="shared" ref="AV100" si="75">SUM(AW100:BC100)</f>
        <v>1019.9600000000002</v>
      </c>
      <c r="AW100" s="59">
        <v>3.94</v>
      </c>
      <c r="AX100" s="59">
        <v>0</v>
      </c>
      <c r="AY100" s="59">
        <v>161.4</v>
      </c>
      <c r="AZ100" s="59">
        <v>508.75</v>
      </c>
      <c r="BA100" s="59">
        <v>8.9499999999999993</v>
      </c>
      <c r="BB100" s="59">
        <v>330.84</v>
      </c>
      <c r="BC100" s="59">
        <v>6.08</v>
      </c>
      <c r="BD100" s="58">
        <f t="shared" ref="BD100" si="76">SUM(BE100:BK100)</f>
        <v>2690.13</v>
      </c>
      <c r="BE100" s="59">
        <v>0.88</v>
      </c>
      <c r="BF100" s="59">
        <v>0</v>
      </c>
      <c r="BG100" s="59">
        <v>427.79</v>
      </c>
      <c r="BH100" s="59">
        <v>603.42999999999995</v>
      </c>
      <c r="BI100" s="59">
        <v>178</v>
      </c>
      <c r="BJ100" s="59">
        <v>1462.61</v>
      </c>
      <c r="BK100" s="59">
        <v>17.420000000000002</v>
      </c>
      <c r="BL100" s="58">
        <f t="shared" ref="BL100" si="77">SUM(BM100:BS100)</f>
        <v>372.16999999999996</v>
      </c>
      <c r="BM100" s="59">
        <v>0</v>
      </c>
      <c r="BN100" s="59">
        <v>0</v>
      </c>
      <c r="BO100" s="59">
        <v>250.87</v>
      </c>
      <c r="BP100" s="59">
        <v>3.09</v>
      </c>
      <c r="BQ100" s="59">
        <v>42.94</v>
      </c>
      <c r="BR100" s="59">
        <v>74.989999999999995</v>
      </c>
      <c r="BS100" s="59">
        <v>0.28000000000000003</v>
      </c>
      <c r="BT100" s="58">
        <f t="shared" ref="BT100" si="78">SUM(BU100:CA100)</f>
        <v>145.09</v>
      </c>
      <c r="BU100" s="59">
        <v>1.06</v>
      </c>
      <c r="BV100" s="59">
        <v>0</v>
      </c>
      <c r="BW100" s="59">
        <v>104.67</v>
      </c>
      <c r="BX100" s="59">
        <v>37.909999999999997</v>
      </c>
      <c r="BY100" s="59">
        <v>1.21</v>
      </c>
      <c r="BZ100" s="59">
        <v>0</v>
      </c>
      <c r="CA100" s="59">
        <v>0.24</v>
      </c>
      <c r="CB100" s="58">
        <f t="shared" ref="CB100" si="79">SUM(CC100:CE100)</f>
        <v>1475.1799999999998</v>
      </c>
      <c r="CC100" s="59">
        <v>10.36</v>
      </c>
      <c r="CD100" s="59">
        <v>1398.81</v>
      </c>
      <c r="CE100" s="74">
        <v>66.010000000000005</v>
      </c>
    </row>
    <row r="101" spans="1:83" x14ac:dyDescent="0.35">
      <c r="A101" s="50" t="s">
        <v>489</v>
      </c>
      <c r="B101" s="58">
        <f t="shared" si="66"/>
        <v>37756.19</v>
      </c>
      <c r="C101" s="58">
        <f t="shared" ref="C101" si="80">K101+S101+AG101+AO101+AA101</f>
        <v>254.95</v>
      </c>
      <c r="D101" s="58">
        <f t="shared" ref="D101" si="81">L101+T101+AH101+AP101+CC101</f>
        <v>177.55</v>
      </c>
      <c r="E101" s="58">
        <f t="shared" ref="E101" si="82">M101+U101+AB101+AI101+AQ101+CD101</f>
        <v>15398.500000000002</v>
      </c>
      <c r="F101" s="58">
        <f t="shared" ref="F101" si="83">N101+V101+AJ101+AR101+CE101+AC101</f>
        <v>13256.3</v>
      </c>
      <c r="G101" s="58">
        <f t="shared" ref="G101" si="84">O101+W101+AD101+AK101+AS101</f>
        <v>1815.9299999999998</v>
      </c>
      <c r="H101" s="58">
        <f t="shared" ref="H101" si="85">P101+X101+AE101+AL101+AT101</f>
        <v>6515.94</v>
      </c>
      <c r="I101" s="58">
        <f t="shared" ref="I101" si="86">Q101+Y101+AM101+AU101</f>
        <v>337.02</v>
      </c>
      <c r="J101" s="58">
        <f t="shared" si="67"/>
        <v>277.02999999999997</v>
      </c>
      <c r="K101" s="59">
        <v>3.09</v>
      </c>
      <c r="L101" s="59">
        <v>124.83</v>
      </c>
      <c r="M101" s="59">
        <v>3.64</v>
      </c>
      <c r="N101" s="59">
        <v>92.68</v>
      </c>
      <c r="O101" s="59">
        <v>0.56999999999999995</v>
      </c>
      <c r="P101" s="59">
        <v>52.22</v>
      </c>
      <c r="Q101" s="59">
        <v>0</v>
      </c>
      <c r="R101" s="58">
        <f t="shared" si="58"/>
        <v>5597.04</v>
      </c>
      <c r="S101" s="59">
        <v>157.77000000000001</v>
      </c>
      <c r="T101" s="59">
        <v>0</v>
      </c>
      <c r="U101" s="59">
        <v>504.52</v>
      </c>
      <c r="V101" s="59">
        <v>2316.36</v>
      </c>
      <c r="W101" s="59">
        <v>511.45</v>
      </c>
      <c r="X101" s="59">
        <v>1945.76</v>
      </c>
      <c r="Y101" s="59">
        <v>161.18</v>
      </c>
      <c r="Z101" s="58">
        <f t="shared" si="64"/>
        <v>12572.380000000001</v>
      </c>
      <c r="AA101" s="59">
        <v>2.69</v>
      </c>
      <c r="AB101" s="59">
        <v>11890.85</v>
      </c>
      <c r="AC101" s="59">
        <v>21.02</v>
      </c>
      <c r="AD101" s="59">
        <v>507.34</v>
      </c>
      <c r="AE101" s="59">
        <v>150.47999999999999</v>
      </c>
      <c r="AF101" s="58">
        <f t="shared" si="60"/>
        <v>11739.25</v>
      </c>
      <c r="AG101" s="59">
        <v>86.96</v>
      </c>
      <c r="AH101" s="59">
        <v>41.03</v>
      </c>
      <c r="AI101" s="59">
        <v>769.96</v>
      </c>
      <c r="AJ101" s="59">
        <v>7957.63</v>
      </c>
      <c r="AK101" s="59">
        <v>332.98</v>
      </c>
      <c r="AL101" s="59">
        <v>2471.62</v>
      </c>
      <c r="AM101" s="59">
        <v>79.069999999999993</v>
      </c>
      <c r="AN101" s="58">
        <f t="shared" si="39"/>
        <v>6232.75</v>
      </c>
      <c r="AO101" s="58">
        <f t="shared" ref="AO101" si="87">AW101+BE101+BM101+BU101</f>
        <v>4.4399999999999995</v>
      </c>
      <c r="AP101" s="58">
        <f t="shared" ref="AP101" si="88">AX101+BF101+BN101+BV101</f>
        <v>0</v>
      </c>
      <c r="AQ101" s="58">
        <f t="shared" ref="AQ101" si="89">AY101+BG101+BO101+BW101</f>
        <v>949.69</v>
      </c>
      <c r="AR101" s="58">
        <f t="shared" ref="AR101" si="90">AZ101+BH101+BP101+BX101</f>
        <v>2822.4</v>
      </c>
      <c r="AS101" s="58">
        <f t="shared" ref="AS101" si="91">BA101+BI101+BQ101+BY101</f>
        <v>463.59</v>
      </c>
      <c r="AT101" s="58">
        <f t="shared" ref="AT101" si="92">BB101+BJ101+BR101+BZ101</f>
        <v>1895.86</v>
      </c>
      <c r="AU101" s="58">
        <f t="shared" ref="AU101" si="93">BC101+BK101+BS101+CA101</f>
        <v>96.77000000000001</v>
      </c>
      <c r="AV101" s="58">
        <f t="shared" si="68"/>
        <v>1659.35</v>
      </c>
      <c r="AW101" s="59">
        <v>2.5</v>
      </c>
      <c r="AX101" s="59">
        <v>0</v>
      </c>
      <c r="AY101" s="59">
        <v>215.53</v>
      </c>
      <c r="AZ101" s="59">
        <v>1062.0899999999999</v>
      </c>
      <c r="BA101" s="59">
        <v>18.690000000000001</v>
      </c>
      <c r="BB101" s="59">
        <v>336.06</v>
      </c>
      <c r="BC101" s="59">
        <v>24.48</v>
      </c>
      <c r="BD101" s="58">
        <f t="shared" si="61"/>
        <v>3623.16</v>
      </c>
      <c r="BE101" s="59">
        <v>0.88</v>
      </c>
      <c r="BF101" s="59">
        <v>0</v>
      </c>
      <c r="BG101" s="59">
        <v>405.75</v>
      </c>
      <c r="BH101" s="59">
        <v>1292.71</v>
      </c>
      <c r="BI101" s="59">
        <v>381.32</v>
      </c>
      <c r="BJ101" s="59">
        <v>1472.3</v>
      </c>
      <c r="BK101" s="59">
        <v>70.2</v>
      </c>
      <c r="BL101" s="58">
        <f t="shared" si="62"/>
        <v>408.59999999999997</v>
      </c>
      <c r="BM101" s="59">
        <v>0</v>
      </c>
      <c r="BN101" s="59">
        <v>0</v>
      </c>
      <c r="BO101" s="59">
        <v>222.35</v>
      </c>
      <c r="BP101" s="59">
        <v>35.24</v>
      </c>
      <c r="BQ101" s="59">
        <v>62.37</v>
      </c>
      <c r="BR101" s="59">
        <v>87.5</v>
      </c>
      <c r="BS101" s="59">
        <v>1.1399999999999999</v>
      </c>
      <c r="BT101" s="58">
        <f t="shared" si="63"/>
        <v>541.6400000000001</v>
      </c>
      <c r="BU101" s="59">
        <v>1.06</v>
      </c>
      <c r="BV101" s="59">
        <v>0</v>
      </c>
      <c r="BW101" s="59">
        <v>106.06</v>
      </c>
      <c r="BX101" s="59">
        <v>432.36</v>
      </c>
      <c r="BY101" s="59">
        <v>1.21</v>
      </c>
      <c r="BZ101" s="59">
        <v>0</v>
      </c>
      <c r="CA101" s="59">
        <v>0.95</v>
      </c>
      <c r="CB101" s="58">
        <f t="shared" si="57"/>
        <v>1337.74</v>
      </c>
      <c r="CC101" s="59">
        <v>11.69</v>
      </c>
      <c r="CD101" s="59">
        <v>1279.8399999999999</v>
      </c>
      <c r="CE101" s="74">
        <v>46.21</v>
      </c>
    </row>
    <row r="102" spans="1:83" x14ac:dyDescent="0.35">
      <c r="A102" s="50" t="s">
        <v>492</v>
      </c>
      <c r="B102" s="58">
        <f t="shared" ref="B102" si="94">SUM(C102:I102)</f>
        <v>38590.69</v>
      </c>
      <c r="C102" s="58">
        <f t="shared" ref="C102" si="95">K102+S102+AG102+AO102+AA102</f>
        <v>331.68</v>
      </c>
      <c r="D102" s="58">
        <f t="shared" ref="D102" si="96">L102+T102+AH102+AP102+CC102</f>
        <v>140.26</v>
      </c>
      <c r="E102" s="58">
        <f t="shared" ref="E102" si="97">M102+U102+AB102+AI102+AQ102+CD102</f>
        <v>14186.83</v>
      </c>
      <c r="F102" s="58">
        <f t="shared" ref="F102" si="98">N102+V102+AJ102+AR102+CE102+AC102</f>
        <v>14959.68</v>
      </c>
      <c r="G102" s="58">
        <f t="shared" ref="G102" si="99">O102+W102+AD102+AK102+AS102</f>
        <v>2032.95</v>
      </c>
      <c r="H102" s="58">
        <f t="shared" ref="H102" si="100">P102+X102+AE102+AL102+AT102</f>
        <v>6517.62</v>
      </c>
      <c r="I102" s="58">
        <f t="shared" ref="I102" si="101">Q102+Y102+AM102+AU102</f>
        <v>421.67</v>
      </c>
      <c r="J102" s="58">
        <f t="shared" si="67"/>
        <v>269.52</v>
      </c>
      <c r="K102" s="59">
        <v>3.55</v>
      </c>
      <c r="L102" s="59">
        <v>96.48</v>
      </c>
      <c r="M102" s="59">
        <v>4.18</v>
      </c>
      <c r="N102" s="59">
        <v>123.19</v>
      </c>
      <c r="O102" s="59">
        <v>0.01</v>
      </c>
      <c r="P102" s="59">
        <v>42.11</v>
      </c>
      <c r="Q102" s="59">
        <v>0</v>
      </c>
      <c r="R102" s="58">
        <f t="shared" si="58"/>
        <v>5636.57</v>
      </c>
      <c r="S102" s="59">
        <v>219.26</v>
      </c>
      <c r="T102" s="59">
        <v>0</v>
      </c>
      <c r="U102" s="59">
        <v>544.70000000000005</v>
      </c>
      <c r="V102" s="59">
        <v>2266.91</v>
      </c>
      <c r="W102" s="59">
        <v>564.46</v>
      </c>
      <c r="X102" s="59">
        <v>1891.05</v>
      </c>
      <c r="Y102" s="59">
        <v>150.19</v>
      </c>
      <c r="Z102" s="58">
        <f t="shared" si="64"/>
        <v>11634.68</v>
      </c>
      <c r="AA102" s="59">
        <v>2.69</v>
      </c>
      <c r="AB102" s="59">
        <v>10935.32</v>
      </c>
      <c r="AC102" s="59">
        <v>22.66</v>
      </c>
      <c r="AD102" s="59">
        <v>482.66</v>
      </c>
      <c r="AE102" s="59">
        <v>191.35</v>
      </c>
      <c r="AF102" s="58">
        <f t="shared" si="60"/>
        <v>13713.009999999998</v>
      </c>
      <c r="AG102" s="59">
        <v>100.64</v>
      </c>
      <c r="AH102" s="59">
        <v>34.64</v>
      </c>
      <c r="AI102" s="59">
        <v>662.86</v>
      </c>
      <c r="AJ102" s="59">
        <v>9813.74</v>
      </c>
      <c r="AK102" s="59">
        <v>514.79</v>
      </c>
      <c r="AL102" s="59">
        <v>2467.1</v>
      </c>
      <c r="AM102" s="59">
        <v>119.24</v>
      </c>
      <c r="AN102" s="58">
        <f t="shared" ref="AN102" si="102">SUM(AO102:AU102)</f>
        <v>6041.3</v>
      </c>
      <c r="AO102" s="58">
        <f t="shared" ref="AO102" si="103">AW102+BE102+BM102+BU102</f>
        <v>5.54</v>
      </c>
      <c r="AP102" s="58">
        <f t="shared" ref="AP102" si="104">AX102+BF102+BN102+BV102</f>
        <v>0</v>
      </c>
      <c r="AQ102" s="58">
        <f t="shared" ref="AQ102" si="105">AY102+BG102+BO102+BW102</f>
        <v>799.51</v>
      </c>
      <c r="AR102" s="58">
        <f t="shared" ref="AR102" si="106">AZ102+BH102+BP102+BX102</f>
        <v>2686.9700000000003</v>
      </c>
      <c r="AS102" s="58">
        <f t="shared" ref="AS102" si="107">BA102+BI102+BQ102+BY102</f>
        <v>471.03</v>
      </c>
      <c r="AT102" s="58">
        <f t="shared" ref="AT102" si="108">BB102+BJ102+BR102+BZ102</f>
        <v>1926.01</v>
      </c>
      <c r="AU102" s="58">
        <f t="shared" ref="AU102" si="109">BC102+BK102+BS102+CA102</f>
        <v>152.24</v>
      </c>
      <c r="AV102" s="58">
        <f t="shared" ref="AV102" si="110">SUM(AW102:BC102)</f>
        <v>1606.62</v>
      </c>
      <c r="AW102" s="59">
        <v>2.93</v>
      </c>
      <c r="AX102" s="59">
        <v>0</v>
      </c>
      <c r="AY102" s="59">
        <v>149.91999999999999</v>
      </c>
      <c r="AZ102" s="59">
        <v>1058.19</v>
      </c>
      <c r="BA102" s="59">
        <v>17.579999999999998</v>
      </c>
      <c r="BB102" s="59">
        <v>342.46</v>
      </c>
      <c r="BC102" s="59">
        <v>35.54</v>
      </c>
      <c r="BD102" s="58">
        <f t="shared" si="61"/>
        <v>3694.89</v>
      </c>
      <c r="BE102" s="59">
        <v>0.88</v>
      </c>
      <c r="BF102" s="59">
        <v>0</v>
      </c>
      <c r="BG102" s="59">
        <v>426.68</v>
      </c>
      <c r="BH102" s="59">
        <v>1257.53</v>
      </c>
      <c r="BI102" s="59">
        <v>400.74</v>
      </c>
      <c r="BJ102" s="59">
        <v>1494.94</v>
      </c>
      <c r="BK102" s="59">
        <v>114.12</v>
      </c>
      <c r="BL102" s="58">
        <f t="shared" si="62"/>
        <v>303.49</v>
      </c>
      <c r="BM102" s="59">
        <v>0</v>
      </c>
      <c r="BN102" s="59">
        <v>0</v>
      </c>
      <c r="BO102" s="59">
        <v>136.18</v>
      </c>
      <c r="BP102" s="59">
        <v>25.99</v>
      </c>
      <c r="BQ102" s="59">
        <v>51.5</v>
      </c>
      <c r="BR102" s="59">
        <v>88.61</v>
      </c>
      <c r="BS102" s="59">
        <v>1.21</v>
      </c>
      <c r="BT102" s="58">
        <f t="shared" si="63"/>
        <v>436.3</v>
      </c>
      <c r="BU102" s="59">
        <v>1.73</v>
      </c>
      <c r="BV102" s="59">
        <v>0</v>
      </c>
      <c r="BW102" s="59">
        <v>86.73</v>
      </c>
      <c r="BX102" s="59">
        <v>345.26</v>
      </c>
      <c r="BY102" s="59">
        <v>1.21</v>
      </c>
      <c r="BZ102" s="59">
        <v>0</v>
      </c>
      <c r="CA102" s="59">
        <v>1.37</v>
      </c>
      <c r="CB102" s="58">
        <f t="shared" ref="CB102:CB108" si="111">SUM(CC102:CE102)</f>
        <v>1295.6100000000001</v>
      </c>
      <c r="CC102" s="59">
        <v>9.14</v>
      </c>
      <c r="CD102" s="59">
        <v>1240.26</v>
      </c>
      <c r="CE102" s="74">
        <v>46.21</v>
      </c>
    </row>
    <row r="103" spans="1:83" x14ac:dyDescent="0.35">
      <c r="A103" s="50" t="s">
        <v>493</v>
      </c>
      <c r="B103" s="58">
        <f t="shared" ref="B103" si="112">SUM(C103:I103)</f>
        <v>29535.83</v>
      </c>
      <c r="C103" s="58">
        <f t="shared" ref="C103" si="113">K103+S103+AG103+AO103+AA103</f>
        <v>278.73999999999995</v>
      </c>
      <c r="D103" s="58">
        <f t="shared" ref="D103" si="114">L103+T103+AH103+AP103+CC103</f>
        <v>138.63999999999999</v>
      </c>
      <c r="E103" s="58">
        <f t="shared" ref="E103" si="115">M103+U103+AB103+AI103+AQ103+CD103</f>
        <v>14974.07</v>
      </c>
      <c r="F103" s="58">
        <f t="shared" ref="F103" si="116">N103+V103+AJ103+AR103+CE103+AC103</f>
        <v>6957.7699999999995</v>
      </c>
      <c r="G103" s="58">
        <f t="shared" ref="G103" si="117">O103+W103+AD103+AK103+AS103</f>
        <v>1455.4899999999998</v>
      </c>
      <c r="H103" s="58">
        <f t="shared" ref="H103" si="118">P103+X103+AE103+AL103+AT103</f>
        <v>5476.51</v>
      </c>
      <c r="I103" s="58">
        <f t="shared" ref="I103" si="119">Q103+Y103+AM103+AU103</f>
        <v>254.61</v>
      </c>
      <c r="J103" s="58">
        <f t="shared" ref="J103" si="120">SUM(K103:Q103)</f>
        <v>237.19</v>
      </c>
      <c r="K103" s="59">
        <v>3.98</v>
      </c>
      <c r="L103" s="59">
        <v>94.31</v>
      </c>
      <c r="M103" s="59">
        <v>4.1900000000000004</v>
      </c>
      <c r="N103" s="59">
        <v>91.21</v>
      </c>
      <c r="O103" s="59">
        <v>0</v>
      </c>
      <c r="P103" s="59">
        <v>43.5</v>
      </c>
      <c r="Q103" s="59">
        <v>0</v>
      </c>
      <c r="R103" s="58">
        <f t="shared" si="58"/>
        <v>4351.03</v>
      </c>
      <c r="S103" s="59">
        <v>200.05</v>
      </c>
      <c r="T103" s="59">
        <v>0</v>
      </c>
      <c r="U103" s="59">
        <v>483.48</v>
      </c>
      <c r="V103" s="59">
        <v>1428.95</v>
      </c>
      <c r="W103" s="59">
        <v>359</v>
      </c>
      <c r="X103" s="59">
        <v>1729.36</v>
      </c>
      <c r="Y103" s="59">
        <v>150.19</v>
      </c>
      <c r="Z103" s="58">
        <f t="shared" si="64"/>
        <v>12904.990000000002</v>
      </c>
      <c r="AA103" s="59">
        <v>2.69</v>
      </c>
      <c r="AB103" s="59">
        <v>12097.03</v>
      </c>
      <c r="AC103" s="59">
        <v>24.33</v>
      </c>
      <c r="AD103" s="59">
        <v>589.59</v>
      </c>
      <c r="AE103" s="59">
        <v>191.35</v>
      </c>
      <c r="AF103" s="58">
        <f t="shared" si="60"/>
        <v>6348.7899999999991</v>
      </c>
      <c r="AG103" s="59">
        <v>66.989999999999995</v>
      </c>
      <c r="AH103" s="59">
        <v>35.07</v>
      </c>
      <c r="AI103" s="59">
        <v>352.84</v>
      </c>
      <c r="AJ103" s="59">
        <v>3774.41</v>
      </c>
      <c r="AK103" s="59">
        <v>197.99</v>
      </c>
      <c r="AL103" s="59">
        <v>1875.63</v>
      </c>
      <c r="AM103" s="59">
        <v>45.86</v>
      </c>
      <c r="AN103" s="58">
        <f t="shared" ref="AN103" si="121">SUM(AO103:AU103)</f>
        <v>4392.3900000000003</v>
      </c>
      <c r="AO103" s="58">
        <f t="shared" ref="AO103" si="122">AW103+BE103+BM103+BU103</f>
        <v>5.0299999999999994</v>
      </c>
      <c r="AP103" s="58">
        <f t="shared" ref="AP103" si="123">AX103+BF103+BN103+BV103</f>
        <v>0</v>
      </c>
      <c r="AQ103" s="58">
        <f t="shared" ref="AQ103" si="124">AY103+BG103+BO103+BW103</f>
        <v>790.56000000000006</v>
      </c>
      <c r="AR103" s="58">
        <f t="shared" ref="AR103" si="125">AZ103+BH103+BP103+BX103</f>
        <v>1592.66</v>
      </c>
      <c r="AS103" s="58">
        <f t="shared" ref="AS103" si="126">BA103+BI103+BQ103+BY103</f>
        <v>308.90999999999991</v>
      </c>
      <c r="AT103" s="58">
        <f t="shared" ref="AT103" si="127">BB103+BJ103+BR103+BZ103</f>
        <v>1636.6700000000003</v>
      </c>
      <c r="AU103" s="58">
        <f t="shared" ref="AU103" si="128">BC103+BK103+BS103+CA103</f>
        <v>58.56</v>
      </c>
      <c r="AV103" s="58">
        <f t="shared" ref="AV103" si="129">SUM(AW103:BC103)</f>
        <v>1123.3200000000002</v>
      </c>
      <c r="AW103" s="59">
        <v>3.09</v>
      </c>
      <c r="AX103" s="59">
        <v>0</v>
      </c>
      <c r="AY103" s="59">
        <v>135.91999999999999</v>
      </c>
      <c r="AZ103" s="59">
        <v>630.05999999999995</v>
      </c>
      <c r="BA103" s="59">
        <v>10.46</v>
      </c>
      <c r="BB103" s="59">
        <v>330.12</v>
      </c>
      <c r="BC103" s="59">
        <v>13.67</v>
      </c>
      <c r="BD103" s="58">
        <f t="shared" si="61"/>
        <v>2761.3700000000003</v>
      </c>
      <c r="BE103" s="59">
        <v>0.88</v>
      </c>
      <c r="BF103" s="59">
        <v>0</v>
      </c>
      <c r="BG103" s="59">
        <v>365.48</v>
      </c>
      <c r="BH103" s="59">
        <v>821.44</v>
      </c>
      <c r="BI103" s="59">
        <v>261.77</v>
      </c>
      <c r="BJ103" s="59">
        <v>1267.9100000000001</v>
      </c>
      <c r="BK103" s="59">
        <v>43.89</v>
      </c>
      <c r="BL103" s="58">
        <f t="shared" si="62"/>
        <v>290.52000000000004</v>
      </c>
      <c r="BM103" s="59">
        <v>0</v>
      </c>
      <c r="BN103" s="59">
        <v>0</v>
      </c>
      <c r="BO103" s="59">
        <v>206.06</v>
      </c>
      <c r="BP103" s="59">
        <v>9.8800000000000008</v>
      </c>
      <c r="BQ103" s="59">
        <v>35.47</v>
      </c>
      <c r="BR103" s="59">
        <v>38.64</v>
      </c>
      <c r="BS103" s="59">
        <v>0.47</v>
      </c>
      <c r="BT103" s="58">
        <f t="shared" si="63"/>
        <v>217.18</v>
      </c>
      <c r="BU103" s="59">
        <v>1.06</v>
      </c>
      <c r="BV103" s="59">
        <v>0</v>
      </c>
      <c r="BW103" s="59">
        <v>83.1</v>
      </c>
      <c r="BX103" s="59">
        <v>131.28</v>
      </c>
      <c r="BY103" s="59">
        <v>1.21</v>
      </c>
      <c r="BZ103" s="59">
        <v>0</v>
      </c>
      <c r="CA103" s="59">
        <v>0.53</v>
      </c>
      <c r="CB103" s="58">
        <f t="shared" si="111"/>
        <v>1301.44</v>
      </c>
      <c r="CC103" s="59">
        <v>9.26</v>
      </c>
      <c r="CD103" s="59">
        <v>1245.97</v>
      </c>
      <c r="CE103" s="74">
        <v>46.21</v>
      </c>
    </row>
    <row r="104" spans="1:83" x14ac:dyDescent="0.35">
      <c r="A104" s="50" t="s">
        <v>496</v>
      </c>
      <c r="B104" s="58">
        <f t="shared" ref="B104" si="130">SUM(C104:I104)</f>
        <v>26716.530000000002</v>
      </c>
      <c r="C104" s="58">
        <f t="shared" ref="C104" si="131">K104+S104+AG104+AO104+AA104</f>
        <v>202.95</v>
      </c>
      <c r="D104" s="58">
        <f t="shared" ref="D104" si="132">L104+T104+AH104+AP104+CC104</f>
        <v>139.61000000000001</v>
      </c>
      <c r="E104" s="58">
        <f t="shared" ref="E104" si="133">M104+U104+AB104+AI104+AQ104+CD104</f>
        <v>15219.330000000002</v>
      </c>
      <c r="F104" s="58">
        <f t="shared" ref="F104" si="134">N104+V104+AJ104+AR104+CE104+AC104</f>
        <v>4339.59</v>
      </c>
      <c r="G104" s="58">
        <f t="shared" ref="G104" si="135">O104+W104+AD104+AK104+AS104</f>
        <v>1284.33</v>
      </c>
      <c r="H104" s="58">
        <f t="shared" ref="H104" si="136">P104+X104+AE104+AL104+AT104</f>
        <v>5333.3099999999995</v>
      </c>
      <c r="I104" s="58">
        <f t="shared" ref="I104" si="137">Q104+Y104+AM104+AU104</f>
        <v>197.41</v>
      </c>
      <c r="J104" s="58">
        <f t="shared" ref="J104" si="138">SUM(K104:Q104)</f>
        <v>238.95</v>
      </c>
      <c r="K104" s="59">
        <v>4.3899999999999997</v>
      </c>
      <c r="L104" s="59">
        <v>85.47</v>
      </c>
      <c r="M104" s="59">
        <v>4.1900000000000004</v>
      </c>
      <c r="N104" s="59">
        <v>102.48</v>
      </c>
      <c r="O104" s="59">
        <v>0</v>
      </c>
      <c r="P104" s="59">
        <v>42.42</v>
      </c>
      <c r="Q104" s="59">
        <v>0</v>
      </c>
      <c r="R104" s="58">
        <f t="shared" ref="R104:R117" si="139">SUM(S104:Y104)</f>
        <v>4161.8899999999994</v>
      </c>
      <c r="S104" s="59">
        <v>144.65</v>
      </c>
      <c r="T104" s="59">
        <v>0</v>
      </c>
      <c r="U104" s="59">
        <v>451.7</v>
      </c>
      <c r="V104" s="59">
        <v>1323.96</v>
      </c>
      <c r="W104" s="59">
        <v>336.87</v>
      </c>
      <c r="X104" s="59">
        <v>1754.52</v>
      </c>
      <c r="Y104" s="59">
        <v>150.19</v>
      </c>
      <c r="Z104" s="58">
        <f t="shared" ref="Z104:Z117" si="140">SUM(AA104:AE104)</f>
        <v>13251.480000000001</v>
      </c>
      <c r="AA104" s="59">
        <v>2.69</v>
      </c>
      <c r="AB104" s="59">
        <v>12409.27</v>
      </c>
      <c r="AC104" s="59">
        <v>26.32</v>
      </c>
      <c r="AD104" s="59">
        <v>621.85</v>
      </c>
      <c r="AE104" s="59">
        <v>191.35</v>
      </c>
      <c r="AF104" s="58">
        <f t="shared" ref="AF104:AF117" si="141">SUM(AG104:AM104)</f>
        <v>3821.5</v>
      </c>
      <c r="AG104" s="59">
        <v>46.91</v>
      </c>
      <c r="AH104" s="59">
        <v>44.83</v>
      </c>
      <c r="AI104" s="59">
        <v>188.42</v>
      </c>
      <c r="AJ104" s="59">
        <v>1707.34</v>
      </c>
      <c r="AK104" s="59">
        <v>89.56</v>
      </c>
      <c r="AL104" s="59">
        <v>1723.7</v>
      </c>
      <c r="AM104" s="59">
        <v>20.74</v>
      </c>
      <c r="AN104" s="58">
        <f t="shared" ref="AN104" si="142">SUM(AO104:AU104)</f>
        <v>3910.0099999999998</v>
      </c>
      <c r="AO104" s="58">
        <f t="shared" ref="AO104" si="143">AW104+BE104+BM104+BU104</f>
        <v>4.3100000000000005</v>
      </c>
      <c r="AP104" s="58">
        <f t="shared" ref="AP104" si="144">AX104+BF104+BN104+BV104</f>
        <v>0</v>
      </c>
      <c r="AQ104" s="58">
        <f t="shared" ref="AQ104" si="145">AY104+BG104+BO104+BW104</f>
        <v>874.71</v>
      </c>
      <c r="AR104" s="58">
        <f t="shared" ref="AR104" si="146">AZ104+BH104+BP104+BX104</f>
        <v>1147.1399999999999</v>
      </c>
      <c r="AS104" s="58">
        <f t="shared" ref="AS104" si="147">BA104+BI104+BQ104+BY104</f>
        <v>236.04999999999998</v>
      </c>
      <c r="AT104" s="58">
        <f t="shared" ref="AT104" si="148">BB104+BJ104+BR104+BZ104</f>
        <v>1621.32</v>
      </c>
      <c r="AU104" s="58">
        <f t="shared" ref="AU104" si="149">BC104+BK104+BS104+CA104</f>
        <v>26.48</v>
      </c>
      <c r="AV104" s="58">
        <f t="shared" ref="AV104" si="150">SUM(AW104:BC104)</f>
        <v>971.82999999999981</v>
      </c>
      <c r="AW104" s="59">
        <v>2.37</v>
      </c>
      <c r="AX104" s="59">
        <v>0</v>
      </c>
      <c r="AY104" s="59">
        <v>130.07</v>
      </c>
      <c r="AZ104" s="59">
        <v>507.13</v>
      </c>
      <c r="BA104" s="59">
        <v>8.42</v>
      </c>
      <c r="BB104" s="59">
        <v>317.66000000000003</v>
      </c>
      <c r="BC104" s="59">
        <v>6.18</v>
      </c>
      <c r="BD104" s="58">
        <f t="shared" ref="BD104:BD117" si="151">SUM(BE104:BK104)</f>
        <v>2455.41</v>
      </c>
      <c r="BE104" s="59">
        <v>0.88</v>
      </c>
      <c r="BF104" s="59">
        <v>0</v>
      </c>
      <c r="BG104" s="59">
        <v>414.98</v>
      </c>
      <c r="BH104" s="59">
        <v>599.20000000000005</v>
      </c>
      <c r="BI104" s="59">
        <v>190.95</v>
      </c>
      <c r="BJ104" s="59">
        <v>1229.55</v>
      </c>
      <c r="BK104" s="59">
        <v>19.850000000000001</v>
      </c>
      <c r="BL104" s="58">
        <f t="shared" ref="BL104:BL117" si="152">SUM(BM104:BS104)</f>
        <v>354.12</v>
      </c>
      <c r="BM104" s="59">
        <v>0</v>
      </c>
      <c r="BN104" s="59">
        <v>0</v>
      </c>
      <c r="BO104" s="59">
        <v>241.47</v>
      </c>
      <c r="BP104" s="59">
        <v>2.86</v>
      </c>
      <c r="BQ104" s="59">
        <v>35.47</v>
      </c>
      <c r="BR104" s="59">
        <v>74.11</v>
      </c>
      <c r="BS104" s="59">
        <v>0.21</v>
      </c>
      <c r="BT104" s="58">
        <f t="shared" ref="BT104:BT117" si="153">SUM(BU104:CA104)</f>
        <v>128.65</v>
      </c>
      <c r="BU104" s="59">
        <v>1.06</v>
      </c>
      <c r="BV104" s="59">
        <v>0</v>
      </c>
      <c r="BW104" s="59">
        <v>88.19</v>
      </c>
      <c r="BX104" s="59">
        <v>37.950000000000003</v>
      </c>
      <c r="BY104" s="59">
        <v>1.21</v>
      </c>
      <c r="BZ104" s="59">
        <v>0</v>
      </c>
      <c r="CA104" s="59">
        <v>0.24</v>
      </c>
      <c r="CB104" s="58">
        <f t="shared" si="111"/>
        <v>1332.6999999999998</v>
      </c>
      <c r="CC104" s="59">
        <v>9.31</v>
      </c>
      <c r="CD104" s="59">
        <v>1291.04</v>
      </c>
      <c r="CE104" s="74">
        <v>32.35</v>
      </c>
    </row>
    <row r="105" spans="1:83" x14ac:dyDescent="0.35">
      <c r="A105" s="50" t="s">
        <v>498</v>
      </c>
      <c r="B105" s="58">
        <f t="shared" ref="B105" si="154">SUM(C105:I105)</f>
        <v>35319.82</v>
      </c>
      <c r="C105" s="58">
        <f t="shared" ref="C105" si="155">K105+S105+AG105+AO105+AA105</f>
        <v>234.03</v>
      </c>
      <c r="D105" s="58">
        <f t="shared" ref="D105" si="156">L105+T105+AH105+AP105+CC105</f>
        <v>178.06</v>
      </c>
      <c r="E105" s="58">
        <f t="shared" ref="E105" si="157">M105+U105+AB105+AI105+AQ105+CD105</f>
        <v>15192.369999999999</v>
      </c>
      <c r="F105" s="58">
        <f t="shared" ref="F105" si="158">N105+V105+AJ105+AR105+CE105+AC105</f>
        <v>11417.010000000002</v>
      </c>
      <c r="G105" s="58">
        <f t="shared" ref="G105" si="159">O105+W105+AD105+AK105+AS105</f>
        <v>1911.8</v>
      </c>
      <c r="H105" s="58">
        <f t="shared" ref="H105" si="160">P105+X105+AE105+AL105+AT105</f>
        <v>6041.99</v>
      </c>
      <c r="I105" s="58">
        <f t="shared" ref="I105" si="161">Q105+Y105+AM105+AU105</f>
        <v>344.56</v>
      </c>
      <c r="J105" s="58">
        <f t="shared" ref="J105" si="162">SUM(K105:Q105)</f>
        <v>307.27</v>
      </c>
      <c r="K105" s="59">
        <v>4.82</v>
      </c>
      <c r="L105" s="59">
        <v>121.48</v>
      </c>
      <c r="M105" s="59">
        <v>4.1900000000000004</v>
      </c>
      <c r="N105" s="59">
        <v>133.36000000000001</v>
      </c>
      <c r="O105" s="59">
        <v>0.01</v>
      </c>
      <c r="P105" s="59">
        <v>43.41</v>
      </c>
      <c r="Q105" s="59">
        <v>0</v>
      </c>
      <c r="R105" s="58">
        <f t="shared" si="139"/>
        <v>4823.6799999999994</v>
      </c>
      <c r="S105" s="59">
        <v>132.69</v>
      </c>
      <c r="T105" s="59">
        <v>0</v>
      </c>
      <c r="U105" s="59">
        <v>463.88</v>
      </c>
      <c r="V105" s="59">
        <v>1797.94</v>
      </c>
      <c r="W105" s="59">
        <v>456.1</v>
      </c>
      <c r="X105" s="59">
        <v>1822.88</v>
      </c>
      <c r="Y105" s="59">
        <v>150.19</v>
      </c>
      <c r="Z105" s="58">
        <f t="shared" si="140"/>
        <v>12862.61</v>
      </c>
      <c r="AA105" s="59">
        <v>2.69</v>
      </c>
      <c r="AB105" s="59">
        <v>11979.72</v>
      </c>
      <c r="AC105" s="59">
        <v>28.44</v>
      </c>
      <c r="AD105" s="59">
        <v>660.41</v>
      </c>
      <c r="AE105" s="59">
        <v>191.35</v>
      </c>
      <c r="AF105" s="58">
        <f t="shared" si="141"/>
        <v>10510.320000000002</v>
      </c>
      <c r="AG105" s="59">
        <v>89.78</v>
      </c>
      <c r="AH105" s="59">
        <v>45.37</v>
      </c>
      <c r="AI105" s="59">
        <v>703.31</v>
      </c>
      <c r="AJ105" s="59">
        <v>7026.1</v>
      </c>
      <c r="AK105" s="59">
        <v>368.56</v>
      </c>
      <c r="AL105" s="59">
        <v>2191.83</v>
      </c>
      <c r="AM105" s="59">
        <v>85.37</v>
      </c>
      <c r="AN105" s="58">
        <f t="shared" ref="AN105" si="163">SUM(AO105:AU105)</f>
        <v>5661.48</v>
      </c>
      <c r="AO105" s="58">
        <f t="shared" ref="AO105" si="164">AW105+BE105+BM105+BU105</f>
        <v>4.05</v>
      </c>
      <c r="AP105" s="58">
        <f t="shared" ref="AP105" si="165">AX105+BF105+BN105+BV105</f>
        <v>0</v>
      </c>
      <c r="AQ105" s="58">
        <f t="shared" ref="AQ105" si="166">AY105+BG105+BO105+BW105</f>
        <v>898.02</v>
      </c>
      <c r="AR105" s="58">
        <f t="shared" ref="AR105" si="167">AZ105+BH105+BP105+BX105</f>
        <v>2431.17</v>
      </c>
      <c r="AS105" s="58">
        <f t="shared" ref="AS105" si="168">BA105+BI105+BQ105+BY105</f>
        <v>426.71999999999997</v>
      </c>
      <c r="AT105" s="58">
        <f t="shared" ref="AT105" si="169">BB105+BJ105+BR105+BZ105</f>
        <v>1792.52</v>
      </c>
      <c r="AU105" s="58">
        <f t="shared" ref="AU105" si="170">BC105+BK105+BS105+CA105</f>
        <v>109.00000000000001</v>
      </c>
      <c r="AV105" s="58">
        <f t="shared" ref="AV105" si="171">SUM(AW105:BC105)</f>
        <v>1473.6000000000001</v>
      </c>
      <c r="AW105" s="59">
        <v>2.11</v>
      </c>
      <c r="AX105" s="59">
        <v>0</v>
      </c>
      <c r="AY105" s="59">
        <v>199.65</v>
      </c>
      <c r="AZ105" s="59">
        <v>899.96</v>
      </c>
      <c r="BA105" s="59">
        <v>14.95</v>
      </c>
      <c r="BB105" s="59">
        <v>331.48</v>
      </c>
      <c r="BC105" s="59">
        <v>25.45</v>
      </c>
      <c r="BD105" s="58">
        <f t="shared" si="151"/>
        <v>3294.5599999999995</v>
      </c>
      <c r="BE105" s="59">
        <v>0.88</v>
      </c>
      <c r="BF105" s="59">
        <v>0</v>
      </c>
      <c r="BG105" s="59">
        <v>391.51</v>
      </c>
      <c r="BH105" s="59">
        <v>1126.75</v>
      </c>
      <c r="BI105" s="59">
        <v>359.06</v>
      </c>
      <c r="BJ105" s="59">
        <v>1334.66</v>
      </c>
      <c r="BK105" s="59">
        <v>81.7</v>
      </c>
      <c r="BL105" s="58">
        <f t="shared" si="152"/>
        <v>416.05</v>
      </c>
      <c r="BM105" s="59">
        <v>0</v>
      </c>
      <c r="BN105" s="59">
        <v>0</v>
      </c>
      <c r="BO105" s="59">
        <v>208.99</v>
      </c>
      <c r="BP105" s="59">
        <v>28.31</v>
      </c>
      <c r="BQ105" s="59">
        <v>51.5</v>
      </c>
      <c r="BR105" s="59">
        <v>126.38</v>
      </c>
      <c r="BS105" s="59">
        <v>0.87</v>
      </c>
      <c r="BT105" s="58">
        <f t="shared" si="153"/>
        <v>477.27</v>
      </c>
      <c r="BU105" s="59">
        <v>1.06</v>
      </c>
      <c r="BV105" s="59">
        <v>0</v>
      </c>
      <c r="BW105" s="59">
        <v>97.87</v>
      </c>
      <c r="BX105" s="59">
        <v>376.15</v>
      </c>
      <c r="BY105" s="59">
        <v>1.21</v>
      </c>
      <c r="BZ105" s="59">
        <v>0</v>
      </c>
      <c r="CA105" s="59">
        <v>0.98</v>
      </c>
      <c r="CB105" s="58">
        <f t="shared" si="111"/>
        <v>1154.46</v>
      </c>
      <c r="CC105" s="59">
        <v>11.21</v>
      </c>
      <c r="CD105" s="59">
        <v>1143.25</v>
      </c>
      <c r="CE105" s="74">
        <v>0</v>
      </c>
    </row>
    <row r="106" spans="1:83" x14ac:dyDescent="0.35">
      <c r="A106" s="50" t="s">
        <v>502</v>
      </c>
      <c r="B106" s="58">
        <f t="shared" ref="B106" si="172">SUM(C106:I106)</f>
        <v>38119.219999999994</v>
      </c>
      <c r="C106" s="58">
        <f t="shared" ref="C106" si="173">K106+S106+AG106+AO106+AA106</f>
        <v>264.29999999999995</v>
      </c>
      <c r="D106" s="58">
        <f t="shared" ref="D106" si="174">L106+T106+AH106+AP106+CC106</f>
        <v>115.36000000000001</v>
      </c>
      <c r="E106" s="58">
        <f t="shared" ref="E106" si="175">M106+U106+AB106+AI106+AQ106+CD106</f>
        <v>14750.130000000001</v>
      </c>
      <c r="F106" s="58">
        <f t="shared" ref="F106" si="176">N106+V106+AJ106+AR106+CE106+AC106</f>
        <v>14009.049999999997</v>
      </c>
      <c r="G106" s="58">
        <f t="shared" ref="G106" si="177">O106+W106+AD106+AK106+AS106</f>
        <v>2287.52</v>
      </c>
      <c r="H106" s="58">
        <f t="shared" ref="H106" si="178">P106+X106+AE106+AL106+AT106</f>
        <v>6282.69</v>
      </c>
      <c r="I106" s="58">
        <f t="shared" ref="I106" si="179">Q106+Y106+AM106+AU106</f>
        <v>410.17</v>
      </c>
      <c r="J106" s="58">
        <f t="shared" ref="J106" si="180">SUM(K106:Q106)</f>
        <v>277.48</v>
      </c>
      <c r="K106" s="59">
        <v>5.0599999999999996</v>
      </c>
      <c r="L106" s="59">
        <v>76.37</v>
      </c>
      <c r="M106" s="59">
        <v>4.66</v>
      </c>
      <c r="N106" s="59">
        <v>144.94</v>
      </c>
      <c r="O106" s="59">
        <v>0.01</v>
      </c>
      <c r="P106" s="59">
        <v>46.44</v>
      </c>
      <c r="Q106" s="59">
        <v>0</v>
      </c>
      <c r="R106" s="58">
        <f t="shared" si="139"/>
        <v>5443.46</v>
      </c>
      <c r="S106" s="59">
        <v>187.16</v>
      </c>
      <c r="T106" s="59">
        <v>0</v>
      </c>
      <c r="U106" s="59">
        <v>535.80999999999995</v>
      </c>
      <c r="V106" s="59">
        <v>2201.69</v>
      </c>
      <c r="W106" s="59">
        <v>570.75</v>
      </c>
      <c r="X106" s="59">
        <v>1804.69</v>
      </c>
      <c r="Y106" s="59">
        <v>143.36000000000001</v>
      </c>
      <c r="Z106" s="58">
        <f t="shared" si="140"/>
        <v>12513.210000000001</v>
      </c>
      <c r="AA106" s="59">
        <v>2.69</v>
      </c>
      <c r="AB106" s="59">
        <v>11573.53</v>
      </c>
      <c r="AC106" s="59">
        <v>30.15</v>
      </c>
      <c r="AD106" s="59">
        <v>664.68</v>
      </c>
      <c r="AE106" s="59">
        <v>242.16</v>
      </c>
      <c r="AF106" s="58">
        <f t="shared" si="141"/>
        <v>12744.16</v>
      </c>
      <c r="AG106" s="59">
        <v>66.489999999999995</v>
      </c>
      <c r="AH106" s="59">
        <v>31.43</v>
      </c>
      <c r="AI106" s="59">
        <v>700.93</v>
      </c>
      <c r="AJ106" s="59">
        <v>8971.56</v>
      </c>
      <c r="AK106" s="59">
        <v>548.69000000000005</v>
      </c>
      <c r="AL106" s="59">
        <v>2308.7399999999998</v>
      </c>
      <c r="AM106" s="59">
        <v>116.32</v>
      </c>
      <c r="AN106" s="58">
        <f t="shared" ref="AN106" si="181">SUM(AO106:AU106)</f>
        <v>6017.5</v>
      </c>
      <c r="AO106" s="58">
        <f t="shared" ref="AO106" si="182">AW106+BE106+BM106+BU106</f>
        <v>2.9</v>
      </c>
      <c r="AP106" s="58">
        <f t="shared" ref="AP106" si="183">AX106+BF106+BN106+BV106</f>
        <v>0</v>
      </c>
      <c r="AQ106" s="58">
        <f t="shared" ref="AQ106" si="184">AY106+BG106+BO106+BW106</f>
        <v>819.34999999999991</v>
      </c>
      <c r="AR106" s="58">
        <f t="shared" ref="AR106" si="185">AZ106+BH106+BP106+BX106</f>
        <v>2660.71</v>
      </c>
      <c r="AS106" s="58">
        <f t="shared" ref="AS106" si="186">BA106+BI106+BQ106+BY106</f>
        <v>503.39</v>
      </c>
      <c r="AT106" s="58">
        <f t="shared" ref="AT106" si="187">BB106+BJ106+BR106+BZ106</f>
        <v>1880.6599999999999</v>
      </c>
      <c r="AU106" s="58">
        <f t="shared" ref="AU106" si="188">BC106+BK106+BS106+CA106</f>
        <v>150.49</v>
      </c>
      <c r="AV106" s="58">
        <f t="shared" ref="AV106" si="189">SUM(AW106:BC106)</f>
        <v>1610.8500000000001</v>
      </c>
      <c r="AW106" s="59">
        <v>0.28999999999999998</v>
      </c>
      <c r="AX106" s="59">
        <v>0</v>
      </c>
      <c r="AY106" s="59">
        <v>157.91999999999999</v>
      </c>
      <c r="AZ106" s="59">
        <v>1048.6199999999999</v>
      </c>
      <c r="BA106" s="59">
        <v>21.15</v>
      </c>
      <c r="BB106" s="59">
        <v>348.21</v>
      </c>
      <c r="BC106" s="59">
        <v>34.659999999999997</v>
      </c>
      <c r="BD106" s="58">
        <f t="shared" si="151"/>
        <v>3675.22</v>
      </c>
      <c r="BE106" s="59">
        <v>0.88</v>
      </c>
      <c r="BF106" s="59">
        <v>0</v>
      </c>
      <c r="BG106" s="59">
        <v>425.02</v>
      </c>
      <c r="BH106" s="59">
        <v>1246.19</v>
      </c>
      <c r="BI106" s="59">
        <v>433.1</v>
      </c>
      <c r="BJ106" s="59">
        <v>1466.33</v>
      </c>
      <c r="BK106" s="59">
        <v>103.7</v>
      </c>
      <c r="BL106" s="58">
        <f t="shared" si="152"/>
        <v>294.44</v>
      </c>
      <c r="BM106" s="59">
        <v>0</v>
      </c>
      <c r="BN106" s="59">
        <v>0</v>
      </c>
      <c r="BO106" s="59">
        <v>144</v>
      </c>
      <c r="BP106" s="59">
        <v>25.61</v>
      </c>
      <c r="BQ106" s="59">
        <v>47.93</v>
      </c>
      <c r="BR106" s="59">
        <v>66.12</v>
      </c>
      <c r="BS106" s="59">
        <v>10.78</v>
      </c>
      <c r="BT106" s="58">
        <f t="shared" si="153"/>
        <v>436.99</v>
      </c>
      <c r="BU106" s="59">
        <v>1.73</v>
      </c>
      <c r="BV106" s="59">
        <v>0</v>
      </c>
      <c r="BW106" s="59">
        <v>92.41</v>
      </c>
      <c r="BX106" s="59">
        <v>340.29</v>
      </c>
      <c r="BY106" s="59">
        <v>1.21</v>
      </c>
      <c r="BZ106" s="59">
        <v>0</v>
      </c>
      <c r="CA106" s="59">
        <v>1.35</v>
      </c>
      <c r="CB106" s="58">
        <f t="shared" si="111"/>
        <v>1123.4099999999999</v>
      </c>
      <c r="CC106" s="59">
        <v>7.56</v>
      </c>
      <c r="CD106" s="59">
        <v>1115.8499999999999</v>
      </c>
      <c r="CE106" s="74">
        <v>0</v>
      </c>
    </row>
    <row r="107" spans="1:83" x14ac:dyDescent="0.35">
      <c r="A107" s="50" t="s">
        <v>503</v>
      </c>
      <c r="B107" s="58">
        <f t="shared" ref="B107" si="190">SUM(C107:I107)</f>
        <v>29052.410000000003</v>
      </c>
      <c r="C107" s="58">
        <f t="shared" ref="C107" si="191">K107+S107+AG107+AO107+AA107</f>
        <v>184.85</v>
      </c>
      <c r="D107" s="58">
        <f t="shared" ref="D107" si="192">L107+T107+AH107+AP107+CC107</f>
        <v>111.21</v>
      </c>
      <c r="E107" s="58">
        <f t="shared" ref="E107" si="193">M107+U107+AB107+AI107+AQ107+CD107</f>
        <v>15291.79</v>
      </c>
      <c r="F107" s="58">
        <f t="shared" ref="F107" si="194">N107+V107+AJ107+AR107+CE107+AC107</f>
        <v>6206.16</v>
      </c>
      <c r="G107" s="58">
        <f t="shared" ref="G107" si="195">O107+W107+AD107+AK107+AS107</f>
        <v>1527.47</v>
      </c>
      <c r="H107" s="58">
        <f t="shared" ref="H107" si="196">P107+X107+AE107+AL107+AT107</f>
        <v>5491.6500000000005</v>
      </c>
      <c r="I107" s="58">
        <f t="shared" ref="I107" si="197">Q107+Y107+AM107+AU107</f>
        <v>239.28</v>
      </c>
      <c r="J107" s="58">
        <f t="shared" ref="J107" si="198">SUM(K107:Q107)</f>
        <v>268.56</v>
      </c>
      <c r="K107" s="59">
        <v>5.16</v>
      </c>
      <c r="L107" s="59">
        <v>79.599999999999994</v>
      </c>
      <c r="M107" s="59">
        <v>4.66</v>
      </c>
      <c r="N107" s="59">
        <v>132.12</v>
      </c>
      <c r="O107" s="59">
        <v>0</v>
      </c>
      <c r="P107" s="59">
        <v>47.02</v>
      </c>
      <c r="Q107" s="59">
        <v>0</v>
      </c>
      <c r="R107" s="58">
        <f t="shared" si="139"/>
        <v>4262.32</v>
      </c>
      <c r="S107" s="59">
        <v>145.13</v>
      </c>
      <c r="T107" s="59">
        <v>0</v>
      </c>
      <c r="U107" s="59">
        <v>532.91999999999996</v>
      </c>
      <c r="V107" s="59">
        <v>1348.21</v>
      </c>
      <c r="W107" s="59">
        <v>360.04</v>
      </c>
      <c r="X107" s="59">
        <v>1732.66</v>
      </c>
      <c r="Y107" s="59">
        <v>143.36000000000001</v>
      </c>
      <c r="Z107" s="58">
        <f t="shared" si="140"/>
        <v>13295.25</v>
      </c>
      <c r="AA107" s="59">
        <v>2.69</v>
      </c>
      <c r="AB107" s="59">
        <v>12354.92</v>
      </c>
      <c r="AC107" s="59">
        <v>33.840000000000003</v>
      </c>
      <c r="AD107" s="59">
        <v>661.64</v>
      </c>
      <c r="AE107" s="59">
        <v>242.16</v>
      </c>
      <c r="AF107" s="58">
        <f t="shared" si="141"/>
        <v>5722.66</v>
      </c>
      <c r="AG107" s="59">
        <v>29.8</v>
      </c>
      <c r="AH107" s="59">
        <v>22.39</v>
      </c>
      <c r="AI107" s="59">
        <v>402.04</v>
      </c>
      <c r="AJ107" s="59">
        <v>3225.41</v>
      </c>
      <c r="AK107" s="59">
        <v>197.26</v>
      </c>
      <c r="AL107" s="59">
        <v>1803.94</v>
      </c>
      <c r="AM107" s="59">
        <v>41.82</v>
      </c>
      <c r="AN107" s="58">
        <f t="shared" ref="AN107" si="199">SUM(AO107:AU107)</f>
        <v>4323.97</v>
      </c>
      <c r="AO107" s="58">
        <f t="shared" ref="AO107" si="200">AW107+BE107+BM107+BU107</f>
        <v>2.0700000000000003</v>
      </c>
      <c r="AP107" s="58">
        <f t="shared" ref="AP107" si="201">AX107+BF107+BN107+BV107</f>
        <v>0</v>
      </c>
      <c r="AQ107" s="58">
        <f t="shared" ref="AQ107" si="202">AY107+BG107+BO107+BW107</f>
        <v>826.82</v>
      </c>
      <c r="AR107" s="58">
        <f t="shared" ref="AR107" si="203">AZ107+BH107+BP107+BX107</f>
        <v>1466.5800000000002</v>
      </c>
      <c r="AS107" s="58">
        <f t="shared" ref="AS107" si="204">BA107+BI107+BQ107+BY107</f>
        <v>308.52999999999997</v>
      </c>
      <c r="AT107" s="58">
        <f t="shared" ref="AT107" si="205">BB107+BJ107+BR107+BZ107</f>
        <v>1665.8700000000001</v>
      </c>
      <c r="AU107" s="58">
        <f t="shared" ref="AU107" si="206">BC107+BK107+BS107+CA107</f>
        <v>54.1</v>
      </c>
      <c r="AV107" s="58">
        <f t="shared" ref="AV107" si="207">SUM(AW107:BC107)</f>
        <v>1102.1599999999999</v>
      </c>
      <c r="AW107" s="59">
        <v>0.13</v>
      </c>
      <c r="AX107" s="59">
        <v>0</v>
      </c>
      <c r="AY107" s="59">
        <v>154.81</v>
      </c>
      <c r="AZ107" s="59">
        <v>583.36</v>
      </c>
      <c r="BA107" s="59">
        <v>11.77</v>
      </c>
      <c r="BB107" s="59">
        <v>339.63</v>
      </c>
      <c r="BC107" s="59">
        <v>12.46</v>
      </c>
      <c r="BD107" s="58">
        <f t="shared" si="151"/>
        <v>2674.25</v>
      </c>
      <c r="BE107" s="59">
        <v>0.88</v>
      </c>
      <c r="BF107" s="59">
        <v>0</v>
      </c>
      <c r="BG107" s="59">
        <v>363.67</v>
      </c>
      <c r="BH107" s="59">
        <v>754.96</v>
      </c>
      <c r="BI107" s="59">
        <v>262.38</v>
      </c>
      <c r="BJ107" s="59">
        <v>1255.08</v>
      </c>
      <c r="BK107" s="59">
        <v>37.28</v>
      </c>
      <c r="BL107" s="58">
        <f t="shared" si="152"/>
        <v>332.86</v>
      </c>
      <c r="BM107" s="59">
        <v>0</v>
      </c>
      <c r="BN107" s="59">
        <v>0</v>
      </c>
      <c r="BO107" s="59">
        <v>215.68</v>
      </c>
      <c r="BP107" s="59">
        <v>8.98</v>
      </c>
      <c r="BQ107" s="59">
        <v>33.17</v>
      </c>
      <c r="BR107" s="59">
        <v>71.16</v>
      </c>
      <c r="BS107" s="59">
        <v>3.87</v>
      </c>
      <c r="BT107" s="58">
        <f t="shared" si="153"/>
        <v>214.70000000000002</v>
      </c>
      <c r="BU107" s="59">
        <v>1.06</v>
      </c>
      <c r="BV107" s="59">
        <v>0</v>
      </c>
      <c r="BW107" s="59">
        <v>92.66</v>
      </c>
      <c r="BX107" s="59">
        <v>119.28</v>
      </c>
      <c r="BY107" s="59">
        <v>1.21</v>
      </c>
      <c r="BZ107" s="59">
        <v>0</v>
      </c>
      <c r="CA107" s="59">
        <v>0.49</v>
      </c>
      <c r="CB107" s="58">
        <f t="shared" si="111"/>
        <v>1179.6500000000001</v>
      </c>
      <c r="CC107" s="59">
        <v>9.2200000000000006</v>
      </c>
      <c r="CD107" s="59">
        <v>1170.43</v>
      </c>
      <c r="CE107" s="74">
        <v>0</v>
      </c>
    </row>
    <row r="108" spans="1:83" x14ac:dyDescent="0.35">
      <c r="A108" s="50" t="s">
        <v>507</v>
      </c>
      <c r="B108" s="58">
        <f t="shared" ref="B108" si="208">SUM(C108:I108)</f>
        <v>26580.560000000001</v>
      </c>
      <c r="C108" s="58">
        <f t="shared" ref="C108" si="209">K108+S108+AG108+AO108+AA108</f>
        <v>170.67999999999998</v>
      </c>
      <c r="D108" s="58">
        <f t="shared" ref="D108" si="210">L108+T108+AH108+AP108+CC108</f>
        <v>108.2</v>
      </c>
      <c r="E108" s="58">
        <f t="shared" ref="E108" si="211">M108+U108+AB108+AI108+AQ108+CD108</f>
        <v>15467.750000000002</v>
      </c>
      <c r="F108" s="58">
        <f t="shared" ref="F108" si="212">N108+V108+AJ108+AR108+CE108+AC108</f>
        <v>3968.87</v>
      </c>
      <c r="G108" s="58">
        <f t="shared" ref="G108" si="213">O108+W108+AD108+AK108+AS108</f>
        <v>1350.12</v>
      </c>
      <c r="H108" s="58">
        <f t="shared" ref="H108" si="214">P108+X108+AE108+AL108+AT108</f>
        <v>5324.6</v>
      </c>
      <c r="I108" s="58">
        <f t="shared" ref="I108" si="215">Q108+Y108+AM108+AU108</f>
        <v>190.34</v>
      </c>
      <c r="J108" s="58">
        <f t="shared" ref="J108" si="216">SUM(K108:Q108)</f>
        <v>247.55</v>
      </c>
      <c r="K108" s="59">
        <v>5.44</v>
      </c>
      <c r="L108" s="59">
        <v>72.489999999999995</v>
      </c>
      <c r="M108" s="59">
        <v>4.66</v>
      </c>
      <c r="N108" s="59">
        <v>119.59</v>
      </c>
      <c r="O108" s="59">
        <v>0</v>
      </c>
      <c r="P108" s="59">
        <v>45.37</v>
      </c>
      <c r="Q108" s="59">
        <v>0</v>
      </c>
      <c r="R108" s="58">
        <f t="shared" si="139"/>
        <v>4129.8599999999997</v>
      </c>
      <c r="S108" s="59">
        <v>151.94999999999999</v>
      </c>
      <c r="T108" s="59">
        <v>0</v>
      </c>
      <c r="U108" s="59">
        <v>500.68</v>
      </c>
      <c r="V108" s="59">
        <v>1274.92</v>
      </c>
      <c r="W108" s="59">
        <v>339.17</v>
      </c>
      <c r="X108" s="59">
        <v>1719.78</v>
      </c>
      <c r="Y108" s="59">
        <v>143.36000000000001</v>
      </c>
      <c r="Z108" s="58">
        <f t="shared" si="140"/>
        <v>13656.810000000001</v>
      </c>
      <c r="AA108" s="59">
        <v>2.69</v>
      </c>
      <c r="AB108" s="59">
        <v>12682.12</v>
      </c>
      <c r="AC108" s="59">
        <v>35.020000000000003</v>
      </c>
      <c r="AD108" s="59">
        <v>694.82</v>
      </c>
      <c r="AE108" s="59">
        <v>242.16</v>
      </c>
      <c r="AF108" s="58">
        <f t="shared" si="141"/>
        <v>3648.2900000000004</v>
      </c>
      <c r="AG108" s="59">
        <v>8.39</v>
      </c>
      <c r="AH108" s="59">
        <v>29.79</v>
      </c>
      <c r="AI108" s="59">
        <v>224.99</v>
      </c>
      <c r="AJ108" s="59">
        <v>1579.65</v>
      </c>
      <c r="AK108" s="59">
        <v>96.61</v>
      </c>
      <c r="AL108" s="59">
        <v>1688.38</v>
      </c>
      <c r="AM108" s="59">
        <v>20.48</v>
      </c>
      <c r="AN108" s="58">
        <f t="shared" ref="AN108" si="217">SUM(AO108:AU108)</f>
        <v>3771.52</v>
      </c>
      <c r="AO108" s="58">
        <f t="shared" ref="AO108" si="218">AW108+BE108+BM108+BU108</f>
        <v>2.21</v>
      </c>
      <c r="AP108" s="58">
        <f t="shared" ref="AP108" si="219">AX108+BF108+BN108+BV108</f>
        <v>0</v>
      </c>
      <c r="AQ108" s="58">
        <f t="shared" ref="AQ108" si="220">AY108+BG108+BO108+BW108</f>
        <v>934.69</v>
      </c>
      <c r="AR108" s="58">
        <f t="shared" ref="AR108" si="221">AZ108+BH108+BP108+BX108</f>
        <v>959.69</v>
      </c>
      <c r="AS108" s="58">
        <f t="shared" ref="AS108" si="222">BA108+BI108+BQ108+BY108</f>
        <v>219.52</v>
      </c>
      <c r="AT108" s="58">
        <f t="shared" ref="AT108" si="223">BB108+BJ108+BR108+BZ108</f>
        <v>1628.9099999999999</v>
      </c>
      <c r="AU108" s="58">
        <f t="shared" ref="AU108" si="224">BC108+BK108+BS108+CA108</f>
        <v>26.499999999999996</v>
      </c>
      <c r="AV108" s="58">
        <f t="shared" ref="AV108" si="225">SUM(AW108:BC108)</f>
        <v>926.97000000000014</v>
      </c>
      <c r="AW108" s="59">
        <v>0.27</v>
      </c>
      <c r="AX108" s="59">
        <v>0</v>
      </c>
      <c r="AY108" s="59">
        <v>155.43</v>
      </c>
      <c r="AZ108" s="59">
        <v>425.74</v>
      </c>
      <c r="BA108" s="59">
        <v>8.59</v>
      </c>
      <c r="BB108" s="59">
        <v>330.84</v>
      </c>
      <c r="BC108" s="59">
        <v>6.1</v>
      </c>
      <c r="BD108" s="58">
        <f t="shared" si="151"/>
        <v>2376.7800000000002</v>
      </c>
      <c r="BE108" s="59">
        <v>0.88</v>
      </c>
      <c r="BF108" s="59">
        <v>0</v>
      </c>
      <c r="BG108" s="59">
        <v>432.52</v>
      </c>
      <c r="BH108" s="59">
        <v>508</v>
      </c>
      <c r="BI108" s="59">
        <v>176.55</v>
      </c>
      <c r="BJ108" s="59">
        <v>1240.57</v>
      </c>
      <c r="BK108" s="59">
        <v>18.260000000000002</v>
      </c>
      <c r="BL108" s="58">
        <f t="shared" si="152"/>
        <v>337.69</v>
      </c>
      <c r="BM108" s="59">
        <v>0</v>
      </c>
      <c r="BN108" s="59">
        <v>0</v>
      </c>
      <c r="BO108" s="59">
        <v>243.3</v>
      </c>
      <c r="BP108" s="59">
        <v>1.82</v>
      </c>
      <c r="BQ108" s="59">
        <v>33.17</v>
      </c>
      <c r="BR108" s="59">
        <v>57.5</v>
      </c>
      <c r="BS108" s="59">
        <v>1.9</v>
      </c>
      <c r="BT108" s="58">
        <f t="shared" si="153"/>
        <v>130.08000000000001</v>
      </c>
      <c r="BU108" s="59">
        <v>1.06</v>
      </c>
      <c r="BV108" s="59">
        <v>0</v>
      </c>
      <c r="BW108" s="59">
        <v>103.44</v>
      </c>
      <c r="BX108" s="59">
        <v>24.13</v>
      </c>
      <c r="BY108" s="59">
        <v>1.21</v>
      </c>
      <c r="BZ108" s="59">
        <v>0</v>
      </c>
      <c r="CA108" s="59">
        <v>0.24</v>
      </c>
      <c r="CB108" s="58">
        <f t="shared" si="111"/>
        <v>1126.53</v>
      </c>
      <c r="CC108" s="59">
        <v>5.92</v>
      </c>
      <c r="CD108" s="59">
        <v>1120.6099999999999</v>
      </c>
      <c r="CE108" s="74">
        <v>0</v>
      </c>
    </row>
    <row r="109" spans="1:83" x14ac:dyDescent="0.35">
      <c r="A109" s="50" t="s">
        <v>508</v>
      </c>
      <c r="B109" s="58">
        <f t="shared" ref="B109" si="226">SUM(C109:I109)</f>
        <v>35530.47</v>
      </c>
      <c r="C109" s="58">
        <f t="shared" ref="C109" si="227">K109+S109+AG109+AO109+AA109</f>
        <v>211.75</v>
      </c>
      <c r="D109" s="58">
        <f t="shared" ref="D109" si="228">L109+T109+AH109+AP109+CC109</f>
        <v>113.17</v>
      </c>
      <c r="E109" s="58">
        <f t="shared" ref="E109" si="229">M109+U109+AB109+AI109+AQ109+CD109</f>
        <v>15336.1</v>
      </c>
      <c r="F109" s="58">
        <f t="shared" ref="F109" si="230">N109+V109+AJ109+AR109+CE109+AC109</f>
        <v>11411.650000000001</v>
      </c>
      <c r="G109" s="58">
        <f t="shared" ref="G109" si="231">O109+W109+AD109+AK109+AS109</f>
        <v>1971.5299999999997</v>
      </c>
      <c r="H109" s="58">
        <f t="shared" ref="H109" si="232">P109+X109+AE109+AL109+AT109</f>
        <v>6131.41</v>
      </c>
      <c r="I109" s="58">
        <f t="shared" ref="I109" si="233">Q109+Y109+AM109+AU109</f>
        <v>354.86</v>
      </c>
      <c r="J109" s="58">
        <f t="shared" ref="J109" si="234">SUM(K109:Q109)</f>
        <v>237.11</v>
      </c>
      <c r="K109" s="59">
        <v>5.5</v>
      </c>
      <c r="L109" s="59">
        <v>65.98</v>
      </c>
      <c r="M109" s="59">
        <v>4.66</v>
      </c>
      <c r="N109" s="59">
        <v>117.66</v>
      </c>
      <c r="O109" s="59">
        <v>0.01</v>
      </c>
      <c r="P109" s="59">
        <v>43.3</v>
      </c>
      <c r="Q109" s="59">
        <v>0</v>
      </c>
      <c r="R109" s="58">
        <f t="shared" si="139"/>
        <v>4886.7</v>
      </c>
      <c r="S109" s="59">
        <v>166.4</v>
      </c>
      <c r="T109" s="59">
        <v>0</v>
      </c>
      <c r="U109" s="59">
        <v>492.58</v>
      </c>
      <c r="V109" s="59">
        <v>1788.64</v>
      </c>
      <c r="W109" s="59">
        <v>463.65</v>
      </c>
      <c r="X109" s="59">
        <v>1832.07</v>
      </c>
      <c r="Y109" s="59">
        <v>143.36000000000001</v>
      </c>
      <c r="Z109" s="58">
        <f t="shared" si="140"/>
        <v>13049.45</v>
      </c>
      <c r="AA109" s="59">
        <v>2.69</v>
      </c>
      <c r="AB109" s="59">
        <v>12141.67</v>
      </c>
      <c r="AC109" s="59">
        <v>36.89</v>
      </c>
      <c r="AD109" s="59">
        <v>626.04</v>
      </c>
      <c r="AE109" s="59">
        <v>242.16</v>
      </c>
      <c r="AF109" s="58">
        <f t="shared" si="141"/>
        <v>10622.08</v>
      </c>
      <c r="AG109" s="59">
        <v>35.159999999999997</v>
      </c>
      <c r="AH109" s="59">
        <v>43.81</v>
      </c>
      <c r="AI109" s="59">
        <v>737.19</v>
      </c>
      <c r="AJ109" s="59">
        <v>7111.74</v>
      </c>
      <c r="AK109" s="59">
        <v>434.94</v>
      </c>
      <c r="AL109" s="59">
        <v>2167.0300000000002</v>
      </c>
      <c r="AM109" s="59">
        <v>92.21</v>
      </c>
      <c r="AN109" s="58">
        <f t="shared" ref="AN109" si="235">SUM(AO109:AU109)</f>
        <v>5690.14</v>
      </c>
      <c r="AO109" s="58">
        <f t="shared" ref="AO109" si="236">AW109+BE109+BM109+BU109</f>
        <v>2</v>
      </c>
      <c r="AP109" s="58">
        <f t="shared" ref="AP109" si="237">AX109+BF109+BN109+BV109</f>
        <v>0</v>
      </c>
      <c r="AQ109" s="58">
        <f t="shared" ref="AQ109" si="238">AY109+BG109+BO109+BW109</f>
        <v>918.39</v>
      </c>
      <c r="AR109" s="58">
        <f t="shared" ref="AR109" si="239">AZ109+BH109+BP109+BX109</f>
        <v>2356.7200000000003</v>
      </c>
      <c r="AS109" s="58">
        <f t="shared" ref="AS109" si="240">BA109+BI109+BQ109+BY109</f>
        <v>446.89</v>
      </c>
      <c r="AT109" s="58">
        <f t="shared" ref="AT109" si="241">BB109+BJ109+BR109+BZ109</f>
        <v>1846.85</v>
      </c>
      <c r="AU109" s="58">
        <f t="shared" ref="AU109" si="242">BC109+BK109+BS109+CA109</f>
        <v>119.28999999999999</v>
      </c>
      <c r="AV109" s="58">
        <f t="shared" ref="AV109" si="243">SUM(AW109:BC109)</f>
        <v>1449.9299999999998</v>
      </c>
      <c r="AW109" s="59">
        <v>0.06</v>
      </c>
      <c r="AX109" s="59">
        <v>0</v>
      </c>
      <c r="AY109" s="59">
        <v>204.07</v>
      </c>
      <c r="AZ109" s="59">
        <v>869.93</v>
      </c>
      <c r="BA109" s="59">
        <v>17.55</v>
      </c>
      <c r="BB109" s="59">
        <v>330.84</v>
      </c>
      <c r="BC109" s="59">
        <v>27.48</v>
      </c>
      <c r="BD109" s="58">
        <f t="shared" si="151"/>
        <v>3348.09</v>
      </c>
      <c r="BE109" s="59">
        <v>0.88</v>
      </c>
      <c r="BF109" s="59">
        <v>0</v>
      </c>
      <c r="BG109" s="59">
        <v>407.94</v>
      </c>
      <c r="BH109" s="59">
        <v>1093.97</v>
      </c>
      <c r="BI109" s="59">
        <v>380.2</v>
      </c>
      <c r="BJ109" s="59">
        <v>1382.9</v>
      </c>
      <c r="BK109" s="59">
        <v>82.2</v>
      </c>
      <c r="BL109" s="58">
        <f t="shared" si="152"/>
        <v>424.37</v>
      </c>
      <c r="BM109" s="59">
        <v>0</v>
      </c>
      <c r="BN109" s="59">
        <v>0</v>
      </c>
      <c r="BO109" s="59">
        <v>207.29</v>
      </c>
      <c r="BP109" s="59">
        <v>27.5</v>
      </c>
      <c r="BQ109" s="59">
        <v>47.93</v>
      </c>
      <c r="BR109" s="59">
        <v>133.11000000000001</v>
      </c>
      <c r="BS109" s="59">
        <v>8.5399999999999991</v>
      </c>
      <c r="BT109" s="58">
        <f t="shared" si="153"/>
        <v>467.75</v>
      </c>
      <c r="BU109" s="59">
        <v>1.06</v>
      </c>
      <c r="BV109" s="59">
        <v>0</v>
      </c>
      <c r="BW109" s="59">
        <v>99.09</v>
      </c>
      <c r="BX109" s="59">
        <v>365.32</v>
      </c>
      <c r="BY109" s="59">
        <v>1.21</v>
      </c>
      <c r="BZ109" s="59">
        <v>0</v>
      </c>
      <c r="CA109" s="59">
        <v>1.07</v>
      </c>
      <c r="CB109" s="58">
        <f t="shared" ref="CB109:CB114" si="244">SUM(CC109:CE109)</f>
        <v>1044.99</v>
      </c>
      <c r="CC109" s="59">
        <v>3.38</v>
      </c>
      <c r="CD109" s="59">
        <v>1041.6099999999999</v>
      </c>
      <c r="CE109" s="74">
        <v>0</v>
      </c>
    </row>
    <row r="110" spans="1:83" x14ac:dyDescent="0.35">
      <c r="A110" s="50" t="s">
        <v>509</v>
      </c>
      <c r="B110" s="58">
        <f t="shared" ref="B110" si="245">SUM(C110:I110)</f>
        <v>38159.61</v>
      </c>
      <c r="C110" s="58">
        <f t="shared" ref="C110" si="246">K110+S110+AG110+AO110+AA110</f>
        <v>144.40999999999997</v>
      </c>
      <c r="D110" s="58">
        <f t="shared" ref="D110" si="247">L110+T110+AH110+AP110+CC110</f>
        <v>99.43</v>
      </c>
      <c r="E110" s="58">
        <f t="shared" ref="E110" si="248">M110+U110+AB110+AI110+AQ110+CD110</f>
        <v>15009.08</v>
      </c>
      <c r="F110" s="58">
        <f t="shared" ref="F110" si="249">N110+V110+AJ110+AR110+CE110+AC110</f>
        <v>13958.269999999999</v>
      </c>
      <c r="G110" s="58">
        <f t="shared" ref="G110" si="250">O110+W110+AD110+AK110+AS110</f>
        <v>2184.77</v>
      </c>
      <c r="H110" s="58">
        <f t="shared" ref="H110" si="251">P110+X110+AE110+AL110+AT110</f>
        <v>6361.3</v>
      </c>
      <c r="I110" s="58">
        <f t="shared" ref="I110" si="252">Q110+Y110+AM110+AU110</f>
        <v>402.35</v>
      </c>
      <c r="J110" s="58">
        <f t="shared" ref="J110" si="253">SUM(K110:Q110)</f>
        <v>259.24</v>
      </c>
      <c r="K110" s="59">
        <v>5.14</v>
      </c>
      <c r="L110" s="59">
        <v>63.42</v>
      </c>
      <c r="M110" s="59">
        <v>4.53</v>
      </c>
      <c r="N110" s="59">
        <v>141.97</v>
      </c>
      <c r="O110" s="59">
        <v>0.01</v>
      </c>
      <c r="P110" s="59">
        <v>44.17</v>
      </c>
      <c r="Q110" s="59">
        <v>0</v>
      </c>
      <c r="R110" s="58">
        <f t="shared" si="139"/>
        <v>5232.3499999999995</v>
      </c>
      <c r="S110" s="59">
        <v>114.07</v>
      </c>
      <c r="T110" s="59">
        <v>0</v>
      </c>
      <c r="U110" s="59">
        <v>533.29999999999995</v>
      </c>
      <c r="V110" s="59">
        <v>2024.56</v>
      </c>
      <c r="W110" s="59">
        <v>544.72</v>
      </c>
      <c r="X110" s="59">
        <v>1862.16</v>
      </c>
      <c r="Y110" s="59">
        <v>153.54</v>
      </c>
      <c r="Z110" s="58">
        <f t="shared" si="140"/>
        <v>12732.72</v>
      </c>
      <c r="AA110" s="59">
        <v>2.69</v>
      </c>
      <c r="AB110" s="59">
        <v>11813.37</v>
      </c>
      <c r="AC110" s="59">
        <v>37.799999999999997</v>
      </c>
      <c r="AD110" s="59">
        <v>578.72</v>
      </c>
      <c r="AE110" s="59">
        <v>300.14</v>
      </c>
      <c r="AF110" s="58">
        <f t="shared" si="141"/>
        <v>12540.59</v>
      </c>
      <c r="AG110" s="59">
        <v>19.62</v>
      </c>
      <c r="AH110" s="59">
        <v>34.880000000000003</v>
      </c>
      <c r="AI110" s="59">
        <v>710.96</v>
      </c>
      <c r="AJ110" s="59">
        <v>8892.02</v>
      </c>
      <c r="AK110" s="59">
        <v>550.29999999999995</v>
      </c>
      <c r="AL110" s="59">
        <v>2221.36</v>
      </c>
      <c r="AM110" s="59">
        <v>111.45</v>
      </c>
      <c r="AN110" s="58">
        <f t="shared" ref="AN110" si="254">SUM(AO110:AU110)</f>
        <v>6298.39</v>
      </c>
      <c r="AO110" s="58">
        <f t="shared" ref="AO110" si="255">AW110+BE110+BM110+BU110</f>
        <v>2.89</v>
      </c>
      <c r="AP110" s="58">
        <f t="shared" ref="AP110" si="256">AX110+BF110+BN110+BV110</f>
        <v>0</v>
      </c>
      <c r="AQ110" s="58">
        <f t="shared" ref="AQ110" si="257">AY110+BG110+BO110+BW110</f>
        <v>851.73</v>
      </c>
      <c r="AR110" s="58">
        <f t="shared" ref="AR110" si="258">AZ110+BH110+BP110+BX110</f>
        <v>2861.9200000000005</v>
      </c>
      <c r="AS110" s="58">
        <f t="shared" ref="AS110" si="259">BA110+BI110+BQ110+BY110</f>
        <v>511.02</v>
      </c>
      <c r="AT110" s="58">
        <f t="shared" ref="AT110" si="260">BB110+BJ110+BR110+BZ110</f>
        <v>1933.47</v>
      </c>
      <c r="AU110" s="58">
        <f t="shared" ref="AU110" si="261">BC110+BK110+BS110+CA110</f>
        <v>137.36000000000001</v>
      </c>
      <c r="AV110" s="58">
        <f t="shared" ref="AV110" si="262">SUM(AW110:BC110)</f>
        <v>1689.4399999999998</v>
      </c>
      <c r="AW110" s="59">
        <v>0.28000000000000003</v>
      </c>
      <c r="AX110" s="59">
        <v>0</v>
      </c>
      <c r="AY110" s="59">
        <v>160.53</v>
      </c>
      <c r="AZ110" s="59">
        <v>1128.8499999999999</v>
      </c>
      <c r="BA110" s="59">
        <v>20.81</v>
      </c>
      <c r="BB110" s="59">
        <v>346.22</v>
      </c>
      <c r="BC110" s="59">
        <v>32.75</v>
      </c>
      <c r="BD110" s="58">
        <f t="shared" si="151"/>
        <v>3840.4700000000003</v>
      </c>
      <c r="BE110" s="59">
        <v>0.88</v>
      </c>
      <c r="BF110" s="59">
        <v>0</v>
      </c>
      <c r="BG110" s="59">
        <v>440.2</v>
      </c>
      <c r="BH110" s="59">
        <v>1338.66</v>
      </c>
      <c r="BI110" s="59">
        <v>448.8</v>
      </c>
      <c r="BJ110" s="59">
        <v>1519.05</v>
      </c>
      <c r="BK110" s="59">
        <v>92.88</v>
      </c>
      <c r="BL110" s="58">
        <f t="shared" si="152"/>
        <v>302.64999999999998</v>
      </c>
      <c r="BM110" s="59">
        <v>0</v>
      </c>
      <c r="BN110" s="59">
        <v>0</v>
      </c>
      <c r="BO110" s="59">
        <v>157.07</v>
      </c>
      <c r="BP110" s="59">
        <v>26.82</v>
      </c>
      <c r="BQ110" s="59">
        <v>40.200000000000003</v>
      </c>
      <c r="BR110" s="59">
        <v>68.2</v>
      </c>
      <c r="BS110" s="59">
        <v>10.36</v>
      </c>
      <c r="BT110" s="58">
        <f t="shared" si="153"/>
        <v>465.83</v>
      </c>
      <c r="BU110" s="59">
        <v>1.73</v>
      </c>
      <c r="BV110" s="59">
        <v>0</v>
      </c>
      <c r="BW110" s="59">
        <v>93.93</v>
      </c>
      <c r="BX110" s="59">
        <v>367.59</v>
      </c>
      <c r="BY110" s="59">
        <v>1.21</v>
      </c>
      <c r="BZ110" s="59">
        <v>0</v>
      </c>
      <c r="CA110" s="59">
        <v>1.37</v>
      </c>
      <c r="CB110" s="58">
        <f t="shared" si="244"/>
        <v>1096.3200000000002</v>
      </c>
      <c r="CC110" s="59">
        <v>1.1299999999999999</v>
      </c>
      <c r="CD110" s="59">
        <v>1095.19</v>
      </c>
      <c r="CE110" s="74">
        <v>0</v>
      </c>
    </row>
    <row r="111" spans="1:83" x14ac:dyDescent="0.35">
      <c r="A111" s="50" t="s">
        <v>511</v>
      </c>
      <c r="B111" s="58">
        <f t="shared" ref="B111" si="263">SUM(C111:I111)</f>
        <v>29912.44</v>
      </c>
      <c r="C111" s="58">
        <f t="shared" ref="C111" si="264">K111+S111+AG111+AO111+AA111</f>
        <v>114.33000000000001</v>
      </c>
      <c r="D111" s="58">
        <f t="shared" ref="D111" si="265">L111+T111+AH111+AP111+CC111</f>
        <v>101.04</v>
      </c>
      <c r="E111" s="58">
        <f t="shared" ref="E111" si="266">M111+U111+AB111+AI111+AQ111+CD111</f>
        <v>15892.380000000001</v>
      </c>
      <c r="F111" s="58">
        <f t="shared" ref="F111" si="267">N111+V111+AJ111+AR111+CE111+AC111</f>
        <v>6530.1</v>
      </c>
      <c r="G111" s="58">
        <f t="shared" ref="G111" si="268">O111+W111+AD111+AK111+AS111</f>
        <v>1578.35</v>
      </c>
      <c r="H111" s="58">
        <f t="shared" ref="H111" si="269">P111+X111+AE111+AL111+AT111</f>
        <v>5445.58</v>
      </c>
      <c r="I111" s="58">
        <f t="shared" ref="I111" si="270">Q111+Y111+AM111+AU111</f>
        <v>250.65999999999997</v>
      </c>
      <c r="J111" s="58">
        <f t="shared" ref="J111" si="271">SUM(K111:Q111)</f>
        <v>257.81</v>
      </c>
      <c r="K111" s="59">
        <v>4.6500000000000004</v>
      </c>
      <c r="L111" s="59">
        <v>72.58</v>
      </c>
      <c r="M111" s="59">
        <v>4.53</v>
      </c>
      <c r="N111" s="59">
        <v>131.07</v>
      </c>
      <c r="O111" s="59">
        <v>0</v>
      </c>
      <c r="P111" s="59">
        <v>44.98</v>
      </c>
      <c r="Q111" s="59">
        <v>0</v>
      </c>
      <c r="R111" s="58">
        <f t="shared" si="139"/>
        <v>4187.16</v>
      </c>
      <c r="S111" s="59">
        <v>101.87</v>
      </c>
      <c r="T111" s="59">
        <v>0</v>
      </c>
      <c r="U111" s="59">
        <v>525.37</v>
      </c>
      <c r="V111" s="59">
        <v>1375.1</v>
      </c>
      <c r="W111" s="59">
        <v>378.69</v>
      </c>
      <c r="X111" s="59">
        <v>1652.59</v>
      </c>
      <c r="Y111" s="59">
        <v>153.54</v>
      </c>
      <c r="Z111" s="58">
        <f t="shared" si="140"/>
        <v>13914.35</v>
      </c>
      <c r="AA111" s="59">
        <v>2.69</v>
      </c>
      <c r="AB111" s="59">
        <v>12889.35</v>
      </c>
      <c r="AC111" s="59">
        <v>38.049999999999997</v>
      </c>
      <c r="AD111" s="59">
        <v>684.12</v>
      </c>
      <c r="AE111" s="59">
        <v>300.14</v>
      </c>
      <c r="AF111" s="58">
        <f t="shared" si="141"/>
        <v>5955.8700000000008</v>
      </c>
      <c r="AG111" s="59">
        <v>2.54</v>
      </c>
      <c r="AH111" s="59">
        <v>25.35</v>
      </c>
      <c r="AI111" s="59">
        <v>414.12</v>
      </c>
      <c r="AJ111" s="59">
        <v>3471.55</v>
      </c>
      <c r="AK111" s="59">
        <v>214.84</v>
      </c>
      <c r="AL111" s="59">
        <v>1783.96</v>
      </c>
      <c r="AM111" s="59">
        <v>43.51</v>
      </c>
      <c r="AN111" s="58">
        <f t="shared" ref="AN111" si="272">SUM(AO111:AU111)</f>
        <v>4403.07</v>
      </c>
      <c r="AO111" s="58">
        <f t="shared" ref="AO111" si="273">AW111+BE111+BM111+BU111</f>
        <v>2.58</v>
      </c>
      <c r="AP111" s="58">
        <f t="shared" ref="AP111" si="274">AX111+BF111+BN111+BV111</f>
        <v>0</v>
      </c>
      <c r="AQ111" s="58">
        <f t="shared" ref="AQ111" si="275">AY111+BG111+BO111+BW111</f>
        <v>867.93999999999994</v>
      </c>
      <c r="AR111" s="58">
        <f t="shared" ref="AR111" si="276">AZ111+BH111+BP111+BX111</f>
        <v>1514.3300000000002</v>
      </c>
      <c r="AS111" s="58">
        <f t="shared" ref="AS111" si="277">BA111+BI111+BQ111+BY111</f>
        <v>300.7</v>
      </c>
      <c r="AT111" s="58">
        <f t="shared" ref="AT111" si="278">BB111+BJ111+BR111+BZ111</f>
        <v>1663.91</v>
      </c>
      <c r="AU111" s="58">
        <f t="shared" ref="AU111" si="279">BC111+BK111+BS111+CA111</f>
        <v>53.61</v>
      </c>
      <c r="AV111" s="58">
        <f t="shared" ref="AV111" si="280">SUM(AW111:BC111)</f>
        <v>1130.1400000000001</v>
      </c>
      <c r="AW111" s="59">
        <v>0.64</v>
      </c>
      <c r="AX111" s="59">
        <v>0</v>
      </c>
      <c r="AY111" s="59">
        <v>160.46</v>
      </c>
      <c r="AZ111" s="59">
        <v>604.51</v>
      </c>
      <c r="BA111" s="59">
        <v>11.14</v>
      </c>
      <c r="BB111" s="59">
        <v>340.61</v>
      </c>
      <c r="BC111" s="59">
        <v>12.78</v>
      </c>
      <c r="BD111" s="58">
        <f t="shared" si="151"/>
        <v>2726.4700000000003</v>
      </c>
      <c r="BE111" s="59">
        <v>0.88</v>
      </c>
      <c r="BF111" s="59">
        <v>0</v>
      </c>
      <c r="BG111" s="59">
        <v>392.55</v>
      </c>
      <c r="BH111" s="59">
        <v>777.87</v>
      </c>
      <c r="BI111" s="59">
        <v>260.79000000000002</v>
      </c>
      <c r="BJ111" s="59">
        <v>1258.1199999999999</v>
      </c>
      <c r="BK111" s="59">
        <v>36.26</v>
      </c>
      <c r="BL111" s="58">
        <f t="shared" si="152"/>
        <v>326.32</v>
      </c>
      <c r="BM111" s="59">
        <v>0</v>
      </c>
      <c r="BN111" s="59">
        <v>0</v>
      </c>
      <c r="BO111" s="59">
        <v>220.57</v>
      </c>
      <c r="BP111" s="59">
        <v>8.9700000000000006</v>
      </c>
      <c r="BQ111" s="59">
        <v>27.56</v>
      </c>
      <c r="BR111" s="59">
        <v>65.180000000000007</v>
      </c>
      <c r="BS111" s="59">
        <v>4.04</v>
      </c>
      <c r="BT111" s="58">
        <f t="shared" si="153"/>
        <v>220.14000000000001</v>
      </c>
      <c r="BU111" s="59">
        <v>1.06</v>
      </c>
      <c r="BV111" s="59">
        <v>0</v>
      </c>
      <c r="BW111" s="59">
        <v>94.36</v>
      </c>
      <c r="BX111" s="59">
        <v>122.98</v>
      </c>
      <c r="BY111" s="59">
        <v>1.21</v>
      </c>
      <c r="BZ111" s="59">
        <v>0</v>
      </c>
      <c r="CA111" s="59">
        <v>0.53</v>
      </c>
      <c r="CB111" s="58">
        <f t="shared" si="244"/>
        <v>1194.1799999999998</v>
      </c>
      <c r="CC111" s="59">
        <v>3.11</v>
      </c>
      <c r="CD111" s="59">
        <v>1191.07</v>
      </c>
      <c r="CE111" s="74">
        <v>0</v>
      </c>
    </row>
    <row r="112" spans="1:83" x14ac:dyDescent="0.35">
      <c r="A112" s="50" t="s">
        <v>512</v>
      </c>
      <c r="B112" s="58">
        <f t="shared" ref="B112" si="281">SUM(C112:I112)</f>
        <v>27603.22</v>
      </c>
      <c r="C112" s="58">
        <f t="shared" ref="C112" si="282">K112+S112+AG112+AO112+AA112</f>
        <v>114.44</v>
      </c>
      <c r="D112" s="58">
        <f t="shared" ref="D112" si="283">L112+T112+AH112+AP112+CC112</f>
        <v>71.81</v>
      </c>
      <c r="E112" s="58">
        <f t="shared" ref="E112" si="284">M112+U112+AB112+AI112+AQ112+CD112</f>
        <v>16044.880000000001</v>
      </c>
      <c r="F112" s="58">
        <f t="shared" ref="F112" si="285">N112+V112+AJ112+AR112+CE112+AC112</f>
        <v>4425.6900000000005</v>
      </c>
      <c r="G112" s="58">
        <f t="shared" ref="G112" si="286">O112+W112+AD112+AK112+AS112</f>
        <v>1384.3999999999999</v>
      </c>
      <c r="H112" s="58">
        <f t="shared" ref="H112" si="287">P112+X112+AE112+AL112+AT112</f>
        <v>5355.2</v>
      </c>
      <c r="I112" s="58">
        <f t="shared" ref="I112" si="288">Q112+Y112+AM112+AU112</f>
        <v>206.79999999999998</v>
      </c>
      <c r="J112" s="58">
        <f t="shared" ref="J112" si="289">SUM(K112:Q112)</f>
        <v>199.38</v>
      </c>
      <c r="K112" s="59">
        <v>4.08</v>
      </c>
      <c r="L112" s="59">
        <v>33.15</v>
      </c>
      <c r="M112" s="59">
        <v>4.53</v>
      </c>
      <c r="N112" s="59">
        <v>115.69</v>
      </c>
      <c r="O112" s="59">
        <v>0</v>
      </c>
      <c r="P112" s="59">
        <v>41.93</v>
      </c>
      <c r="Q112" s="59">
        <v>0</v>
      </c>
      <c r="R112" s="58">
        <f t="shared" si="139"/>
        <v>4120.4400000000005</v>
      </c>
      <c r="S112" s="59">
        <v>103.5</v>
      </c>
      <c r="T112" s="59">
        <v>0</v>
      </c>
      <c r="U112" s="59">
        <v>528.22</v>
      </c>
      <c r="V112" s="59">
        <v>1337.38</v>
      </c>
      <c r="W112" s="59">
        <v>365.33</v>
      </c>
      <c r="X112" s="59">
        <v>1632.47</v>
      </c>
      <c r="Y112" s="59">
        <v>153.54</v>
      </c>
      <c r="Z112" s="58">
        <f t="shared" si="140"/>
        <v>13974.320000000002</v>
      </c>
      <c r="AA112" s="59">
        <v>2.69</v>
      </c>
      <c r="AB112" s="59">
        <v>12953.7</v>
      </c>
      <c r="AC112" s="59">
        <v>37.840000000000003</v>
      </c>
      <c r="AD112" s="59">
        <v>679.95</v>
      </c>
      <c r="AE112" s="59">
        <v>300.14</v>
      </c>
      <c r="AF112" s="58">
        <f t="shared" si="141"/>
        <v>4106.84</v>
      </c>
      <c r="AG112" s="59">
        <v>1.94</v>
      </c>
      <c r="AH112" s="59">
        <v>38.340000000000003</v>
      </c>
      <c r="AI112" s="59">
        <v>314.86</v>
      </c>
      <c r="AJ112" s="59">
        <v>1903.54</v>
      </c>
      <c r="AK112" s="59">
        <v>117.8</v>
      </c>
      <c r="AL112" s="59">
        <v>1706.5</v>
      </c>
      <c r="AM112" s="59">
        <v>23.86</v>
      </c>
      <c r="AN112" s="58">
        <f t="shared" ref="AN112" si="290">SUM(AO112:AU112)</f>
        <v>4023.61</v>
      </c>
      <c r="AO112" s="58">
        <f t="shared" ref="AO112" si="291">AW112+BE112+BM112+BU112</f>
        <v>2.23</v>
      </c>
      <c r="AP112" s="58">
        <f t="shared" ref="AP112" si="292">AX112+BF112+BN112+BV112</f>
        <v>0</v>
      </c>
      <c r="AQ112" s="58">
        <f t="shared" ref="AQ112" si="293">AY112+BG112+BO112+BW112</f>
        <v>1065.26</v>
      </c>
      <c r="AR112" s="58">
        <f t="shared" ref="AR112" si="294">AZ112+BH112+BP112+BX112</f>
        <v>1031.24</v>
      </c>
      <c r="AS112" s="58">
        <f t="shared" ref="AS112" si="295">BA112+BI112+BQ112+BY112</f>
        <v>221.32000000000002</v>
      </c>
      <c r="AT112" s="58">
        <f t="shared" ref="AT112" si="296">BB112+BJ112+BR112+BZ112</f>
        <v>1674.16</v>
      </c>
      <c r="AU112" s="58">
        <f t="shared" ref="AU112" si="297">BC112+BK112+BS112+CA112</f>
        <v>29.4</v>
      </c>
      <c r="AV112" s="58">
        <f t="shared" ref="AV112" si="298">SUM(AW112:BC112)</f>
        <v>1013.3899999999999</v>
      </c>
      <c r="AW112" s="59">
        <v>0.28999999999999998</v>
      </c>
      <c r="AX112" s="59">
        <v>0</v>
      </c>
      <c r="AY112" s="59">
        <v>209.47</v>
      </c>
      <c r="AZ112" s="59">
        <v>454.09</v>
      </c>
      <c r="BA112" s="59">
        <v>8.3699999999999992</v>
      </c>
      <c r="BB112" s="59">
        <v>334.16</v>
      </c>
      <c r="BC112" s="59">
        <v>7.01</v>
      </c>
      <c r="BD112" s="58">
        <f t="shared" si="151"/>
        <v>2487.11</v>
      </c>
      <c r="BE112" s="59">
        <v>0.88</v>
      </c>
      <c r="BF112" s="59">
        <v>0</v>
      </c>
      <c r="BG112" s="59">
        <v>446.38</v>
      </c>
      <c r="BH112" s="59">
        <v>549.38</v>
      </c>
      <c r="BI112" s="59">
        <v>184.18</v>
      </c>
      <c r="BJ112" s="59">
        <v>1286.4100000000001</v>
      </c>
      <c r="BK112" s="59">
        <v>19.88</v>
      </c>
      <c r="BL112" s="58">
        <f t="shared" si="152"/>
        <v>364.98</v>
      </c>
      <c r="BM112" s="59">
        <v>0</v>
      </c>
      <c r="BN112" s="59">
        <v>0</v>
      </c>
      <c r="BO112" s="59">
        <v>279.72000000000003</v>
      </c>
      <c r="BP112" s="59">
        <v>1.89</v>
      </c>
      <c r="BQ112" s="59">
        <v>27.56</v>
      </c>
      <c r="BR112" s="59">
        <v>53.59</v>
      </c>
      <c r="BS112" s="59">
        <v>2.2200000000000002</v>
      </c>
      <c r="BT112" s="58">
        <f t="shared" si="153"/>
        <v>158.13</v>
      </c>
      <c r="BU112" s="59">
        <v>1.06</v>
      </c>
      <c r="BV112" s="59">
        <v>0</v>
      </c>
      <c r="BW112" s="59">
        <v>129.69</v>
      </c>
      <c r="BX112" s="59">
        <v>25.88</v>
      </c>
      <c r="BY112" s="59">
        <v>1.21</v>
      </c>
      <c r="BZ112" s="59">
        <v>0</v>
      </c>
      <c r="CA112" s="59">
        <v>0.28999999999999998</v>
      </c>
      <c r="CB112" s="58">
        <f t="shared" si="244"/>
        <v>1178.6299999999999</v>
      </c>
      <c r="CC112" s="59">
        <v>0.32</v>
      </c>
      <c r="CD112" s="59">
        <v>1178.31</v>
      </c>
      <c r="CE112" s="74">
        <v>0</v>
      </c>
    </row>
    <row r="113" spans="1:83" x14ac:dyDescent="0.35">
      <c r="A113" s="50" t="s">
        <v>514</v>
      </c>
      <c r="B113" s="58">
        <f t="shared" ref="B113" si="299">SUM(C113:I113)</f>
        <v>36504.980000000003</v>
      </c>
      <c r="C113" s="58">
        <f t="shared" ref="C113" si="300">K113+S113+AG113+AO113+AA113</f>
        <v>132.89999999999998</v>
      </c>
      <c r="D113" s="58">
        <f t="shared" ref="D113" si="301">L113+T113+AH113+AP113+CC113</f>
        <v>56.56</v>
      </c>
      <c r="E113" s="58">
        <f t="shared" ref="E113" si="302">M113+U113+AB113+AI113+AQ113+CD113</f>
        <v>15751.480000000001</v>
      </c>
      <c r="F113" s="58">
        <f t="shared" ref="F113" si="303">N113+V113+AJ113+AR113+CE113+AC113</f>
        <v>11894.33</v>
      </c>
      <c r="G113" s="58">
        <f t="shared" ref="G113" si="304">O113+W113+AD113+AK113+AS113</f>
        <v>2178.6</v>
      </c>
      <c r="H113" s="58">
        <f t="shared" ref="H113" si="305">P113+X113+AE113+AL113+AT113</f>
        <v>6128.1</v>
      </c>
      <c r="I113" s="58">
        <f t="shared" ref="I113" si="306">Q113+Y113+AM113+AU113</f>
        <v>363.01</v>
      </c>
      <c r="J113" s="58">
        <f t="shared" ref="J113" si="307">SUM(K113:Q113)</f>
        <v>138.70000000000002</v>
      </c>
      <c r="K113" s="59">
        <v>3.07</v>
      </c>
      <c r="L113" s="59">
        <v>12.86</v>
      </c>
      <c r="M113" s="59">
        <v>4.53</v>
      </c>
      <c r="N113" s="59">
        <v>84.25</v>
      </c>
      <c r="O113" s="59">
        <v>0.01</v>
      </c>
      <c r="P113" s="59">
        <v>33.979999999999997</v>
      </c>
      <c r="Q113" s="59">
        <v>0</v>
      </c>
      <c r="R113" s="58">
        <f t="shared" si="139"/>
        <v>4766.28</v>
      </c>
      <c r="S113" s="59">
        <v>120.56</v>
      </c>
      <c r="T113" s="59">
        <v>0</v>
      </c>
      <c r="U113" s="59">
        <v>522.89</v>
      </c>
      <c r="V113" s="59">
        <v>1779.82</v>
      </c>
      <c r="W113" s="59">
        <v>468.67</v>
      </c>
      <c r="X113" s="59">
        <v>1720.8</v>
      </c>
      <c r="Y113" s="59">
        <v>153.54</v>
      </c>
      <c r="Z113" s="58">
        <f t="shared" si="140"/>
        <v>13394.4</v>
      </c>
      <c r="AA113" s="59">
        <v>2.69</v>
      </c>
      <c r="AB113" s="59">
        <v>12248.68</v>
      </c>
      <c r="AC113" s="59">
        <v>41.8</v>
      </c>
      <c r="AD113" s="59">
        <v>801.09</v>
      </c>
      <c r="AE113" s="59">
        <v>300.14</v>
      </c>
      <c r="AF113" s="58">
        <f t="shared" si="141"/>
        <v>11212.449999999999</v>
      </c>
      <c r="AG113" s="59">
        <v>4.4800000000000004</v>
      </c>
      <c r="AH113" s="59">
        <v>43.7</v>
      </c>
      <c r="AI113" s="59">
        <v>895.26</v>
      </c>
      <c r="AJ113" s="59">
        <v>7486.53</v>
      </c>
      <c r="AK113" s="59">
        <v>463.32</v>
      </c>
      <c r="AL113" s="59">
        <v>2225.33</v>
      </c>
      <c r="AM113" s="59">
        <v>93.83</v>
      </c>
      <c r="AN113" s="58">
        <f t="shared" ref="AN113" si="308">SUM(AO113:AU113)</f>
        <v>5927.64</v>
      </c>
      <c r="AO113" s="58">
        <f t="shared" ref="AO113" si="309">AW113+BE113+BM113+BU113</f>
        <v>2.1</v>
      </c>
      <c r="AP113" s="58">
        <f t="shared" ref="AP113" si="310">AX113+BF113+BN113+BV113</f>
        <v>0</v>
      </c>
      <c r="AQ113" s="58">
        <f t="shared" ref="AQ113" si="311">AY113+BG113+BO113+BW113</f>
        <v>1014.61</v>
      </c>
      <c r="AR113" s="58">
        <f t="shared" ref="AR113" si="312">AZ113+BH113+BP113+BX113</f>
        <v>2501.9299999999998</v>
      </c>
      <c r="AS113" s="58">
        <f t="shared" ref="AS113" si="313">BA113+BI113+BQ113+BY113</f>
        <v>445.51</v>
      </c>
      <c r="AT113" s="58">
        <f t="shared" ref="AT113" si="314">BB113+BJ113+BR113+BZ113</f>
        <v>1847.85</v>
      </c>
      <c r="AU113" s="58">
        <f t="shared" ref="AU113" si="315">BC113+BK113+BS113+CA113</f>
        <v>115.64000000000001</v>
      </c>
      <c r="AV113" s="58">
        <f t="shared" ref="AV113" si="316">SUM(AW113:BC113)</f>
        <v>1536.34</v>
      </c>
      <c r="AW113" s="59">
        <v>0.16</v>
      </c>
      <c r="AX113" s="59">
        <v>0</v>
      </c>
      <c r="AY113" s="59">
        <v>241.64</v>
      </c>
      <c r="AZ113" s="59">
        <v>918.04</v>
      </c>
      <c r="BA113" s="59">
        <v>16.920000000000002</v>
      </c>
      <c r="BB113" s="59">
        <v>332.01</v>
      </c>
      <c r="BC113" s="59">
        <v>27.57</v>
      </c>
      <c r="BD113" s="58">
        <f t="shared" si="151"/>
        <v>3481.96</v>
      </c>
      <c r="BE113" s="59">
        <v>0.88</v>
      </c>
      <c r="BF113" s="59">
        <v>0</v>
      </c>
      <c r="BG113" s="59">
        <v>429.05</v>
      </c>
      <c r="BH113" s="59">
        <v>1154.8699999999999</v>
      </c>
      <c r="BI113" s="59">
        <v>387.18</v>
      </c>
      <c r="BJ113" s="59">
        <v>1431.78</v>
      </c>
      <c r="BK113" s="59">
        <v>78.2</v>
      </c>
      <c r="BL113" s="58">
        <f t="shared" si="152"/>
        <v>391.22</v>
      </c>
      <c r="BM113" s="59">
        <v>0</v>
      </c>
      <c r="BN113" s="59">
        <v>0</v>
      </c>
      <c r="BO113" s="59">
        <v>229.07</v>
      </c>
      <c r="BP113" s="59">
        <v>29.17</v>
      </c>
      <c r="BQ113" s="59">
        <v>40.200000000000003</v>
      </c>
      <c r="BR113" s="59">
        <v>84.06</v>
      </c>
      <c r="BS113" s="59">
        <v>8.7200000000000006</v>
      </c>
      <c r="BT113" s="58">
        <f t="shared" si="153"/>
        <v>518.12</v>
      </c>
      <c r="BU113" s="59">
        <v>1.06</v>
      </c>
      <c r="BV113" s="59">
        <v>0</v>
      </c>
      <c r="BW113" s="59">
        <v>114.85</v>
      </c>
      <c r="BX113" s="59">
        <v>399.85</v>
      </c>
      <c r="BY113" s="59">
        <v>1.21</v>
      </c>
      <c r="BZ113" s="59">
        <v>0</v>
      </c>
      <c r="CA113" s="59">
        <v>1.1499999999999999</v>
      </c>
      <c r="CB113" s="58">
        <f t="shared" si="244"/>
        <v>1065.51</v>
      </c>
      <c r="CC113" s="59">
        <v>0</v>
      </c>
      <c r="CD113" s="59">
        <v>1065.51</v>
      </c>
      <c r="CE113" s="74">
        <v>0</v>
      </c>
    </row>
    <row r="114" spans="1:83" x14ac:dyDescent="0.35">
      <c r="A114" s="50" t="s">
        <v>517</v>
      </c>
      <c r="B114" s="58">
        <f t="shared" ref="B114" si="317">SUM(C114:I114)</f>
        <v>38979.360000000001</v>
      </c>
      <c r="C114" s="58">
        <f t="shared" ref="C114" si="318">K114+S114+AG114+AO114+AA114</f>
        <v>125.72</v>
      </c>
      <c r="D114" s="58">
        <f t="shared" ref="D114" si="319">L114+T114+AH114+AP114+CC114</f>
        <v>54.64</v>
      </c>
      <c r="E114" s="58">
        <f t="shared" ref="E114" si="320">M114+U114+AB114+AI114+AQ114+CD114</f>
        <v>15150.39</v>
      </c>
      <c r="F114" s="58">
        <f t="shared" ref="F114" si="321">N114+V114+AJ114+AR114+CE114+AC114</f>
        <v>14470.72</v>
      </c>
      <c r="G114" s="58">
        <f t="shared" ref="G114" si="322">O114+W114+AD114+AK114+AS114</f>
        <v>2314.2399999999998</v>
      </c>
      <c r="H114" s="58">
        <f t="shared" ref="H114" si="323">P114+X114+AE114+AL114+AT114</f>
        <v>6461.3</v>
      </c>
      <c r="I114" s="58">
        <f t="shared" ref="I114" si="324">Q114+Y114+AM114+AU114</f>
        <v>402.35</v>
      </c>
      <c r="J114" s="58">
        <f t="shared" ref="J114" si="325">SUM(K114:Q114)</f>
        <v>160.51999999999998</v>
      </c>
      <c r="K114" s="59">
        <v>1.81</v>
      </c>
      <c r="L114" s="59">
        <v>20.22</v>
      </c>
      <c r="M114" s="59">
        <v>5.09</v>
      </c>
      <c r="N114" s="59">
        <v>98.3</v>
      </c>
      <c r="O114" s="59">
        <v>0.01</v>
      </c>
      <c r="P114" s="59">
        <v>35.090000000000003</v>
      </c>
      <c r="Q114" s="59">
        <v>0</v>
      </c>
      <c r="R114" s="58">
        <f t="shared" si="139"/>
        <v>4951.37</v>
      </c>
      <c r="S114" s="59">
        <v>113.44</v>
      </c>
      <c r="T114" s="59">
        <v>0</v>
      </c>
      <c r="U114" s="59">
        <v>530.08000000000004</v>
      </c>
      <c r="V114" s="59">
        <v>1888.71</v>
      </c>
      <c r="W114" s="59">
        <v>499.59</v>
      </c>
      <c r="X114" s="59">
        <v>1766.01</v>
      </c>
      <c r="Y114" s="59">
        <v>153.54</v>
      </c>
      <c r="Z114" s="58">
        <f t="shared" si="140"/>
        <v>13011.039999999999</v>
      </c>
      <c r="AA114" s="59">
        <v>2.69</v>
      </c>
      <c r="AB114" s="59">
        <v>11923.46</v>
      </c>
      <c r="AC114" s="59">
        <v>37.799999999999997</v>
      </c>
      <c r="AD114" s="59">
        <v>708.26</v>
      </c>
      <c r="AE114" s="59">
        <v>338.83</v>
      </c>
      <c r="AF114" s="58">
        <f t="shared" si="141"/>
        <v>13385.62</v>
      </c>
      <c r="AG114" s="59">
        <v>4.53</v>
      </c>
      <c r="AH114" s="59">
        <v>34.42</v>
      </c>
      <c r="AI114" s="59">
        <v>779.58</v>
      </c>
      <c r="AJ114" s="59">
        <v>9546.59</v>
      </c>
      <c r="AK114" s="59">
        <v>590.80999999999995</v>
      </c>
      <c r="AL114" s="59">
        <v>2318.2399999999998</v>
      </c>
      <c r="AM114" s="59">
        <v>111.45</v>
      </c>
      <c r="AN114" s="58">
        <f t="shared" ref="AN114" si="326">SUM(AO114:AU114)</f>
        <v>6462.0499999999993</v>
      </c>
      <c r="AO114" s="58">
        <f t="shared" ref="AO114" si="327">AW114+BE114+BM114+BU114</f>
        <v>3.25</v>
      </c>
      <c r="AP114" s="58">
        <f t="shared" ref="AP114" si="328">AX114+BF114+BN114+BV114</f>
        <v>0</v>
      </c>
      <c r="AQ114" s="58">
        <f t="shared" ref="AQ114" si="329">AY114+BG114+BO114+BW114</f>
        <v>903.42</v>
      </c>
      <c r="AR114" s="58">
        <f t="shared" ref="AR114" si="330">AZ114+BH114+BP114+BX114</f>
        <v>2899.3199999999997</v>
      </c>
      <c r="AS114" s="58">
        <f t="shared" ref="AS114" si="331">BA114+BI114+BQ114+BY114</f>
        <v>515.57000000000005</v>
      </c>
      <c r="AT114" s="58">
        <f t="shared" ref="AT114" si="332">BB114+BJ114+BR114+BZ114</f>
        <v>2003.13</v>
      </c>
      <c r="AU114" s="58">
        <f t="shared" ref="AU114" si="333">BC114+BK114+BS114+CA114</f>
        <v>137.36000000000001</v>
      </c>
      <c r="AV114" s="58">
        <f t="shared" ref="AV114" si="334">SUM(AW114:BC114)</f>
        <v>1708.8899999999999</v>
      </c>
      <c r="AW114" s="59">
        <v>0.64</v>
      </c>
      <c r="AX114" s="59">
        <v>0</v>
      </c>
      <c r="AY114" s="59">
        <v>176.64</v>
      </c>
      <c r="AZ114" s="59">
        <v>1144.53</v>
      </c>
      <c r="BA114" s="59">
        <v>21.1</v>
      </c>
      <c r="BB114" s="59">
        <v>333.23</v>
      </c>
      <c r="BC114" s="59">
        <v>32.75</v>
      </c>
      <c r="BD114" s="58">
        <f t="shared" si="151"/>
        <v>3948.42</v>
      </c>
      <c r="BE114" s="59">
        <v>0.88</v>
      </c>
      <c r="BF114" s="59">
        <v>0</v>
      </c>
      <c r="BG114" s="59">
        <v>451.93</v>
      </c>
      <c r="BH114" s="59">
        <v>1354.83</v>
      </c>
      <c r="BI114" s="59">
        <v>454.22</v>
      </c>
      <c r="BJ114" s="59">
        <v>1593.68</v>
      </c>
      <c r="BK114" s="59">
        <v>92.88</v>
      </c>
      <c r="BL114" s="58">
        <f t="shared" si="152"/>
        <v>309.19</v>
      </c>
      <c r="BM114" s="59">
        <v>0</v>
      </c>
      <c r="BN114" s="59">
        <v>0</v>
      </c>
      <c r="BO114" s="59">
        <v>171.64</v>
      </c>
      <c r="BP114" s="59">
        <v>12</v>
      </c>
      <c r="BQ114" s="59">
        <v>38.97</v>
      </c>
      <c r="BR114" s="59">
        <v>76.22</v>
      </c>
      <c r="BS114" s="59">
        <v>10.36</v>
      </c>
      <c r="BT114" s="58">
        <f t="shared" si="153"/>
        <v>495.54999999999995</v>
      </c>
      <c r="BU114" s="59">
        <v>1.73</v>
      </c>
      <c r="BV114" s="59">
        <v>0</v>
      </c>
      <c r="BW114" s="59">
        <v>103.21</v>
      </c>
      <c r="BX114" s="59">
        <v>387.96</v>
      </c>
      <c r="BY114" s="59">
        <v>1.28</v>
      </c>
      <c r="BZ114" s="59">
        <v>0</v>
      </c>
      <c r="CA114" s="59">
        <v>1.37</v>
      </c>
      <c r="CB114" s="58">
        <f t="shared" si="244"/>
        <v>1008.76</v>
      </c>
      <c r="CC114" s="59">
        <v>0</v>
      </c>
      <c r="CD114" s="59">
        <v>1008.76</v>
      </c>
      <c r="CE114" s="74">
        <v>0</v>
      </c>
    </row>
    <row r="115" spans="1:83" x14ac:dyDescent="0.35">
      <c r="A115" s="50" t="s">
        <v>520</v>
      </c>
      <c r="B115" s="58">
        <f t="shared" ref="B115" si="335">SUM(C115:I115)</f>
        <v>28947.129999999997</v>
      </c>
      <c r="C115" s="58">
        <f t="shared" ref="C115" si="336">K115+S115+AG115+AO115+AA115</f>
        <v>105.94</v>
      </c>
      <c r="D115" s="58">
        <f t="shared" ref="D115" si="337">L115+T115+AH115+AP115+CC115</f>
        <v>45.11</v>
      </c>
      <c r="E115" s="58">
        <f t="shared" ref="E115" si="338">M115+U115+AB115+AI115+AQ115+CD115</f>
        <v>15979.739999999998</v>
      </c>
      <c r="F115" s="58">
        <f t="shared" ref="F115" si="339">N115+V115+AJ115+AR115+CE115+AC115</f>
        <v>5545.5700000000006</v>
      </c>
      <c r="G115" s="58">
        <f t="shared" ref="G115" si="340">O115+W115+AD115+AK115+AS115</f>
        <v>1562.74</v>
      </c>
      <c r="H115" s="58">
        <f t="shared" ref="H115" si="341">P115+X115+AE115+AL115+AT115</f>
        <v>5457.37</v>
      </c>
      <c r="I115" s="58">
        <f t="shared" ref="I115" si="342">Q115+Y115+AM115+AU115</f>
        <v>250.65999999999997</v>
      </c>
      <c r="J115" s="58">
        <f t="shared" ref="J115" si="343">SUM(K115:Q115)</f>
        <v>155.26</v>
      </c>
      <c r="K115" s="59">
        <v>1.04</v>
      </c>
      <c r="L115" s="59">
        <v>22.15</v>
      </c>
      <c r="M115" s="59">
        <v>5.09</v>
      </c>
      <c r="N115" s="59">
        <v>91.74</v>
      </c>
      <c r="O115" s="59">
        <v>0</v>
      </c>
      <c r="P115" s="59">
        <v>35.24</v>
      </c>
      <c r="Q115" s="59">
        <v>0</v>
      </c>
      <c r="R115" s="58">
        <f t="shared" si="139"/>
        <v>3979.0499999999997</v>
      </c>
      <c r="S115" s="59">
        <v>98.44</v>
      </c>
      <c r="T115" s="59">
        <v>0</v>
      </c>
      <c r="U115" s="59">
        <v>530.4</v>
      </c>
      <c r="V115" s="59">
        <v>1255.3599999999999</v>
      </c>
      <c r="W115" s="59">
        <v>338.69</v>
      </c>
      <c r="X115" s="59">
        <v>1602.62</v>
      </c>
      <c r="Y115" s="59">
        <v>153.54</v>
      </c>
      <c r="Z115" s="58">
        <f t="shared" si="140"/>
        <v>14464.4</v>
      </c>
      <c r="AA115" s="59">
        <v>2.69</v>
      </c>
      <c r="AB115" s="59">
        <v>13295.42</v>
      </c>
      <c r="AC115" s="59">
        <v>38.049999999999997</v>
      </c>
      <c r="AD115" s="59">
        <v>767.91</v>
      </c>
      <c r="AE115" s="59">
        <v>360.33</v>
      </c>
      <c r="AF115" s="58">
        <f t="shared" si="141"/>
        <v>5077.7800000000007</v>
      </c>
      <c r="AG115" s="59">
        <v>1.22</v>
      </c>
      <c r="AH115" s="59">
        <v>22.96</v>
      </c>
      <c r="AI115" s="59">
        <v>351.22</v>
      </c>
      <c r="AJ115" s="59">
        <v>2702.05</v>
      </c>
      <c r="AK115" s="59">
        <v>167.22</v>
      </c>
      <c r="AL115" s="59">
        <v>1789.6</v>
      </c>
      <c r="AM115" s="59">
        <v>43.51</v>
      </c>
      <c r="AN115" s="58">
        <f t="shared" ref="AN115" si="344">SUM(AO115:AU115)</f>
        <v>4268.07</v>
      </c>
      <c r="AO115" s="58">
        <f t="shared" ref="AO115" si="345">AW115+BE115+BM115+BU115</f>
        <v>2.5499999999999998</v>
      </c>
      <c r="AP115" s="58">
        <f t="shared" ref="AP115" si="346">AX115+BF115+BN115+BV115</f>
        <v>0</v>
      </c>
      <c r="AQ115" s="58">
        <f t="shared" ref="AQ115" si="347">AY115+BG115+BO115+BW115</f>
        <v>795.04</v>
      </c>
      <c r="AR115" s="58">
        <f t="shared" ref="AR115" si="348">AZ115+BH115+BP115+BX115</f>
        <v>1458.3700000000001</v>
      </c>
      <c r="AS115" s="58">
        <f t="shared" ref="AS115" si="349">BA115+BI115+BQ115+BY115</f>
        <v>288.92</v>
      </c>
      <c r="AT115" s="58">
        <f t="shared" ref="AT115" si="350">BB115+BJ115+BR115+BZ115</f>
        <v>1669.58</v>
      </c>
      <c r="AU115" s="58">
        <f t="shared" ref="AU115" si="351">BC115+BK115+BS115+CA115</f>
        <v>53.61</v>
      </c>
      <c r="AV115" s="58">
        <f t="shared" ref="AV115" si="352">SUM(AW115:BC115)</f>
        <v>1073.4100000000001</v>
      </c>
      <c r="AW115" s="59">
        <v>0.61</v>
      </c>
      <c r="AX115" s="59">
        <v>0</v>
      </c>
      <c r="AY115" s="59">
        <v>138.59</v>
      </c>
      <c r="AZ115" s="59">
        <v>584.44000000000005</v>
      </c>
      <c r="BA115" s="59">
        <v>10.77</v>
      </c>
      <c r="BB115" s="59">
        <v>326.22000000000003</v>
      </c>
      <c r="BC115" s="59">
        <v>12.78</v>
      </c>
      <c r="BD115" s="58">
        <f t="shared" si="151"/>
        <v>2691.13</v>
      </c>
      <c r="BE115" s="59">
        <v>0.88</v>
      </c>
      <c r="BF115" s="59">
        <v>0</v>
      </c>
      <c r="BG115" s="59">
        <v>383.56</v>
      </c>
      <c r="BH115" s="59">
        <v>747.33</v>
      </c>
      <c r="BI115" s="59">
        <v>250.55</v>
      </c>
      <c r="BJ115" s="59">
        <v>1272.55</v>
      </c>
      <c r="BK115" s="59">
        <v>36.26</v>
      </c>
      <c r="BL115" s="58">
        <f t="shared" si="152"/>
        <v>309.91000000000003</v>
      </c>
      <c r="BM115" s="59">
        <v>0</v>
      </c>
      <c r="BN115" s="59">
        <v>0</v>
      </c>
      <c r="BO115" s="59">
        <v>195.92</v>
      </c>
      <c r="BP115" s="59">
        <v>12.66</v>
      </c>
      <c r="BQ115" s="59">
        <v>26.48</v>
      </c>
      <c r="BR115" s="59">
        <v>70.81</v>
      </c>
      <c r="BS115" s="59">
        <v>4.04</v>
      </c>
      <c r="BT115" s="58">
        <f t="shared" si="153"/>
        <v>193.62</v>
      </c>
      <c r="BU115" s="59">
        <v>1.06</v>
      </c>
      <c r="BV115" s="59">
        <v>0</v>
      </c>
      <c r="BW115" s="59">
        <v>76.97</v>
      </c>
      <c r="BX115" s="59">
        <v>113.94</v>
      </c>
      <c r="BY115" s="59">
        <v>1.1200000000000001</v>
      </c>
      <c r="BZ115" s="59">
        <v>0</v>
      </c>
      <c r="CA115" s="59">
        <v>0.53</v>
      </c>
      <c r="CB115" s="58">
        <f>SUM(CC115:CE115)</f>
        <v>1002.57</v>
      </c>
      <c r="CC115" s="59">
        <v>0</v>
      </c>
      <c r="CD115" s="59">
        <v>1002.57</v>
      </c>
      <c r="CE115" s="74">
        <v>0</v>
      </c>
    </row>
    <row r="116" spans="1:83" x14ac:dyDescent="0.35">
      <c r="A116" s="50" t="s">
        <v>522</v>
      </c>
      <c r="B116" s="58">
        <f t="shared" ref="B116" si="353">SUM(C116:I116)</f>
        <v>27476.01</v>
      </c>
      <c r="C116" s="58">
        <f t="shared" ref="C116" si="354">K116+S116+AG116+AO116+AA116</f>
        <v>104.07</v>
      </c>
      <c r="D116" s="58">
        <f t="shared" ref="D116" si="355">L116+T116+AH116+AP116+CC116</f>
        <v>35.799999999999997</v>
      </c>
      <c r="E116" s="58">
        <f t="shared" ref="E116" si="356">M116+U116+AB116+AI116+AQ116+CD116</f>
        <v>16156.349999999999</v>
      </c>
      <c r="F116" s="58">
        <f t="shared" ref="F116" si="357">N116+V116+AJ116+AR116+CE116+AC116</f>
        <v>4133.29</v>
      </c>
      <c r="G116" s="58">
        <f t="shared" ref="G116" si="358">O116+W116+AD116+AK116+AS116</f>
        <v>1392.93</v>
      </c>
      <c r="H116" s="58">
        <f t="shared" ref="H116" si="359">P116+X116+AE116+AL116+AT116</f>
        <v>5446.77</v>
      </c>
      <c r="I116" s="58">
        <f t="shared" ref="I116" si="360">Q116+Y116+AM116+AU116</f>
        <v>206.79999999999998</v>
      </c>
      <c r="J116" s="58">
        <f t="shared" ref="J116" si="361">SUM(K116:Q116)</f>
        <v>133.72999999999999</v>
      </c>
      <c r="K116" s="59">
        <v>0.99</v>
      </c>
      <c r="L116" s="59">
        <v>8.94</v>
      </c>
      <c r="M116" s="59">
        <v>5.09</v>
      </c>
      <c r="N116" s="59">
        <v>85.39</v>
      </c>
      <c r="O116" s="59">
        <v>0</v>
      </c>
      <c r="P116" s="59">
        <v>33.32</v>
      </c>
      <c r="Q116" s="59">
        <v>0</v>
      </c>
      <c r="R116" s="58">
        <f t="shared" si="139"/>
        <v>4017.79</v>
      </c>
      <c r="S116" s="59">
        <v>96.56</v>
      </c>
      <c r="T116" s="59">
        <v>0</v>
      </c>
      <c r="U116" s="59">
        <v>515.79</v>
      </c>
      <c r="V116" s="59">
        <v>1280.1199999999999</v>
      </c>
      <c r="W116" s="59">
        <v>343.32</v>
      </c>
      <c r="X116" s="59">
        <v>1628.46</v>
      </c>
      <c r="Y116" s="59">
        <v>153.54</v>
      </c>
      <c r="Z116" s="58">
        <f t="shared" si="140"/>
        <v>14278.47</v>
      </c>
      <c r="AA116" s="59">
        <v>2.69</v>
      </c>
      <c r="AB116" s="59">
        <v>13155.47</v>
      </c>
      <c r="AC116" s="59">
        <v>37.840000000000003</v>
      </c>
      <c r="AD116" s="59">
        <v>722.14</v>
      </c>
      <c r="AE116" s="59">
        <v>360.33</v>
      </c>
      <c r="AF116" s="58">
        <f t="shared" si="141"/>
        <v>3903.6499999999996</v>
      </c>
      <c r="AG116" s="59">
        <v>1.64</v>
      </c>
      <c r="AH116" s="59">
        <v>26.86</v>
      </c>
      <c r="AI116" s="59">
        <v>323.77999999999997</v>
      </c>
      <c r="AJ116" s="59">
        <v>1704</v>
      </c>
      <c r="AK116" s="59">
        <v>105.45</v>
      </c>
      <c r="AL116" s="59">
        <v>1718.06</v>
      </c>
      <c r="AM116" s="59">
        <v>23.86</v>
      </c>
      <c r="AN116" s="58">
        <f t="shared" ref="AN116" si="362">SUM(AO116:AU116)</f>
        <v>4051.94</v>
      </c>
      <c r="AO116" s="58">
        <f t="shared" ref="AO116" si="363">AW116+BE116+BM116+BU116</f>
        <v>2.19</v>
      </c>
      <c r="AP116" s="58">
        <f t="shared" ref="AP116" si="364">AX116+BF116+BN116+BV116</f>
        <v>0</v>
      </c>
      <c r="AQ116" s="58">
        <f t="shared" ref="AQ116" si="365">AY116+BG116+BO116+BW116</f>
        <v>1065.79</v>
      </c>
      <c r="AR116" s="58">
        <f t="shared" ref="AR116" si="366">AZ116+BH116+BP116+BX116</f>
        <v>1025.94</v>
      </c>
      <c r="AS116" s="58">
        <f t="shared" ref="AS116" si="367">BA116+BI116+BQ116+BY116</f>
        <v>222.02</v>
      </c>
      <c r="AT116" s="58">
        <f t="shared" ref="AT116" si="368">BB116+BJ116+BR116+BZ116</f>
        <v>1706.6000000000001</v>
      </c>
      <c r="AU116" s="58">
        <f t="shared" ref="AU116" si="369">BC116+BK116+BS116+CA116</f>
        <v>29.4</v>
      </c>
      <c r="AV116" s="58">
        <f t="shared" ref="AV116" si="370">SUM(AW116:BC116)</f>
        <v>996.99</v>
      </c>
      <c r="AW116" s="59">
        <v>0.25</v>
      </c>
      <c r="AX116" s="59">
        <v>0</v>
      </c>
      <c r="AY116" s="59">
        <v>210.89</v>
      </c>
      <c r="AZ116" s="59">
        <v>442.74</v>
      </c>
      <c r="BA116" s="59">
        <v>8.16</v>
      </c>
      <c r="BB116" s="59">
        <v>327.94</v>
      </c>
      <c r="BC116" s="59">
        <v>7.01</v>
      </c>
      <c r="BD116" s="58">
        <f t="shared" si="151"/>
        <v>2535.1400000000003</v>
      </c>
      <c r="BE116" s="59">
        <v>0.88</v>
      </c>
      <c r="BF116" s="59">
        <v>0</v>
      </c>
      <c r="BG116" s="59">
        <v>448.77</v>
      </c>
      <c r="BH116" s="59">
        <v>555.86</v>
      </c>
      <c r="BI116" s="59">
        <v>186.36</v>
      </c>
      <c r="BJ116" s="59">
        <v>1323.39</v>
      </c>
      <c r="BK116" s="59">
        <v>19.88</v>
      </c>
      <c r="BL116" s="58">
        <f t="shared" si="152"/>
        <v>363.67000000000007</v>
      </c>
      <c r="BM116" s="59">
        <v>0</v>
      </c>
      <c r="BN116" s="59">
        <v>0</v>
      </c>
      <c r="BO116" s="59">
        <v>274.23</v>
      </c>
      <c r="BP116" s="59">
        <v>5.47</v>
      </c>
      <c r="BQ116" s="59">
        <v>26.48</v>
      </c>
      <c r="BR116" s="59">
        <v>55.27</v>
      </c>
      <c r="BS116" s="59">
        <v>2.2200000000000002</v>
      </c>
      <c r="BT116" s="58">
        <f t="shared" si="153"/>
        <v>156.14000000000001</v>
      </c>
      <c r="BU116" s="59">
        <v>1.06</v>
      </c>
      <c r="BV116" s="59">
        <v>0</v>
      </c>
      <c r="BW116" s="59">
        <v>131.9</v>
      </c>
      <c r="BX116" s="59">
        <v>21.87</v>
      </c>
      <c r="BY116" s="59">
        <v>1.02</v>
      </c>
      <c r="BZ116" s="59">
        <v>0</v>
      </c>
      <c r="CA116" s="59">
        <v>0.28999999999999998</v>
      </c>
      <c r="CB116" s="58">
        <f>SUM(CC116:CE116)</f>
        <v>1090.43</v>
      </c>
      <c r="CC116" s="59">
        <v>0</v>
      </c>
      <c r="CD116" s="59">
        <v>1090.43</v>
      </c>
      <c r="CE116" s="74">
        <v>0</v>
      </c>
    </row>
    <row r="117" spans="1:83" x14ac:dyDescent="0.35">
      <c r="A117" s="50" t="s">
        <v>523</v>
      </c>
      <c r="B117" s="58">
        <f t="shared" ref="B117" si="371">SUM(C117:I117)</f>
        <v>36277.590000000004</v>
      </c>
      <c r="C117" s="58">
        <f t="shared" ref="C117" si="372">K117+S117+AG117+AO117+AA117</f>
        <v>110.80000000000001</v>
      </c>
      <c r="D117" s="58">
        <f t="shared" ref="D117" si="373">L117+T117+AH117+AP117+CC117</f>
        <v>32.89</v>
      </c>
      <c r="E117" s="58">
        <f t="shared" ref="E117" si="374">M117+U117+AB117+AI117+AQ117+CD117</f>
        <v>15877.83</v>
      </c>
      <c r="F117" s="58">
        <f t="shared" ref="F117" si="375">N117+V117+AJ117+AR117+CE117+AC117</f>
        <v>11664.18</v>
      </c>
      <c r="G117" s="58">
        <f t="shared" ref="G117" si="376">O117+W117+AD117+AK117+AS117</f>
        <v>2052.2399999999998</v>
      </c>
      <c r="H117" s="58">
        <f t="shared" ref="H117" si="377">P117+X117+AE117+AL117+AT117</f>
        <v>6176.64</v>
      </c>
      <c r="I117" s="58">
        <f t="shared" ref="I117" si="378">Q117+Y117+AM117+AU117</f>
        <v>363.01</v>
      </c>
      <c r="J117" s="58">
        <f t="shared" ref="J117" si="379">SUM(K117:Q117)</f>
        <v>123.18</v>
      </c>
      <c r="K117" s="59">
        <v>0.76</v>
      </c>
      <c r="L117" s="59">
        <v>0.59</v>
      </c>
      <c r="M117" s="59">
        <v>5.09</v>
      </c>
      <c r="N117" s="59">
        <v>81.150000000000006</v>
      </c>
      <c r="O117" s="59">
        <v>0</v>
      </c>
      <c r="P117" s="59">
        <v>35.590000000000003</v>
      </c>
      <c r="Q117" s="59">
        <v>0</v>
      </c>
      <c r="R117" s="58">
        <f t="shared" si="139"/>
        <v>4468.4800000000005</v>
      </c>
      <c r="S117" s="59">
        <v>100.81</v>
      </c>
      <c r="T117" s="59">
        <v>0</v>
      </c>
      <c r="U117" s="59">
        <v>520.57000000000005</v>
      </c>
      <c r="V117" s="59">
        <v>1600.7</v>
      </c>
      <c r="W117" s="59">
        <v>422.86</v>
      </c>
      <c r="X117" s="59">
        <v>1670</v>
      </c>
      <c r="Y117" s="59">
        <v>153.54</v>
      </c>
      <c r="Z117" s="58">
        <f t="shared" si="140"/>
        <v>13570.05</v>
      </c>
      <c r="AA117" s="59">
        <v>2.69</v>
      </c>
      <c r="AB117" s="59">
        <v>12433.36</v>
      </c>
      <c r="AC117" s="59">
        <v>41.8</v>
      </c>
      <c r="AD117" s="59">
        <v>727.57</v>
      </c>
      <c r="AE117" s="59">
        <v>364.63</v>
      </c>
      <c r="AF117" s="58">
        <f t="shared" si="141"/>
        <v>11195.789999999999</v>
      </c>
      <c r="AG117" s="59">
        <v>4.32</v>
      </c>
      <c r="AH117" s="59">
        <v>32.299999999999997</v>
      </c>
      <c r="AI117" s="59">
        <v>825.06</v>
      </c>
      <c r="AJ117" s="59">
        <v>7556.58</v>
      </c>
      <c r="AK117" s="59">
        <v>467.65</v>
      </c>
      <c r="AL117" s="59">
        <v>2216.0500000000002</v>
      </c>
      <c r="AM117" s="59">
        <v>93.83</v>
      </c>
      <c r="AN117" s="58">
        <f t="shared" ref="AN117" si="380">SUM(AO117:AU117)</f>
        <v>5805.11</v>
      </c>
      <c r="AO117" s="58">
        <f t="shared" ref="AO117" si="381">AW117+BE117+BM117+BU117</f>
        <v>2.2200000000000002</v>
      </c>
      <c r="AP117" s="58">
        <f t="shared" ref="AP117" si="382">AX117+BF117+BN117+BV117</f>
        <v>0</v>
      </c>
      <c r="AQ117" s="58">
        <f t="shared" ref="AQ117" si="383">AY117+BG117+BO117+BW117</f>
        <v>978.77</v>
      </c>
      <c r="AR117" s="58">
        <f t="shared" ref="AR117" si="384">AZ117+BH117+BP117+BX117</f>
        <v>2383.9499999999998</v>
      </c>
      <c r="AS117" s="58">
        <f t="shared" ref="AS117" si="385">BA117+BI117+BQ117+BY117</f>
        <v>434.16000000000008</v>
      </c>
      <c r="AT117" s="58">
        <f t="shared" ref="AT117" si="386">BB117+BJ117+BR117+BZ117</f>
        <v>1890.37</v>
      </c>
      <c r="AU117" s="58">
        <f t="shared" ref="AU117" si="387">BC117+BK117+BS117+CA117</f>
        <v>115.64000000000001</v>
      </c>
      <c r="AV117" s="58">
        <f t="shared" ref="AV117" si="388">SUM(AW117:BC117)</f>
        <v>1483.97</v>
      </c>
      <c r="AW117" s="59">
        <v>0.28000000000000003</v>
      </c>
      <c r="AX117" s="59">
        <v>0</v>
      </c>
      <c r="AY117" s="59">
        <v>225.31</v>
      </c>
      <c r="AZ117" s="59">
        <v>880.2</v>
      </c>
      <c r="BA117" s="59">
        <v>16.22</v>
      </c>
      <c r="BB117" s="59">
        <v>334.39</v>
      </c>
      <c r="BC117" s="59">
        <v>27.57</v>
      </c>
      <c r="BD117" s="58">
        <f t="shared" si="151"/>
        <v>3467.3199999999997</v>
      </c>
      <c r="BE117" s="59">
        <v>0.88</v>
      </c>
      <c r="BF117" s="59">
        <v>0</v>
      </c>
      <c r="BG117" s="59">
        <v>431.79</v>
      </c>
      <c r="BH117" s="59">
        <v>1127.0899999999999</v>
      </c>
      <c r="BI117" s="59">
        <v>377.86</v>
      </c>
      <c r="BJ117" s="59">
        <v>1451.5</v>
      </c>
      <c r="BK117" s="59">
        <v>78.2</v>
      </c>
      <c r="BL117" s="58">
        <f t="shared" si="152"/>
        <v>377.09000000000003</v>
      </c>
      <c r="BM117" s="59">
        <v>0</v>
      </c>
      <c r="BN117" s="59">
        <v>0</v>
      </c>
      <c r="BO117" s="59">
        <v>213.62</v>
      </c>
      <c r="BP117" s="59">
        <v>11.3</v>
      </c>
      <c r="BQ117" s="59">
        <v>38.97</v>
      </c>
      <c r="BR117" s="59">
        <v>104.48</v>
      </c>
      <c r="BS117" s="59">
        <v>8.7200000000000006</v>
      </c>
      <c r="BT117" s="58">
        <f t="shared" si="153"/>
        <v>476.73</v>
      </c>
      <c r="BU117" s="59">
        <v>1.06</v>
      </c>
      <c r="BV117" s="59">
        <v>0</v>
      </c>
      <c r="BW117" s="59">
        <v>108.05</v>
      </c>
      <c r="BX117" s="59">
        <v>365.36</v>
      </c>
      <c r="BY117" s="59">
        <v>1.1100000000000001</v>
      </c>
      <c r="BZ117" s="59">
        <v>0</v>
      </c>
      <c r="CA117" s="59">
        <v>1.1499999999999999</v>
      </c>
      <c r="CB117" s="58">
        <f>SUM(CC117:CE117)</f>
        <v>1114.98</v>
      </c>
      <c r="CC117" s="59">
        <v>0</v>
      </c>
      <c r="CD117" s="59">
        <v>1114.98</v>
      </c>
      <c r="CE117" s="74">
        <v>0</v>
      </c>
    </row>
  </sheetData>
  <pageMargins left="0.74803149606299213" right="0.74803149606299213" top="0.98425196850393704" bottom="0.98425196850393704" header="0.51181102362204722" footer="0.51181102362204722"/>
  <pageSetup paperSize="9" scale="75" orientation="landscape" r:id="rId1"/>
  <headerFooter alignWithMargins="0"/>
  <ignoredErrors>
    <ignoredError sqref="E6 E7:E99" formula="1"/>
  </ignoredError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20CAB-766F-4913-8579-FA83C86231A2}">
  <dimension ref="A1:P35"/>
  <sheetViews>
    <sheetView showGridLines="0" zoomScaleNormal="100" workbookViewId="0">
      <pane xSplit="1" ySplit="5" topLeftCell="B27" activePane="bottomRight" state="frozen"/>
      <selection pane="topRight"/>
      <selection pane="bottomLeft"/>
      <selection pane="bottomRight" activeCell="B27" sqref="B27"/>
    </sheetView>
  </sheetViews>
  <sheetFormatPr defaultRowHeight="15.5" x14ac:dyDescent="0.35"/>
  <cols>
    <col min="1" max="1" width="22.81640625" style="39" bestFit="1" customWidth="1"/>
    <col min="2" max="2" width="24.81640625" style="39" customWidth="1"/>
    <col min="3" max="3" width="27.1796875" style="39" customWidth="1"/>
    <col min="4" max="4" width="24.7265625" style="39" customWidth="1"/>
    <col min="5" max="5" width="27.1796875" style="39" customWidth="1"/>
    <col min="6" max="6" width="21.26953125" style="39" customWidth="1"/>
    <col min="7" max="7" width="25.81640625" style="39" customWidth="1"/>
    <col min="8" max="8" width="22.81640625" style="39" customWidth="1"/>
    <col min="9" max="9" width="18.54296875" style="39" customWidth="1"/>
    <col min="10" max="10" width="15.26953125" style="39" customWidth="1"/>
    <col min="11" max="11" width="9.1796875" style="39" customWidth="1"/>
    <col min="12" max="12" width="8.81640625" style="39" customWidth="1"/>
    <col min="13" max="13" width="27.1796875" style="39" customWidth="1"/>
    <col min="14" max="14" width="16.1796875" style="39" customWidth="1"/>
    <col min="15" max="15" width="13.81640625" style="39" customWidth="1"/>
    <col min="16" max="16" width="19.54296875" style="39" customWidth="1"/>
    <col min="17" max="235" width="8.7265625" style="39"/>
    <col min="236" max="236" width="27.26953125" style="39" bestFit="1" customWidth="1"/>
    <col min="237" max="237" width="12.54296875" style="39" bestFit="1" customWidth="1"/>
    <col min="238" max="239" width="12.54296875" style="39" customWidth="1"/>
    <col min="240" max="240" width="12.54296875" style="39" bestFit="1" customWidth="1"/>
    <col min="241" max="242" width="12.54296875" style="39" customWidth="1"/>
    <col min="243" max="244" width="12.1796875" style="39" bestFit="1" customWidth="1"/>
    <col min="245" max="245" width="8.7265625" style="39"/>
    <col min="246" max="246" width="22.81640625" style="39" bestFit="1" customWidth="1"/>
    <col min="247" max="247" width="12.54296875" style="39" bestFit="1" customWidth="1"/>
    <col min="248" max="248" width="13.54296875" style="39" customWidth="1"/>
    <col min="249" max="249" width="11.26953125" style="39" bestFit="1" customWidth="1"/>
    <col min="250" max="250" width="12.54296875" style="39" bestFit="1" customWidth="1"/>
    <col min="251" max="252" width="12.54296875" style="39" customWidth="1"/>
    <col min="253" max="253" width="12.1796875" style="39" bestFit="1" customWidth="1"/>
    <col min="254" max="254" width="12.1796875" style="39" customWidth="1"/>
    <col min="255" max="255" width="8.7265625" style="39"/>
    <col min="256" max="256" width="24.54296875" style="39" customWidth="1"/>
    <col min="257" max="257" width="8.1796875" style="39" bestFit="1" customWidth="1"/>
    <col min="258" max="259" width="7.54296875" style="39" bestFit="1" customWidth="1"/>
    <col min="260" max="260" width="15.1796875" style="39" customWidth="1"/>
    <col min="261" max="261" width="8.1796875" style="39" bestFit="1" customWidth="1"/>
    <col min="262" max="262" width="13.453125" style="39" customWidth="1"/>
    <col min="263" max="263" width="12.453125" style="39" customWidth="1"/>
    <col min="264" max="264" width="8.7265625" style="39"/>
    <col min="265" max="265" width="20.54296875" style="39" customWidth="1"/>
    <col min="266" max="266" width="8.1796875" style="39" bestFit="1" customWidth="1"/>
    <col min="267" max="267" width="7.54296875" style="39" bestFit="1" customWidth="1"/>
    <col min="268" max="268" width="8.1796875" style="39" bestFit="1" customWidth="1"/>
    <col min="269" max="269" width="16.26953125" style="39" customWidth="1"/>
    <col min="270" max="270" width="8.1796875" style="39" bestFit="1" customWidth="1"/>
    <col min="271" max="271" width="12.54296875" style="39" customWidth="1"/>
    <col min="272" max="272" width="13.26953125" style="39" customWidth="1"/>
    <col min="273" max="491" width="8.7265625" style="39"/>
    <col min="492" max="492" width="27.26953125" style="39" bestFit="1" customWidth="1"/>
    <col min="493" max="493" width="12.54296875" style="39" bestFit="1" customWidth="1"/>
    <col min="494" max="495" width="12.54296875" style="39" customWidth="1"/>
    <col min="496" max="496" width="12.54296875" style="39" bestFit="1" customWidth="1"/>
    <col min="497" max="498" width="12.54296875" style="39" customWidth="1"/>
    <col min="499" max="500" width="12.1796875" style="39" bestFit="1" customWidth="1"/>
    <col min="501" max="501" width="8.7265625" style="39"/>
    <col min="502" max="502" width="22.81640625" style="39" bestFit="1" customWidth="1"/>
    <col min="503" max="503" width="12.54296875" style="39" bestFit="1" customWidth="1"/>
    <col min="504" max="504" width="13.54296875" style="39" customWidth="1"/>
    <col min="505" max="505" width="11.26953125" style="39" bestFit="1" customWidth="1"/>
    <col min="506" max="506" width="12.54296875" style="39" bestFit="1" customWidth="1"/>
    <col min="507" max="508" width="12.54296875" style="39" customWidth="1"/>
    <col min="509" max="509" width="12.1796875" style="39" bestFit="1" customWidth="1"/>
    <col min="510" max="510" width="12.1796875" style="39" customWidth="1"/>
    <col min="511" max="511" width="8.7265625" style="39"/>
    <col min="512" max="512" width="24.54296875" style="39" customWidth="1"/>
    <col min="513" max="513" width="8.1796875" style="39" bestFit="1" customWidth="1"/>
    <col min="514" max="515" width="7.54296875" style="39" bestFit="1" customWidth="1"/>
    <col min="516" max="516" width="15.1796875" style="39" customWidth="1"/>
    <col min="517" max="517" width="8.1796875" style="39" bestFit="1" customWidth="1"/>
    <col min="518" max="518" width="13.453125" style="39" customWidth="1"/>
    <col min="519" max="519" width="12.453125" style="39" customWidth="1"/>
    <col min="520" max="520" width="8.7265625" style="39"/>
    <col min="521" max="521" width="20.54296875" style="39" customWidth="1"/>
    <col min="522" max="522" width="8.1796875" style="39" bestFit="1" customWidth="1"/>
    <col min="523" max="523" width="7.54296875" style="39" bestFit="1" customWidth="1"/>
    <col min="524" max="524" width="8.1796875" style="39" bestFit="1" customWidth="1"/>
    <col min="525" max="525" width="16.26953125" style="39" customWidth="1"/>
    <col min="526" max="526" width="8.1796875" style="39" bestFit="1" customWidth="1"/>
    <col min="527" max="527" width="12.54296875" style="39" customWidth="1"/>
    <col min="528" max="528" width="13.26953125" style="39" customWidth="1"/>
    <col min="529" max="747" width="8.7265625" style="39"/>
    <col min="748" max="748" width="27.26953125" style="39" bestFit="1" customWidth="1"/>
    <col min="749" max="749" width="12.54296875" style="39" bestFit="1" customWidth="1"/>
    <col min="750" max="751" width="12.54296875" style="39" customWidth="1"/>
    <col min="752" max="752" width="12.54296875" style="39" bestFit="1" customWidth="1"/>
    <col min="753" max="754" width="12.54296875" style="39" customWidth="1"/>
    <col min="755" max="756" width="12.1796875" style="39" bestFit="1" customWidth="1"/>
    <col min="757" max="757" width="8.7265625" style="39"/>
    <col min="758" max="758" width="22.81640625" style="39" bestFit="1" customWidth="1"/>
    <col min="759" max="759" width="12.54296875" style="39" bestFit="1" customWidth="1"/>
    <col min="760" max="760" width="13.54296875" style="39" customWidth="1"/>
    <col min="761" max="761" width="11.26953125" style="39" bestFit="1" customWidth="1"/>
    <col min="762" max="762" width="12.54296875" style="39" bestFit="1" customWidth="1"/>
    <col min="763" max="764" width="12.54296875" style="39" customWidth="1"/>
    <col min="765" max="765" width="12.1796875" style="39" bestFit="1" customWidth="1"/>
    <col min="766" max="766" width="12.1796875" style="39" customWidth="1"/>
    <col min="767" max="767" width="8.7265625" style="39"/>
    <col min="768" max="768" width="24.54296875" style="39" customWidth="1"/>
    <col min="769" max="769" width="8.1796875" style="39" bestFit="1" customWidth="1"/>
    <col min="770" max="771" width="7.54296875" style="39" bestFit="1" customWidth="1"/>
    <col min="772" max="772" width="15.1796875" style="39" customWidth="1"/>
    <col min="773" max="773" width="8.1796875" style="39" bestFit="1" customWidth="1"/>
    <col min="774" max="774" width="13.453125" style="39" customWidth="1"/>
    <col min="775" max="775" width="12.453125" style="39" customWidth="1"/>
    <col min="776" max="776" width="8.7265625" style="39"/>
    <col min="777" max="777" width="20.54296875" style="39" customWidth="1"/>
    <col min="778" max="778" width="8.1796875" style="39" bestFit="1" customWidth="1"/>
    <col min="779" max="779" width="7.54296875" style="39" bestFit="1" customWidth="1"/>
    <col min="780" max="780" width="8.1796875" style="39" bestFit="1" customWidth="1"/>
    <col min="781" max="781" width="16.26953125" style="39" customWidth="1"/>
    <col min="782" max="782" width="8.1796875" style="39" bestFit="1" customWidth="1"/>
    <col min="783" max="783" width="12.54296875" style="39" customWidth="1"/>
    <col min="784" max="784" width="13.26953125" style="39" customWidth="1"/>
    <col min="785" max="1003" width="8.7265625" style="39"/>
    <col min="1004" max="1004" width="27.26953125" style="39" bestFit="1" customWidth="1"/>
    <col min="1005" max="1005" width="12.54296875" style="39" bestFit="1" customWidth="1"/>
    <col min="1006" max="1007" width="12.54296875" style="39" customWidth="1"/>
    <col min="1008" max="1008" width="12.54296875" style="39" bestFit="1" customWidth="1"/>
    <col min="1009" max="1010" width="12.54296875" style="39" customWidth="1"/>
    <col min="1011" max="1012" width="12.1796875" style="39" bestFit="1" customWidth="1"/>
    <col min="1013" max="1013" width="8.7265625" style="39"/>
    <col min="1014" max="1014" width="22.81640625" style="39" bestFit="1" customWidth="1"/>
    <col min="1015" max="1015" width="12.54296875" style="39" bestFit="1" customWidth="1"/>
    <col min="1016" max="1016" width="13.54296875" style="39" customWidth="1"/>
    <col min="1017" max="1017" width="11.26953125" style="39" bestFit="1" customWidth="1"/>
    <col min="1018" max="1018" width="12.54296875" style="39" bestFit="1" customWidth="1"/>
    <col min="1019" max="1020" width="12.54296875" style="39" customWidth="1"/>
    <col min="1021" max="1021" width="12.1796875" style="39" bestFit="1" customWidth="1"/>
    <col min="1022" max="1022" width="12.1796875" style="39" customWidth="1"/>
    <col min="1023" max="1023" width="8.7265625" style="39"/>
    <col min="1024" max="1024" width="24.54296875" style="39" customWidth="1"/>
    <col min="1025" max="1025" width="8.1796875" style="39" bestFit="1" customWidth="1"/>
    <col min="1026" max="1027" width="7.54296875" style="39" bestFit="1" customWidth="1"/>
    <col min="1028" max="1028" width="15.1796875" style="39" customWidth="1"/>
    <col min="1029" max="1029" width="8.1796875" style="39" bestFit="1" customWidth="1"/>
    <col min="1030" max="1030" width="13.453125" style="39" customWidth="1"/>
    <col min="1031" max="1031" width="12.453125" style="39" customWidth="1"/>
    <col min="1032" max="1032" width="8.7265625" style="39"/>
    <col min="1033" max="1033" width="20.54296875" style="39" customWidth="1"/>
    <col min="1034" max="1034" width="8.1796875" style="39" bestFit="1" customWidth="1"/>
    <col min="1035" max="1035" width="7.54296875" style="39" bestFit="1" customWidth="1"/>
    <col min="1036" max="1036" width="8.1796875" style="39" bestFit="1" customWidth="1"/>
    <col min="1037" max="1037" width="16.26953125" style="39" customWidth="1"/>
    <col min="1038" max="1038" width="8.1796875" style="39" bestFit="1" customWidth="1"/>
    <col min="1039" max="1039" width="12.54296875" style="39" customWidth="1"/>
    <col min="1040" max="1040" width="13.26953125" style="39" customWidth="1"/>
    <col min="1041" max="1259" width="8.7265625" style="39"/>
    <col min="1260" max="1260" width="27.26953125" style="39" bestFit="1" customWidth="1"/>
    <col min="1261" max="1261" width="12.54296875" style="39" bestFit="1" customWidth="1"/>
    <col min="1262" max="1263" width="12.54296875" style="39" customWidth="1"/>
    <col min="1264" max="1264" width="12.54296875" style="39" bestFit="1" customWidth="1"/>
    <col min="1265" max="1266" width="12.54296875" style="39" customWidth="1"/>
    <col min="1267" max="1268" width="12.1796875" style="39" bestFit="1" customWidth="1"/>
    <col min="1269" max="1269" width="8.7265625" style="39"/>
    <col min="1270" max="1270" width="22.81640625" style="39" bestFit="1" customWidth="1"/>
    <col min="1271" max="1271" width="12.54296875" style="39" bestFit="1" customWidth="1"/>
    <col min="1272" max="1272" width="13.54296875" style="39" customWidth="1"/>
    <col min="1273" max="1273" width="11.26953125" style="39" bestFit="1" customWidth="1"/>
    <col min="1274" max="1274" width="12.54296875" style="39" bestFit="1" customWidth="1"/>
    <col min="1275" max="1276" width="12.54296875" style="39" customWidth="1"/>
    <col min="1277" max="1277" width="12.1796875" style="39" bestFit="1" customWidth="1"/>
    <col min="1278" max="1278" width="12.1796875" style="39" customWidth="1"/>
    <col min="1279" max="1279" width="8.7265625" style="39"/>
    <col min="1280" max="1280" width="24.54296875" style="39" customWidth="1"/>
    <col min="1281" max="1281" width="8.1796875" style="39" bestFit="1" customWidth="1"/>
    <col min="1282" max="1283" width="7.54296875" style="39" bestFit="1" customWidth="1"/>
    <col min="1284" max="1284" width="15.1796875" style="39" customWidth="1"/>
    <col min="1285" max="1285" width="8.1796875" style="39" bestFit="1" customWidth="1"/>
    <col min="1286" max="1286" width="13.453125" style="39" customWidth="1"/>
    <col min="1287" max="1287" width="12.453125" style="39" customWidth="1"/>
    <col min="1288" max="1288" width="8.7265625" style="39"/>
    <col min="1289" max="1289" width="20.54296875" style="39" customWidth="1"/>
    <col min="1290" max="1290" width="8.1796875" style="39" bestFit="1" customWidth="1"/>
    <col min="1291" max="1291" width="7.54296875" style="39" bestFit="1" customWidth="1"/>
    <col min="1292" max="1292" width="8.1796875" style="39" bestFit="1" customWidth="1"/>
    <col min="1293" max="1293" width="16.26953125" style="39" customWidth="1"/>
    <col min="1294" max="1294" width="8.1796875" style="39" bestFit="1" customWidth="1"/>
    <col min="1295" max="1295" width="12.54296875" style="39" customWidth="1"/>
    <col min="1296" max="1296" width="13.26953125" style="39" customWidth="1"/>
    <col min="1297" max="1515" width="8.7265625" style="39"/>
    <col min="1516" max="1516" width="27.26953125" style="39" bestFit="1" customWidth="1"/>
    <col min="1517" max="1517" width="12.54296875" style="39" bestFit="1" customWidth="1"/>
    <col min="1518" max="1519" width="12.54296875" style="39" customWidth="1"/>
    <col min="1520" max="1520" width="12.54296875" style="39" bestFit="1" customWidth="1"/>
    <col min="1521" max="1522" width="12.54296875" style="39" customWidth="1"/>
    <col min="1523" max="1524" width="12.1796875" style="39" bestFit="1" customWidth="1"/>
    <col min="1525" max="1525" width="8.7265625" style="39"/>
    <col min="1526" max="1526" width="22.81640625" style="39" bestFit="1" customWidth="1"/>
    <col min="1527" max="1527" width="12.54296875" style="39" bestFit="1" customWidth="1"/>
    <col min="1528" max="1528" width="13.54296875" style="39" customWidth="1"/>
    <col min="1529" max="1529" width="11.26953125" style="39" bestFit="1" customWidth="1"/>
    <col min="1530" max="1530" width="12.54296875" style="39" bestFit="1" customWidth="1"/>
    <col min="1531" max="1532" width="12.54296875" style="39" customWidth="1"/>
    <col min="1533" max="1533" width="12.1796875" style="39" bestFit="1" customWidth="1"/>
    <col min="1534" max="1534" width="12.1796875" style="39" customWidth="1"/>
    <col min="1535" max="1535" width="8.7265625" style="39"/>
    <col min="1536" max="1536" width="24.54296875" style="39" customWidth="1"/>
    <col min="1537" max="1537" width="8.1796875" style="39" bestFit="1" customWidth="1"/>
    <col min="1538" max="1539" width="7.54296875" style="39" bestFit="1" customWidth="1"/>
    <col min="1540" max="1540" width="15.1796875" style="39" customWidth="1"/>
    <col min="1541" max="1541" width="8.1796875" style="39" bestFit="1" customWidth="1"/>
    <col min="1542" max="1542" width="13.453125" style="39" customWidth="1"/>
    <col min="1543" max="1543" width="12.453125" style="39" customWidth="1"/>
    <col min="1544" max="1544" width="8.7265625" style="39"/>
    <col min="1545" max="1545" width="20.54296875" style="39" customWidth="1"/>
    <col min="1546" max="1546" width="8.1796875" style="39" bestFit="1" customWidth="1"/>
    <col min="1547" max="1547" width="7.54296875" style="39" bestFit="1" customWidth="1"/>
    <col min="1548" max="1548" width="8.1796875" style="39" bestFit="1" customWidth="1"/>
    <col min="1549" max="1549" width="16.26953125" style="39" customWidth="1"/>
    <col min="1550" max="1550" width="8.1796875" style="39" bestFit="1" customWidth="1"/>
    <col min="1551" max="1551" width="12.54296875" style="39" customWidth="1"/>
    <col min="1552" max="1552" width="13.26953125" style="39" customWidth="1"/>
    <col min="1553" max="1771" width="8.7265625" style="39"/>
    <col min="1772" max="1772" width="27.26953125" style="39" bestFit="1" customWidth="1"/>
    <col min="1773" max="1773" width="12.54296875" style="39" bestFit="1" customWidth="1"/>
    <col min="1774" max="1775" width="12.54296875" style="39" customWidth="1"/>
    <col min="1776" max="1776" width="12.54296875" style="39" bestFit="1" customWidth="1"/>
    <col min="1777" max="1778" width="12.54296875" style="39" customWidth="1"/>
    <col min="1779" max="1780" width="12.1796875" style="39" bestFit="1" customWidth="1"/>
    <col min="1781" max="1781" width="8.7265625" style="39"/>
    <col min="1782" max="1782" width="22.81640625" style="39" bestFit="1" customWidth="1"/>
    <col min="1783" max="1783" width="12.54296875" style="39" bestFit="1" customWidth="1"/>
    <col min="1784" max="1784" width="13.54296875" style="39" customWidth="1"/>
    <col min="1785" max="1785" width="11.26953125" style="39" bestFit="1" customWidth="1"/>
    <col min="1786" max="1786" width="12.54296875" style="39" bestFit="1" customWidth="1"/>
    <col min="1787" max="1788" width="12.54296875" style="39" customWidth="1"/>
    <col min="1789" max="1789" width="12.1796875" style="39" bestFit="1" customWidth="1"/>
    <col min="1790" max="1790" width="12.1796875" style="39" customWidth="1"/>
    <col min="1791" max="1791" width="8.7265625" style="39"/>
    <col min="1792" max="1792" width="24.54296875" style="39" customWidth="1"/>
    <col min="1793" max="1793" width="8.1796875" style="39" bestFit="1" customWidth="1"/>
    <col min="1794" max="1795" width="7.54296875" style="39" bestFit="1" customWidth="1"/>
    <col min="1796" max="1796" width="15.1796875" style="39" customWidth="1"/>
    <col min="1797" max="1797" width="8.1796875" style="39" bestFit="1" customWidth="1"/>
    <col min="1798" max="1798" width="13.453125" style="39" customWidth="1"/>
    <col min="1799" max="1799" width="12.453125" style="39" customWidth="1"/>
    <col min="1800" max="1800" width="8.7265625" style="39"/>
    <col min="1801" max="1801" width="20.54296875" style="39" customWidth="1"/>
    <col min="1802" max="1802" width="8.1796875" style="39" bestFit="1" customWidth="1"/>
    <col min="1803" max="1803" width="7.54296875" style="39" bestFit="1" customWidth="1"/>
    <col min="1804" max="1804" width="8.1796875" style="39" bestFit="1" customWidth="1"/>
    <col min="1805" max="1805" width="16.26953125" style="39" customWidth="1"/>
    <col min="1806" max="1806" width="8.1796875" style="39" bestFit="1" customWidth="1"/>
    <col min="1807" max="1807" width="12.54296875" style="39" customWidth="1"/>
    <col min="1808" max="1808" width="13.26953125" style="39" customWidth="1"/>
    <col min="1809" max="2027" width="8.7265625" style="39"/>
    <col min="2028" max="2028" width="27.26953125" style="39" bestFit="1" customWidth="1"/>
    <col min="2029" max="2029" width="12.54296875" style="39" bestFit="1" customWidth="1"/>
    <col min="2030" max="2031" width="12.54296875" style="39" customWidth="1"/>
    <col min="2032" max="2032" width="12.54296875" style="39" bestFit="1" customWidth="1"/>
    <col min="2033" max="2034" width="12.54296875" style="39" customWidth="1"/>
    <col min="2035" max="2036" width="12.1796875" style="39" bestFit="1" customWidth="1"/>
    <col min="2037" max="2037" width="8.7265625" style="39"/>
    <col min="2038" max="2038" width="22.81640625" style="39" bestFit="1" customWidth="1"/>
    <col min="2039" max="2039" width="12.54296875" style="39" bestFit="1" customWidth="1"/>
    <col min="2040" max="2040" width="13.54296875" style="39" customWidth="1"/>
    <col min="2041" max="2041" width="11.26953125" style="39" bestFit="1" customWidth="1"/>
    <col min="2042" max="2042" width="12.54296875" style="39" bestFit="1" customWidth="1"/>
    <col min="2043" max="2044" width="12.54296875" style="39" customWidth="1"/>
    <col min="2045" max="2045" width="12.1796875" style="39" bestFit="1" customWidth="1"/>
    <col min="2046" max="2046" width="12.1796875" style="39" customWidth="1"/>
    <col min="2047" max="2047" width="8.7265625" style="39"/>
    <col min="2048" max="2048" width="24.54296875" style="39" customWidth="1"/>
    <col min="2049" max="2049" width="8.1796875" style="39" bestFit="1" customWidth="1"/>
    <col min="2050" max="2051" width="7.54296875" style="39" bestFit="1" customWidth="1"/>
    <col min="2052" max="2052" width="15.1796875" style="39" customWidth="1"/>
    <col min="2053" max="2053" width="8.1796875" style="39" bestFit="1" customWidth="1"/>
    <col min="2054" max="2054" width="13.453125" style="39" customWidth="1"/>
    <col min="2055" max="2055" width="12.453125" style="39" customWidth="1"/>
    <col min="2056" max="2056" width="8.7265625" style="39"/>
    <col min="2057" max="2057" width="20.54296875" style="39" customWidth="1"/>
    <col min="2058" max="2058" width="8.1796875" style="39" bestFit="1" customWidth="1"/>
    <col min="2059" max="2059" width="7.54296875" style="39" bestFit="1" customWidth="1"/>
    <col min="2060" max="2060" width="8.1796875" style="39" bestFit="1" customWidth="1"/>
    <col min="2061" max="2061" width="16.26953125" style="39" customWidth="1"/>
    <col min="2062" max="2062" width="8.1796875" style="39" bestFit="1" customWidth="1"/>
    <col min="2063" max="2063" width="12.54296875" style="39" customWidth="1"/>
    <col min="2064" max="2064" width="13.26953125" style="39" customWidth="1"/>
    <col min="2065" max="2283" width="8.7265625" style="39"/>
    <col min="2284" max="2284" width="27.26953125" style="39" bestFit="1" customWidth="1"/>
    <col min="2285" max="2285" width="12.54296875" style="39" bestFit="1" customWidth="1"/>
    <col min="2286" max="2287" width="12.54296875" style="39" customWidth="1"/>
    <col min="2288" max="2288" width="12.54296875" style="39" bestFit="1" customWidth="1"/>
    <col min="2289" max="2290" width="12.54296875" style="39" customWidth="1"/>
    <col min="2291" max="2292" width="12.1796875" style="39" bestFit="1" customWidth="1"/>
    <col min="2293" max="2293" width="8.7265625" style="39"/>
    <col min="2294" max="2294" width="22.81640625" style="39" bestFit="1" customWidth="1"/>
    <col min="2295" max="2295" width="12.54296875" style="39" bestFit="1" customWidth="1"/>
    <col min="2296" max="2296" width="13.54296875" style="39" customWidth="1"/>
    <col min="2297" max="2297" width="11.26953125" style="39" bestFit="1" customWidth="1"/>
    <col min="2298" max="2298" width="12.54296875" style="39" bestFit="1" customWidth="1"/>
    <col min="2299" max="2300" width="12.54296875" style="39" customWidth="1"/>
    <col min="2301" max="2301" width="12.1796875" style="39" bestFit="1" customWidth="1"/>
    <col min="2302" max="2302" width="12.1796875" style="39" customWidth="1"/>
    <col min="2303" max="2303" width="8.7265625" style="39"/>
    <col min="2304" max="2304" width="24.54296875" style="39" customWidth="1"/>
    <col min="2305" max="2305" width="8.1796875" style="39" bestFit="1" customWidth="1"/>
    <col min="2306" max="2307" width="7.54296875" style="39" bestFit="1" customWidth="1"/>
    <col min="2308" max="2308" width="15.1796875" style="39" customWidth="1"/>
    <col min="2309" max="2309" width="8.1796875" style="39" bestFit="1" customWidth="1"/>
    <col min="2310" max="2310" width="13.453125" style="39" customWidth="1"/>
    <col min="2311" max="2311" width="12.453125" style="39" customWidth="1"/>
    <col min="2312" max="2312" width="8.7265625" style="39"/>
    <col min="2313" max="2313" width="20.54296875" style="39" customWidth="1"/>
    <col min="2314" max="2314" width="8.1796875" style="39" bestFit="1" customWidth="1"/>
    <col min="2315" max="2315" width="7.54296875" style="39" bestFit="1" customWidth="1"/>
    <col min="2316" max="2316" width="8.1796875" style="39" bestFit="1" customWidth="1"/>
    <col min="2317" max="2317" width="16.26953125" style="39" customWidth="1"/>
    <col min="2318" max="2318" width="8.1796875" style="39" bestFit="1" customWidth="1"/>
    <col min="2319" max="2319" width="12.54296875" style="39" customWidth="1"/>
    <col min="2320" max="2320" width="13.26953125" style="39" customWidth="1"/>
    <col min="2321" max="2539" width="8.7265625" style="39"/>
    <col min="2540" max="2540" width="27.26953125" style="39" bestFit="1" customWidth="1"/>
    <col min="2541" max="2541" width="12.54296875" style="39" bestFit="1" customWidth="1"/>
    <col min="2542" max="2543" width="12.54296875" style="39" customWidth="1"/>
    <col min="2544" max="2544" width="12.54296875" style="39" bestFit="1" customWidth="1"/>
    <col min="2545" max="2546" width="12.54296875" style="39" customWidth="1"/>
    <col min="2547" max="2548" width="12.1796875" style="39" bestFit="1" customWidth="1"/>
    <col min="2549" max="2549" width="8.7265625" style="39"/>
    <col min="2550" max="2550" width="22.81640625" style="39" bestFit="1" customWidth="1"/>
    <col min="2551" max="2551" width="12.54296875" style="39" bestFit="1" customWidth="1"/>
    <col min="2552" max="2552" width="13.54296875" style="39" customWidth="1"/>
    <col min="2553" max="2553" width="11.26953125" style="39" bestFit="1" customWidth="1"/>
    <col min="2554" max="2554" width="12.54296875" style="39" bestFit="1" customWidth="1"/>
    <col min="2555" max="2556" width="12.54296875" style="39" customWidth="1"/>
    <col min="2557" max="2557" width="12.1796875" style="39" bestFit="1" customWidth="1"/>
    <col min="2558" max="2558" width="12.1796875" style="39" customWidth="1"/>
    <col min="2559" max="2559" width="8.7265625" style="39"/>
    <col min="2560" max="2560" width="24.54296875" style="39" customWidth="1"/>
    <col min="2561" max="2561" width="8.1796875" style="39" bestFit="1" customWidth="1"/>
    <col min="2562" max="2563" width="7.54296875" style="39" bestFit="1" customWidth="1"/>
    <col min="2564" max="2564" width="15.1796875" style="39" customWidth="1"/>
    <col min="2565" max="2565" width="8.1796875" style="39" bestFit="1" customWidth="1"/>
    <col min="2566" max="2566" width="13.453125" style="39" customWidth="1"/>
    <col min="2567" max="2567" width="12.453125" style="39" customWidth="1"/>
    <col min="2568" max="2568" width="8.7265625" style="39"/>
    <col min="2569" max="2569" width="20.54296875" style="39" customWidth="1"/>
    <col min="2570" max="2570" width="8.1796875" style="39" bestFit="1" customWidth="1"/>
    <col min="2571" max="2571" width="7.54296875" style="39" bestFit="1" customWidth="1"/>
    <col min="2572" max="2572" width="8.1796875" style="39" bestFit="1" customWidth="1"/>
    <col min="2573" max="2573" width="16.26953125" style="39" customWidth="1"/>
    <col min="2574" max="2574" width="8.1796875" style="39" bestFit="1" customWidth="1"/>
    <col min="2575" max="2575" width="12.54296875" style="39" customWidth="1"/>
    <col min="2576" max="2576" width="13.26953125" style="39" customWidth="1"/>
    <col min="2577" max="2795" width="8.7265625" style="39"/>
    <col min="2796" max="2796" width="27.26953125" style="39" bestFit="1" customWidth="1"/>
    <col min="2797" max="2797" width="12.54296875" style="39" bestFit="1" customWidth="1"/>
    <col min="2798" max="2799" width="12.54296875" style="39" customWidth="1"/>
    <col min="2800" max="2800" width="12.54296875" style="39" bestFit="1" customWidth="1"/>
    <col min="2801" max="2802" width="12.54296875" style="39" customWidth="1"/>
    <col min="2803" max="2804" width="12.1796875" style="39" bestFit="1" customWidth="1"/>
    <col min="2805" max="2805" width="8.7265625" style="39"/>
    <col min="2806" max="2806" width="22.81640625" style="39" bestFit="1" customWidth="1"/>
    <col min="2807" max="2807" width="12.54296875" style="39" bestFit="1" customWidth="1"/>
    <col min="2808" max="2808" width="13.54296875" style="39" customWidth="1"/>
    <col min="2809" max="2809" width="11.26953125" style="39" bestFit="1" customWidth="1"/>
    <col min="2810" max="2810" width="12.54296875" style="39" bestFit="1" customWidth="1"/>
    <col min="2811" max="2812" width="12.54296875" style="39" customWidth="1"/>
    <col min="2813" max="2813" width="12.1796875" style="39" bestFit="1" customWidth="1"/>
    <col min="2814" max="2814" width="12.1796875" style="39" customWidth="1"/>
    <col min="2815" max="2815" width="8.7265625" style="39"/>
    <col min="2816" max="2816" width="24.54296875" style="39" customWidth="1"/>
    <col min="2817" max="2817" width="8.1796875" style="39" bestFit="1" customWidth="1"/>
    <col min="2818" max="2819" width="7.54296875" style="39" bestFit="1" customWidth="1"/>
    <col min="2820" max="2820" width="15.1796875" style="39" customWidth="1"/>
    <col min="2821" max="2821" width="8.1796875" style="39" bestFit="1" customWidth="1"/>
    <col min="2822" max="2822" width="13.453125" style="39" customWidth="1"/>
    <col min="2823" max="2823" width="12.453125" style="39" customWidth="1"/>
    <col min="2824" max="2824" width="8.7265625" style="39"/>
    <col min="2825" max="2825" width="20.54296875" style="39" customWidth="1"/>
    <col min="2826" max="2826" width="8.1796875" style="39" bestFit="1" customWidth="1"/>
    <col min="2827" max="2827" width="7.54296875" style="39" bestFit="1" customWidth="1"/>
    <col min="2828" max="2828" width="8.1796875" style="39" bestFit="1" customWidth="1"/>
    <col min="2829" max="2829" width="16.26953125" style="39" customWidth="1"/>
    <col min="2830" max="2830" width="8.1796875" style="39" bestFit="1" customWidth="1"/>
    <col min="2831" max="2831" width="12.54296875" style="39" customWidth="1"/>
    <col min="2832" max="2832" width="13.26953125" style="39" customWidth="1"/>
    <col min="2833" max="3051" width="8.7265625" style="39"/>
    <col min="3052" max="3052" width="27.26953125" style="39" bestFit="1" customWidth="1"/>
    <col min="3053" max="3053" width="12.54296875" style="39" bestFit="1" customWidth="1"/>
    <col min="3054" max="3055" width="12.54296875" style="39" customWidth="1"/>
    <col min="3056" max="3056" width="12.54296875" style="39" bestFit="1" customWidth="1"/>
    <col min="3057" max="3058" width="12.54296875" style="39" customWidth="1"/>
    <col min="3059" max="3060" width="12.1796875" style="39" bestFit="1" customWidth="1"/>
    <col min="3061" max="3061" width="8.7265625" style="39"/>
    <col min="3062" max="3062" width="22.81640625" style="39" bestFit="1" customWidth="1"/>
    <col min="3063" max="3063" width="12.54296875" style="39" bestFit="1" customWidth="1"/>
    <col min="3064" max="3064" width="13.54296875" style="39" customWidth="1"/>
    <col min="3065" max="3065" width="11.26953125" style="39" bestFit="1" customWidth="1"/>
    <col min="3066" max="3066" width="12.54296875" style="39" bestFit="1" customWidth="1"/>
    <col min="3067" max="3068" width="12.54296875" style="39" customWidth="1"/>
    <col min="3069" max="3069" width="12.1796875" style="39" bestFit="1" customWidth="1"/>
    <col min="3070" max="3070" width="12.1796875" style="39" customWidth="1"/>
    <col min="3071" max="3071" width="8.7265625" style="39"/>
    <col min="3072" max="3072" width="24.54296875" style="39" customWidth="1"/>
    <col min="3073" max="3073" width="8.1796875" style="39" bestFit="1" customWidth="1"/>
    <col min="3074" max="3075" width="7.54296875" style="39" bestFit="1" customWidth="1"/>
    <col min="3076" max="3076" width="15.1796875" style="39" customWidth="1"/>
    <col min="3077" max="3077" width="8.1796875" style="39" bestFit="1" customWidth="1"/>
    <col min="3078" max="3078" width="13.453125" style="39" customWidth="1"/>
    <col min="3079" max="3079" width="12.453125" style="39" customWidth="1"/>
    <col min="3080" max="3080" width="8.7265625" style="39"/>
    <col min="3081" max="3081" width="20.54296875" style="39" customWidth="1"/>
    <col min="3082" max="3082" width="8.1796875" style="39" bestFit="1" customWidth="1"/>
    <col min="3083" max="3083" width="7.54296875" style="39" bestFit="1" customWidth="1"/>
    <col min="3084" max="3084" width="8.1796875" style="39" bestFit="1" customWidth="1"/>
    <col min="3085" max="3085" width="16.26953125" style="39" customWidth="1"/>
    <col min="3086" max="3086" width="8.1796875" style="39" bestFit="1" customWidth="1"/>
    <col min="3087" max="3087" width="12.54296875" style="39" customWidth="1"/>
    <col min="3088" max="3088" width="13.26953125" style="39" customWidth="1"/>
    <col min="3089" max="3307" width="8.7265625" style="39"/>
    <col min="3308" max="3308" width="27.26953125" style="39" bestFit="1" customWidth="1"/>
    <col min="3309" max="3309" width="12.54296875" style="39" bestFit="1" customWidth="1"/>
    <col min="3310" max="3311" width="12.54296875" style="39" customWidth="1"/>
    <col min="3312" max="3312" width="12.54296875" style="39" bestFit="1" customWidth="1"/>
    <col min="3313" max="3314" width="12.54296875" style="39" customWidth="1"/>
    <col min="3315" max="3316" width="12.1796875" style="39" bestFit="1" customWidth="1"/>
    <col min="3317" max="3317" width="8.7265625" style="39"/>
    <col min="3318" max="3318" width="22.81640625" style="39" bestFit="1" customWidth="1"/>
    <col min="3319" max="3319" width="12.54296875" style="39" bestFit="1" customWidth="1"/>
    <col min="3320" max="3320" width="13.54296875" style="39" customWidth="1"/>
    <col min="3321" max="3321" width="11.26953125" style="39" bestFit="1" customWidth="1"/>
    <col min="3322" max="3322" width="12.54296875" style="39" bestFit="1" customWidth="1"/>
    <col min="3323" max="3324" width="12.54296875" style="39" customWidth="1"/>
    <col min="3325" max="3325" width="12.1796875" style="39" bestFit="1" customWidth="1"/>
    <col min="3326" max="3326" width="12.1796875" style="39" customWidth="1"/>
    <col min="3327" max="3327" width="8.7265625" style="39"/>
    <col min="3328" max="3328" width="24.54296875" style="39" customWidth="1"/>
    <col min="3329" max="3329" width="8.1796875" style="39" bestFit="1" customWidth="1"/>
    <col min="3330" max="3331" width="7.54296875" style="39" bestFit="1" customWidth="1"/>
    <col min="3332" max="3332" width="15.1796875" style="39" customWidth="1"/>
    <col min="3333" max="3333" width="8.1796875" style="39" bestFit="1" customWidth="1"/>
    <col min="3334" max="3334" width="13.453125" style="39" customWidth="1"/>
    <col min="3335" max="3335" width="12.453125" style="39" customWidth="1"/>
    <col min="3336" max="3336" width="8.7265625" style="39"/>
    <col min="3337" max="3337" width="20.54296875" style="39" customWidth="1"/>
    <col min="3338" max="3338" width="8.1796875" style="39" bestFit="1" customWidth="1"/>
    <col min="3339" max="3339" width="7.54296875" style="39" bestFit="1" customWidth="1"/>
    <col min="3340" max="3340" width="8.1796875" style="39" bestFit="1" customWidth="1"/>
    <col min="3341" max="3341" width="16.26953125" style="39" customWidth="1"/>
    <col min="3342" max="3342" width="8.1796875" style="39" bestFit="1" customWidth="1"/>
    <col min="3343" max="3343" width="12.54296875" style="39" customWidth="1"/>
    <col min="3344" max="3344" width="13.26953125" style="39" customWidth="1"/>
    <col min="3345" max="3563" width="8.7265625" style="39"/>
    <col min="3564" max="3564" width="27.26953125" style="39" bestFit="1" customWidth="1"/>
    <col min="3565" max="3565" width="12.54296875" style="39" bestFit="1" customWidth="1"/>
    <col min="3566" max="3567" width="12.54296875" style="39" customWidth="1"/>
    <col min="3568" max="3568" width="12.54296875" style="39" bestFit="1" customWidth="1"/>
    <col min="3569" max="3570" width="12.54296875" style="39" customWidth="1"/>
    <col min="3571" max="3572" width="12.1796875" style="39" bestFit="1" customWidth="1"/>
    <col min="3573" max="3573" width="8.7265625" style="39"/>
    <col min="3574" max="3574" width="22.81640625" style="39" bestFit="1" customWidth="1"/>
    <col min="3575" max="3575" width="12.54296875" style="39" bestFit="1" customWidth="1"/>
    <col min="3576" max="3576" width="13.54296875" style="39" customWidth="1"/>
    <col min="3577" max="3577" width="11.26953125" style="39" bestFit="1" customWidth="1"/>
    <col min="3578" max="3578" width="12.54296875" style="39" bestFit="1" customWidth="1"/>
    <col min="3579" max="3580" width="12.54296875" style="39" customWidth="1"/>
    <col min="3581" max="3581" width="12.1796875" style="39" bestFit="1" customWidth="1"/>
    <col min="3582" max="3582" width="12.1796875" style="39" customWidth="1"/>
    <col min="3583" max="3583" width="8.7265625" style="39"/>
    <col min="3584" max="3584" width="24.54296875" style="39" customWidth="1"/>
    <col min="3585" max="3585" width="8.1796875" style="39" bestFit="1" customWidth="1"/>
    <col min="3586" max="3587" width="7.54296875" style="39" bestFit="1" customWidth="1"/>
    <col min="3588" max="3588" width="15.1796875" style="39" customWidth="1"/>
    <col min="3589" max="3589" width="8.1796875" style="39" bestFit="1" customWidth="1"/>
    <col min="3590" max="3590" width="13.453125" style="39" customWidth="1"/>
    <col min="3591" max="3591" width="12.453125" style="39" customWidth="1"/>
    <col min="3592" max="3592" width="8.7265625" style="39"/>
    <col min="3593" max="3593" width="20.54296875" style="39" customWidth="1"/>
    <col min="3594" max="3594" width="8.1796875" style="39" bestFit="1" customWidth="1"/>
    <col min="3595" max="3595" width="7.54296875" style="39" bestFit="1" customWidth="1"/>
    <col min="3596" max="3596" width="8.1796875" style="39" bestFit="1" customWidth="1"/>
    <col min="3597" max="3597" width="16.26953125" style="39" customWidth="1"/>
    <col min="3598" max="3598" width="8.1796875" style="39" bestFit="1" customWidth="1"/>
    <col min="3599" max="3599" width="12.54296875" style="39" customWidth="1"/>
    <col min="3600" max="3600" width="13.26953125" style="39" customWidth="1"/>
    <col min="3601" max="3819" width="8.7265625" style="39"/>
    <col min="3820" max="3820" width="27.26953125" style="39" bestFit="1" customWidth="1"/>
    <col min="3821" max="3821" width="12.54296875" style="39" bestFit="1" customWidth="1"/>
    <col min="3822" max="3823" width="12.54296875" style="39" customWidth="1"/>
    <col min="3824" max="3824" width="12.54296875" style="39" bestFit="1" customWidth="1"/>
    <col min="3825" max="3826" width="12.54296875" style="39" customWidth="1"/>
    <col min="3827" max="3828" width="12.1796875" style="39" bestFit="1" customWidth="1"/>
    <col min="3829" max="3829" width="8.7265625" style="39"/>
    <col min="3830" max="3830" width="22.81640625" style="39" bestFit="1" customWidth="1"/>
    <col min="3831" max="3831" width="12.54296875" style="39" bestFit="1" customWidth="1"/>
    <col min="3832" max="3832" width="13.54296875" style="39" customWidth="1"/>
    <col min="3833" max="3833" width="11.26953125" style="39" bestFit="1" customWidth="1"/>
    <col min="3834" max="3834" width="12.54296875" style="39" bestFit="1" customWidth="1"/>
    <col min="3835" max="3836" width="12.54296875" style="39" customWidth="1"/>
    <col min="3837" max="3837" width="12.1796875" style="39" bestFit="1" customWidth="1"/>
    <col min="3838" max="3838" width="12.1796875" style="39" customWidth="1"/>
    <col min="3839" max="3839" width="8.7265625" style="39"/>
    <col min="3840" max="3840" width="24.54296875" style="39" customWidth="1"/>
    <col min="3841" max="3841" width="8.1796875" style="39" bestFit="1" customWidth="1"/>
    <col min="3842" max="3843" width="7.54296875" style="39" bestFit="1" customWidth="1"/>
    <col min="3844" max="3844" width="15.1796875" style="39" customWidth="1"/>
    <col min="3845" max="3845" width="8.1796875" style="39" bestFit="1" customWidth="1"/>
    <col min="3846" max="3846" width="13.453125" style="39" customWidth="1"/>
    <col min="3847" max="3847" width="12.453125" style="39" customWidth="1"/>
    <col min="3848" max="3848" width="8.7265625" style="39"/>
    <col min="3849" max="3849" width="20.54296875" style="39" customWidth="1"/>
    <col min="3850" max="3850" width="8.1796875" style="39" bestFit="1" customWidth="1"/>
    <col min="3851" max="3851" width="7.54296875" style="39" bestFit="1" customWidth="1"/>
    <col min="3852" max="3852" width="8.1796875" style="39" bestFit="1" customWidth="1"/>
    <col min="3853" max="3853" width="16.26953125" style="39" customWidth="1"/>
    <col min="3854" max="3854" width="8.1796875" style="39" bestFit="1" customWidth="1"/>
    <col min="3855" max="3855" width="12.54296875" style="39" customWidth="1"/>
    <col min="3856" max="3856" width="13.26953125" style="39" customWidth="1"/>
    <col min="3857" max="4075" width="8.7265625" style="39"/>
    <col min="4076" max="4076" width="27.26953125" style="39" bestFit="1" customWidth="1"/>
    <col min="4077" max="4077" width="12.54296875" style="39" bestFit="1" customWidth="1"/>
    <col min="4078" max="4079" width="12.54296875" style="39" customWidth="1"/>
    <col min="4080" max="4080" width="12.54296875" style="39" bestFit="1" customWidth="1"/>
    <col min="4081" max="4082" width="12.54296875" style="39" customWidth="1"/>
    <col min="4083" max="4084" width="12.1796875" style="39" bestFit="1" customWidth="1"/>
    <col min="4085" max="4085" width="8.7265625" style="39"/>
    <col min="4086" max="4086" width="22.81640625" style="39" bestFit="1" customWidth="1"/>
    <col min="4087" max="4087" width="12.54296875" style="39" bestFit="1" customWidth="1"/>
    <col min="4088" max="4088" width="13.54296875" style="39" customWidth="1"/>
    <col min="4089" max="4089" width="11.26953125" style="39" bestFit="1" customWidth="1"/>
    <col min="4090" max="4090" width="12.54296875" style="39" bestFit="1" customWidth="1"/>
    <col min="4091" max="4092" width="12.54296875" style="39" customWidth="1"/>
    <col min="4093" max="4093" width="12.1796875" style="39" bestFit="1" customWidth="1"/>
    <col min="4094" max="4094" width="12.1796875" style="39" customWidth="1"/>
    <col min="4095" max="4095" width="8.7265625" style="39"/>
    <col min="4096" max="4096" width="24.54296875" style="39" customWidth="1"/>
    <col min="4097" max="4097" width="8.1796875" style="39" bestFit="1" customWidth="1"/>
    <col min="4098" max="4099" width="7.54296875" style="39" bestFit="1" customWidth="1"/>
    <col min="4100" max="4100" width="15.1796875" style="39" customWidth="1"/>
    <col min="4101" max="4101" width="8.1796875" style="39" bestFit="1" customWidth="1"/>
    <col min="4102" max="4102" width="13.453125" style="39" customWidth="1"/>
    <col min="4103" max="4103" width="12.453125" style="39" customWidth="1"/>
    <col min="4104" max="4104" width="8.7265625" style="39"/>
    <col min="4105" max="4105" width="20.54296875" style="39" customWidth="1"/>
    <col min="4106" max="4106" width="8.1796875" style="39" bestFit="1" customWidth="1"/>
    <col min="4107" max="4107" width="7.54296875" style="39" bestFit="1" customWidth="1"/>
    <col min="4108" max="4108" width="8.1796875" style="39" bestFit="1" customWidth="1"/>
    <col min="4109" max="4109" width="16.26953125" style="39" customWidth="1"/>
    <col min="4110" max="4110" width="8.1796875" style="39" bestFit="1" customWidth="1"/>
    <col min="4111" max="4111" width="12.54296875" style="39" customWidth="1"/>
    <col min="4112" max="4112" width="13.26953125" style="39" customWidth="1"/>
    <col min="4113" max="4331" width="8.7265625" style="39"/>
    <col min="4332" max="4332" width="27.26953125" style="39" bestFit="1" customWidth="1"/>
    <col min="4333" max="4333" width="12.54296875" style="39" bestFit="1" customWidth="1"/>
    <col min="4334" max="4335" width="12.54296875" style="39" customWidth="1"/>
    <col min="4336" max="4336" width="12.54296875" style="39" bestFit="1" customWidth="1"/>
    <col min="4337" max="4338" width="12.54296875" style="39" customWidth="1"/>
    <col min="4339" max="4340" width="12.1796875" style="39" bestFit="1" customWidth="1"/>
    <col min="4341" max="4341" width="8.7265625" style="39"/>
    <col min="4342" max="4342" width="22.81640625" style="39" bestFit="1" customWidth="1"/>
    <col min="4343" max="4343" width="12.54296875" style="39" bestFit="1" customWidth="1"/>
    <col min="4344" max="4344" width="13.54296875" style="39" customWidth="1"/>
    <col min="4345" max="4345" width="11.26953125" style="39" bestFit="1" customWidth="1"/>
    <col min="4346" max="4346" width="12.54296875" style="39" bestFit="1" customWidth="1"/>
    <col min="4347" max="4348" width="12.54296875" style="39" customWidth="1"/>
    <col min="4349" max="4349" width="12.1796875" style="39" bestFit="1" customWidth="1"/>
    <col min="4350" max="4350" width="12.1796875" style="39" customWidth="1"/>
    <col min="4351" max="4351" width="8.7265625" style="39"/>
    <col min="4352" max="4352" width="24.54296875" style="39" customWidth="1"/>
    <col min="4353" max="4353" width="8.1796875" style="39" bestFit="1" customWidth="1"/>
    <col min="4354" max="4355" width="7.54296875" style="39" bestFit="1" customWidth="1"/>
    <col min="4356" max="4356" width="15.1796875" style="39" customWidth="1"/>
    <col min="4357" max="4357" width="8.1796875" style="39" bestFit="1" customWidth="1"/>
    <col min="4358" max="4358" width="13.453125" style="39" customWidth="1"/>
    <col min="4359" max="4359" width="12.453125" style="39" customWidth="1"/>
    <col min="4360" max="4360" width="8.7265625" style="39"/>
    <col min="4361" max="4361" width="20.54296875" style="39" customWidth="1"/>
    <col min="4362" max="4362" width="8.1796875" style="39" bestFit="1" customWidth="1"/>
    <col min="4363" max="4363" width="7.54296875" style="39" bestFit="1" customWidth="1"/>
    <col min="4364" max="4364" width="8.1796875" style="39" bestFit="1" customWidth="1"/>
    <col min="4365" max="4365" width="16.26953125" style="39" customWidth="1"/>
    <col min="4366" max="4366" width="8.1796875" style="39" bestFit="1" customWidth="1"/>
    <col min="4367" max="4367" width="12.54296875" style="39" customWidth="1"/>
    <col min="4368" max="4368" width="13.26953125" style="39" customWidth="1"/>
    <col min="4369" max="4587" width="8.7265625" style="39"/>
    <col min="4588" max="4588" width="27.26953125" style="39" bestFit="1" customWidth="1"/>
    <col min="4589" max="4589" width="12.54296875" style="39" bestFit="1" customWidth="1"/>
    <col min="4590" max="4591" width="12.54296875" style="39" customWidth="1"/>
    <col min="4592" max="4592" width="12.54296875" style="39" bestFit="1" customWidth="1"/>
    <col min="4593" max="4594" width="12.54296875" style="39" customWidth="1"/>
    <col min="4595" max="4596" width="12.1796875" style="39" bestFit="1" customWidth="1"/>
    <col min="4597" max="4597" width="8.7265625" style="39"/>
    <col min="4598" max="4598" width="22.81640625" style="39" bestFit="1" customWidth="1"/>
    <col min="4599" max="4599" width="12.54296875" style="39" bestFit="1" customWidth="1"/>
    <col min="4600" max="4600" width="13.54296875" style="39" customWidth="1"/>
    <col min="4601" max="4601" width="11.26953125" style="39" bestFit="1" customWidth="1"/>
    <col min="4602" max="4602" width="12.54296875" style="39" bestFit="1" customWidth="1"/>
    <col min="4603" max="4604" width="12.54296875" style="39" customWidth="1"/>
    <col min="4605" max="4605" width="12.1796875" style="39" bestFit="1" customWidth="1"/>
    <col min="4606" max="4606" width="12.1796875" style="39" customWidth="1"/>
    <col min="4607" max="4607" width="8.7265625" style="39"/>
    <col min="4608" max="4608" width="24.54296875" style="39" customWidth="1"/>
    <col min="4609" max="4609" width="8.1796875" style="39" bestFit="1" customWidth="1"/>
    <col min="4610" max="4611" width="7.54296875" style="39" bestFit="1" customWidth="1"/>
    <col min="4612" max="4612" width="15.1796875" style="39" customWidth="1"/>
    <col min="4613" max="4613" width="8.1796875" style="39" bestFit="1" customWidth="1"/>
    <col min="4614" max="4614" width="13.453125" style="39" customWidth="1"/>
    <col min="4615" max="4615" width="12.453125" style="39" customWidth="1"/>
    <col min="4616" max="4616" width="8.7265625" style="39"/>
    <col min="4617" max="4617" width="20.54296875" style="39" customWidth="1"/>
    <col min="4618" max="4618" width="8.1796875" style="39" bestFit="1" customWidth="1"/>
    <col min="4619" max="4619" width="7.54296875" style="39" bestFit="1" customWidth="1"/>
    <col min="4620" max="4620" width="8.1796875" style="39" bestFit="1" customWidth="1"/>
    <col min="4621" max="4621" width="16.26953125" style="39" customWidth="1"/>
    <col min="4622" max="4622" width="8.1796875" style="39" bestFit="1" customWidth="1"/>
    <col min="4623" max="4623" width="12.54296875" style="39" customWidth="1"/>
    <col min="4624" max="4624" width="13.26953125" style="39" customWidth="1"/>
    <col min="4625" max="4843" width="8.7265625" style="39"/>
    <col min="4844" max="4844" width="27.26953125" style="39" bestFit="1" customWidth="1"/>
    <col min="4845" max="4845" width="12.54296875" style="39" bestFit="1" customWidth="1"/>
    <col min="4846" max="4847" width="12.54296875" style="39" customWidth="1"/>
    <col min="4848" max="4848" width="12.54296875" style="39" bestFit="1" customWidth="1"/>
    <col min="4849" max="4850" width="12.54296875" style="39" customWidth="1"/>
    <col min="4851" max="4852" width="12.1796875" style="39" bestFit="1" customWidth="1"/>
    <col min="4853" max="4853" width="8.7265625" style="39"/>
    <col min="4854" max="4854" width="22.81640625" style="39" bestFit="1" customWidth="1"/>
    <col min="4855" max="4855" width="12.54296875" style="39" bestFit="1" customWidth="1"/>
    <col min="4856" max="4856" width="13.54296875" style="39" customWidth="1"/>
    <col min="4857" max="4857" width="11.26953125" style="39" bestFit="1" customWidth="1"/>
    <col min="4858" max="4858" width="12.54296875" style="39" bestFit="1" customWidth="1"/>
    <col min="4859" max="4860" width="12.54296875" style="39" customWidth="1"/>
    <col min="4861" max="4861" width="12.1796875" style="39" bestFit="1" customWidth="1"/>
    <col min="4862" max="4862" width="12.1796875" style="39" customWidth="1"/>
    <col min="4863" max="4863" width="8.7265625" style="39"/>
    <col min="4864" max="4864" width="24.54296875" style="39" customWidth="1"/>
    <col min="4865" max="4865" width="8.1796875" style="39" bestFit="1" customWidth="1"/>
    <col min="4866" max="4867" width="7.54296875" style="39" bestFit="1" customWidth="1"/>
    <col min="4868" max="4868" width="15.1796875" style="39" customWidth="1"/>
    <col min="4869" max="4869" width="8.1796875" style="39" bestFit="1" customWidth="1"/>
    <col min="4870" max="4870" width="13.453125" style="39" customWidth="1"/>
    <col min="4871" max="4871" width="12.453125" style="39" customWidth="1"/>
    <col min="4872" max="4872" width="8.7265625" style="39"/>
    <col min="4873" max="4873" width="20.54296875" style="39" customWidth="1"/>
    <col min="4874" max="4874" width="8.1796875" style="39" bestFit="1" customWidth="1"/>
    <col min="4875" max="4875" width="7.54296875" style="39" bestFit="1" customWidth="1"/>
    <col min="4876" max="4876" width="8.1796875" style="39" bestFit="1" customWidth="1"/>
    <col min="4877" max="4877" width="16.26953125" style="39" customWidth="1"/>
    <col min="4878" max="4878" width="8.1796875" style="39" bestFit="1" customWidth="1"/>
    <col min="4879" max="4879" width="12.54296875" style="39" customWidth="1"/>
    <col min="4880" max="4880" width="13.26953125" style="39" customWidth="1"/>
    <col min="4881" max="5099" width="8.7265625" style="39"/>
    <col min="5100" max="5100" width="27.26953125" style="39" bestFit="1" customWidth="1"/>
    <col min="5101" max="5101" width="12.54296875" style="39" bestFit="1" customWidth="1"/>
    <col min="5102" max="5103" width="12.54296875" style="39" customWidth="1"/>
    <col min="5104" max="5104" width="12.54296875" style="39" bestFit="1" customWidth="1"/>
    <col min="5105" max="5106" width="12.54296875" style="39" customWidth="1"/>
    <col min="5107" max="5108" width="12.1796875" style="39" bestFit="1" customWidth="1"/>
    <col min="5109" max="5109" width="8.7265625" style="39"/>
    <col min="5110" max="5110" width="22.81640625" style="39" bestFit="1" customWidth="1"/>
    <col min="5111" max="5111" width="12.54296875" style="39" bestFit="1" customWidth="1"/>
    <col min="5112" max="5112" width="13.54296875" style="39" customWidth="1"/>
    <col min="5113" max="5113" width="11.26953125" style="39" bestFit="1" customWidth="1"/>
    <col min="5114" max="5114" width="12.54296875" style="39" bestFit="1" customWidth="1"/>
    <col min="5115" max="5116" width="12.54296875" style="39" customWidth="1"/>
    <col min="5117" max="5117" width="12.1796875" style="39" bestFit="1" customWidth="1"/>
    <col min="5118" max="5118" width="12.1796875" style="39" customWidth="1"/>
    <col min="5119" max="5119" width="8.7265625" style="39"/>
    <col min="5120" max="5120" width="24.54296875" style="39" customWidth="1"/>
    <col min="5121" max="5121" width="8.1796875" style="39" bestFit="1" customWidth="1"/>
    <col min="5122" max="5123" width="7.54296875" style="39" bestFit="1" customWidth="1"/>
    <col min="5124" max="5124" width="15.1796875" style="39" customWidth="1"/>
    <col min="5125" max="5125" width="8.1796875" style="39" bestFit="1" customWidth="1"/>
    <col min="5126" max="5126" width="13.453125" style="39" customWidth="1"/>
    <col min="5127" max="5127" width="12.453125" style="39" customWidth="1"/>
    <col min="5128" max="5128" width="8.7265625" style="39"/>
    <col min="5129" max="5129" width="20.54296875" style="39" customWidth="1"/>
    <col min="5130" max="5130" width="8.1796875" style="39" bestFit="1" customWidth="1"/>
    <col min="5131" max="5131" width="7.54296875" style="39" bestFit="1" customWidth="1"/>
    <col min="5132" max="5132" width="8.1796875" style="39" bestFit="1" customWidth="1"/>
    <col min="5133" max="5133" width="16.26953125" style="39" customWidth="1"/>
    <col min="5134" max="5134" width="8.1796875" style="39" bestFit="1" customWidth="1"/>
    <col min="5135" max="5135" width="12.54296875" style="39" customWidth="1"/>
    <col min="5136" max="5136" width="13.26953125" style="39" customWidth="1"/>
    <col min="5137" max="5355" width="8.7265625" style="39"/>
    <col min="5356" max="5356" width="27.26953125" style="39" bestFit="1" customWidth="1"/>
    <col min="5357" max="5357" width="12.54296875" style="39" bestFit="1" customWidth="1"/>
    <col min="5358" max="5359" width="12.54296875" style="39" customWidth="1"/>
    <col min="5360" max="5360" width="12.54296875" style="39" bestFit="1" customWidth="1"/>
    <col min="5361" max="5362" width="12.54296875" style="39" customWidth="1"/>
    <col min="5363" max="5364" width="12.1796875" style="39" bestFit="1" customWidth="1"/>
    <col min="5365" max="5365" width="8.7265625" style="39"/>
    <col min="5366" max="5366" width="22.81640625" style="39" bestFit="1" customWidth="1"/>
    <col min="5367" max="5367" width="12.54296875" style="39" bestFit="1" customWidth="1"/>
    <col min="5368" max="5368" width="13.54296875" style="39" customWidth="1"/>
    <col min="5369" max="5369" width="11.26953125" style="39" bestFit="1" customWidth="1"/>
    <col min="5370" max="5370" width="12.54296875" style="39" bestFit="1" customWidth="1"/>
    <col min="5371" max="5372" width="12.54296875" style="39" customWidth="1"/>
    <col min="5373" max="5373" width="12.1796875" style="39" bestFit="1" customWidth="1"/>
    <col min="5374" max="5374" width="12.1796875" style="39" customWidth="1"/>
    <col min="5375" max="5375" width="8.7265625" style="39"/>
    <col min="5376" max="5376" width="24.54296875" style="39" customWidth="1"/>
    <col min="5377" max="5377" width="8.1796875" style="39" bestFit="1" customWidth="1"/>
    <col min="5378" max="5379" width="7.54296875" style="39" bestFit="1" customWidth="1"/>
    <col min="5380" max="5380" width="15.1796875" style="39" customWidth="1"/>
    <col min="5381" max="5381" width="8.1796875" style="39" bestFit="1" customWidth="1"/>
    <col min="5382" max="5382" width="13.453125" style="39" customWidth="1"/>
    <col min="5383" max="5383" width="12.453125" style="39" customWidth="1"/>
    <col min="5384" max="5384" width="8.7265625" style="39"/>
    <col min="5385" max="5385" width="20.54296875" style="39" customWidth="1"/>
    <col min="5386" max="5386" width="8.1796875" style="39" bestFit="1" customWidth="1"/>
    <col min="5387" max="5387" width="7.54296875" style="39" bestFit="1" customWidth="1"/>
    <col min="5388" max="5388" width="8.1796875" style="39" bestFit="1" customWidth="1"/>
    <col min="5389" max="5389" width="16.26953125" style="39" customWidth="1"/>
    <col min="5390" max="5390" width="8.1796875" style="39" bestFit="1" customWidth="1"/>
    <col min="5391" max="5391" width="12.54296875" style="39" customWidth="1"/>
    <col min="5392" max="5392" width="13.26953125" style="39" customWidth="1"/>
    <col min="5393" max="5611" width="8.7265625" style="39"/>
    <col min="5612" max="5612" width="27.26953125" style="39" bestFit="1" customWidth="1"/>
    <col min="5613" max="5613" width="12.54296875" style="39" bestFit="1" customWidth="1"/>
    <col min="5614" max="5615" width="12.54296875" style="39" customWidth="1"/>
    <col min="5616" max="5616" width="12.54296875" style="39" bestFit="1" customWidth="1"/>
    <col min="5617" max="5618" width="12.54296875" style="39" customWidth="1"/>
    <col min="5619" max="5620" width="12.1796875" style="39" bestFit="1" customWidth="1"/>
    <col min="5621" max="5621" width="8.7265625" style="39"/>
    <col min="5622" max="5622" width="22.81640625" style="39" bestFit="1" customWidth="1"/>
    <col min="5623" max="5623" width="12.54296875" style="39" bestFit="1" customWidth="1"/>
    <col min="5624" max="5624" width="13.54296875" style="39" customWidth="1"/>
    <col min="5625" max="5625" width="11.26953125" style="39" bestFit="1" customWidth="1"/>
    <col min="5626" max="5626" width="12.54296875" style="39" bestFit="1" customWidth="1"/>
    <col min="5627" max="5628" width="12.54296875" style="39" customWidth="1"/>
    <col min="5629" max="5629" width="12.1796875" style="39" bestFit="1" customWidth="1"/>
    <col min="5630" max="5630" width="12.1796875" style="39" customWidth="1"/>
    <col min="5631" max="5631" width="8.7265625" style="39"/>
    <col min="5632" max="5632" width="24.54296875" style="39" customWidth="1"/>
    <col min="5633" max="5633" width="8.1796875" style="39" bestFit="1" customWidth="1"/>
    <col min="5634" max="5635" width="7.54296875" style="39" bestFit="1" customWidth="1"/>
    <col min="5636" max="5636" width="15.1796875" style="39" customWidth="1"/>
    <col min="5637" max="5637" width="8.1796875" style="39" bestFit="1" customWidth="1"/>
    <col min="5638" max="5638" width="13.453125" style="39" customWidth="1"/>
    <col min="5639" max="5639" width="12.453125" style="39" customWidth="1"/>
    <col min="5640" max="5640" width="8.7265625" style="39"/>
    <col min="5641" max="5641" width="20.54296875" style="39" customWidth="1"/>
    <col min="5642" max="5642" width="8.1796875" style="39" bestFit="1" customWidth="1"/>
    <col min="5643" max="5643" width="7.54296875" style="39" bestFit="1" customWidth="1"/>
    <col min="5644" max="5644" width="8.1796875" style="39" bestFit="1" customWidth="1"/>
    <col min="5645" max="5645" width="16.26953125" style="39" customWidth="1"/>
    <col min="5646" max="5646" width="8.1796875" style="39" bestFit="1" customWidth="1"/>
    <col min="5647" max="5647" width="12.54296875" style="39" customWidth="1"/>
    <col min="5648" max="5648" width="13.26953125" style="39" customWidth="1"/>
    <col min="5649" max="5867" width="8.7265625" style="39"/>
    <col min="5868" max="5868" width="27.26953125" style="39" bestFit="1" customWidth="1"/>
    <col min="5869" max="5869" width="12.54296875" style="39" bestFit="1" customWidth="1"/>
    <col min="5870" max="5871" width="12.54296875" style="39" customWidth="1"/>
    <col min="5872" max="5872" width="12.54296875" style="39" bestFit="1" customWidth="1"/>
    <col min="5873" max="5874" width="12.54296875" style="39" customWidth="1"/>
    <col min="5875" max="5876" width="12.1796875" style="39" bestFit="1" customWidth="1"/>
    <col min="5877" max="5877" width="8.7265625" style="39"/>
    <col min="5878" max="5878" width="22.81640625" style="39" bestFit="1" customWidth="1"/>
    <col min="5879" max="5879" width="12.54296875" style="39" bestFit="1" customWidth="1"/>
    <col min="5880" max="5880" width="13.54296875" style="39" customWidth="1"/>
    <col min="5881" max="5881" width="11.26953125" style="39" bestFit="1" customWidth="1"/>
    <col min="5882" max="5882" width="12.54296875" style="39" bestFit="1" customWidth="1"/>
    <col min="5883" max="5884" width="12.54296875" style="39" customWidth="1"/>
    <col min="5885" max="5885" width="12.1796875" style="39" bestFit="1" customWidth="1"/>
    <col min="5886" max="5886" width="12.1796875" style="39" customWidth="1"/>
    <col min="5887" max="5887" width="8.7265625" style="39"/>
    <col min="5888" max="5888" width="24.54296875" style="39" customWidth="1"/>
    <col min="5889" max="5889" width="8.1796875" style="39" bestFit="1" customWidth="1"/>
    <col min="5890" max="5891" width="7.54296875" style="39" bestFit="1" customWidth="1"/>
    <col min="5892" max="5892" width="15.1796875" style="39" customWidth="1"/>
    <col min="5893" max="5893" width="8.1796875" style="39" bestFit="1" customWidth="1"/>
    <col min="5894" max="5894" width="13.453125" style="39" customWidth="1"/>
    <col min="5895" max="5895" width="12.453125" style="39" customWidth="1"/>
    <col min="5896" max="5896" width="8.7265625" style="39"/>
    <col min="5897" max="5897" width="20.54296875" style="39" customWidth="1"/>
    <col min="5898" max="5898" width="8.1796875" style="39" bestFit="1" customWidth="1"/>
    <col min="5899" max="5899" width="7.54296875" style="39" bestFit="1" customWidth="1"/>
    <col min="5900" max="5900" width="8.1796875" style="39" bestFit="1" customWidth="1"/>
    <col min="5901" max="5901" width="16.26953125" style="39" customWidth="1"/>
    <col min="5902" max="5902" width="8.1796875" style="39" bestFit="1" customWidth="1"/>
    <col min="5903" max="5903" width="12.54296875" style="39" customWidth="1"/>
    <col min="5904" max="5904" width="13.26953125" style="39" customWidth="1"/>
    <col min="5905" max="6123" width="8.7265625" style="39"/>
    <col min="6124" max="6124" width="27.26953125" style="39" bestFit="1" customWidth="1"/>
    <col min="6125" max="6125" width="12.54296875" style="39" bestFit="1" customWidth="1"/>
    <col min="6126" max="6127" width="12.54296875" style="39" customWidth="1"/>
    <col min="6128" max="6128" width="12.54296875" style="39" bestFit="1" customWidth="1"/>
    <col min="6129" max="6130" width="12.54296875" style="39" customWidth="1"/>
    <col min="6131" max="6132" width="12.1796875" style="39" bestFit="1" customWidth="1"/>
    <col min="6133" max="6133" width="8.7265625" style="39"/>
    <col min="6134" max="6134" width="22.81640625" style="39" bestFit="1" customWidth="1"/>
    <col min="6135" max="6135" width="12.54296875" style="39" bestFit="1" customWidth="1"/>
    <col min="6136" max="6136" width="13.54296875" style="39" customWidth="1"/>
    <col min="6137" max="6137" width="11.26953125" style="39" bestFit="1" customWidth="1"/>
    <col min="6138" max="6138" width="12.54296875" style="39" bestFit="1" customWidth="1"/>
    <col min="6139" max="6140" width="12.54296875" style="39" customWidth="1"/>
    <col min="6141" max="6141" width="12.1796875" style="39" bestFit="1" customWidth="1"/>
    <col min="6142" max="6142" width="12.1796875" style="39" customWidth="1"/>
    <col min="6143" max="6143" width="8.7265625" style="39"/>
    <col min="6144" max="6144" width="24.54296875" style="39" customWidth="1"/>
    <col min="6145" max="6145" width="8.1796875" style="39" bestFit="1" customWidth="1"/>
    <col min="6146" max="6147" width="7.54296875" style="39" bestFit="1" customWidth="1"/>
    <col min="6148" max="6148" width="15.1796875" style="39" customWidth="1"/>
    <col min="6149" max="6149" width="8.1796875" style="39" bestFit="1" customWidth="1"/>
    <col min="6150" max="6150" width="13.453125" style="39" customWidth="1"/>
    <col min="6151" max="6151" width="12.453125" style="39" customWidth="1"/>
    <col min="6152" max="6152" width="8.7265625" style="39"/>
    <col min="6153" max="6153" width="20.54296875" style="39" customWidth="1"/>
    <col min="6154" max="6154" width="8.1796875" style="39" bestFit="1" customWidth="1"/>
    <col min="6155" max="6155" width="7.54296875" style="39" bestFit="1" customWidth="1"/>
    <col min="6156" max="6156" width="8.1796875" style="39" bestFit="1" customWidth="1"/>
    <col min="6157" max="6157" width="16.26953125" style="39" customWidth="1"/>
    <col min="6158" max="6158" width="8.1796875" style="39" bestFit="1" customWidth="1"/>
    <col min="6159" max="6159" width="12.54296875" style="39" customWidth="1"/>
    <col min="6160" max="6160" width="13.26953125" style="39" customWidth="1"/>
    <col min="6161" max="6379" width="8.7265625" style="39"/>
    <col min="6380" max="6380" width="27.26953125" style="39" bestFit="1" customWidth="1"/>
    <col min="6381" max="6381" width="12.54296875" style="39" bestFit="1" customWidth="1"/>
    <col min="6382" max="6383" width="12.54296875" style="39" customWidth="1"/>
    <col min="6384" max="6384" width="12.54296875" style="39" bestFit="1" customWidth="1"/>
    <col min="6385" max="6386" width="12.54296875" style="39" customWidth="1"/>
    <col min="6387" max="6388" width="12.1796875" style="39" bestFit="1" customWidth="1"/>
    <col min="6389" max="6389" width="8.7265625" style="39"/>
    <col min="6390" max="6390" width="22.81640625" style="39" bestFit="1" customWidth="1"/>
    <col min="6391" max="6391" width="12.54296875" style="39" bestFit="1" customWidth="1"/>
    <col min="6392" max="6392" width="13.54296875" style="39" customWidth="1"/>
    <col min="6393" max="6393" width="11.26953125" style="39" bestFit="1" customWidth="1"/>
    <col min="6394" max="6394" width="12.54296875" style="39" bestFit="1" customWidth="1"/>
    <col min="6395" max="6396" width="12.54296875" style="39" customWidth="1"/>
    <col min="6397" max="6397" width="12.1796875" style="39" bestFit="1" customWidth="1"/>
    <col min="6398" max="6398" width="12.1796875" style="39" customWidth="1"/>
    <col min="6399" max="6399" width="8.7265625" style="39"/>
    <col min="6400" max="6400" width="24.54296875" style="39" customWidth="1"/>
    <col min="6401" max="6401" width="8.1796875" style="39" bestFit="1" customWidth="1"/>
    <col min="6402" max="6403" width="7.54296875" style="39" bestFit="1" customWidth="1"/>
    <col min="6404" max="6404" width="15.1796875" style="39" customWidth="1"/>
    <col min="6405" max="6405" width="8.1796875" style="39" bestFit="1" customWidth="1"/>
    <col min="6406" max="6406" width="13.453125" style="39" customWidth="1"/>
    <col min="6407" max="6407" width="12.453125" style="39" customWidth="1"/>
    <col min="6408" max="6408" width="8.7265625" style="39"/>
    <col min="6409" max="6409" width="20.54296875" style="39" customWidth="1"/>
    <col min="6410" max="6410" width="8.1796875" style="39" bestFit="1" customWidth="1"/>
    <col min="6411" max="6411" width="7.54296875" style="39" bestFit="1" customWidth="1"/>
    <col min="6412" max="6412" width="8.1796875" style="39" bestFit="1" customWidth="1"/>
    <col min="6413" max="6413" width="16.26953125" style="39" customWidth="1"/>
    <col min="6414" max="6414" width="8.1796875" style="39" bestFit="1" customWidth="1"/>
    <col min="6415" max="6415" width="12.54296875" style="39" customWidth="1"/>
    <col min="6416" max="6416" width="13.26953125" style="39" customWidth="1"/>
    <col min="6417" max="6635" width="8.7265625" style="39"/>
    <col min="6636" max="6636" width="27.26953125" style="39" bestFit="1" customWidth="1"/>
    <col min="6637" max="6637" width="12.54296875" style="39" bestFit="1" customWidth="1"/>
    <col min="6638" max="6639" width="12.54296875" style="39" customWidth="1"/>
    <col min="6640" max="6640" width="12.54296875" style="39" bestFit="1" customWidth="1"/>
    <col min="6641" max="6642" width="12.54296875" style="39" customWidth="1"/>
    <col min="6643" max="6644" width="12.1796875" style="39" bestFit="1" customWidth="1"/>
    <col min="6645" max="6645" width="8.7265625" style="39"/>
    <col min="6646" max="6646" width="22.81640625" style="39" bestFit="1" customWidth="1"/>
    <col min="6647" max="6647" width="12.54296875" style="39" bestFit="1" customWidth="1"/>
    <col min="6648" max="6648" width="13.54296875" style="39" customWidth="1"/>
    <col min="6649" max="6649" width="11.26953125" style="39" bestFit="1" customWidth="1"/>
    <col min="6650" max="6650" width="12.54296875" style="39" bestFit="1" customWidth="1"/>
    <col min="6651" max="6652" width="12.54296875" style="39" customWidth="1"/>
    <col min="6653" max="6653" width="12.1796875" style="39" bestFit="1" customWidth="1"/>
    <col min="6654" max="6654" width="12.1796875" style="39" customWidth="1"/>
    <col min="6655" max="6655" width="8.7265625" style="39"/>
    <col min="6656" max="6656" width="24.54296875" style="39" customWidth="1"/>
    <col min="6657" max="6657" width="8.1796875" style="39" bestFit="1" customWidth="1"/>
    <col min="6658" max="6659" width="7.54296875" style="39" bestFit="1" customWidth="1"/>
    <col min="6660" max="6660" width="15.1796875" style="39" customWidth="1"/>
    <col min="6661" max="6661" width="8.1796875" style="39" bestFit="1" customWidth="1"/>
    <col min="6662" max="6662" width="13.453125" style="39" customWidth="1"/>
    <col min="6663" max="6663" width="12.453125" style="39" customWidth="1"/>
    <col min="6664" max="6664" width="8.7265625" style="39"/>
    <col min="6665" max="6665" width="20.54296875" style="39" customWidth="1"/>
    <col min="6666" max="6666" width="8.1796875" style="39" bestFit="1" customWidth="1"/>
    <col min="6667" max="6667" width="7.54296875" style="39" bestFit="1" customWidth="1"/>
    <col min="6668" max="6668" width="8.1796875" style="39" bestFit="1" customWidth="1"/>
    <col min="6669" max="6669" width="16.26953125" style="39" customWidth="1"/>
    <col min="6670" max="6670" width="8.1796875" style="39" bestFit="1" customWidth="1"/>
    <col min="6671" max="6671" width="12.54296875" style="39" customWidth="1"/>
    <col min="6672" max="6672" width="13.26953125" style="39" customWidth="1"/>
    <col min="6673" max="6891" width="8.7265625" style="39"/>
    <col min="6892" max="6892" width="27.26953125" style="39" bestFit="1" customWidth="1"/>
    <col min="6893" max="6893" width="12.54296875" style="39" bestFit="1" customWidth="1"/>
    <col min="6894" max="6895" width="12.54296875" style="39" customWidth="1"/>
    <col min="6896" max="6896" width="12.54296875" style="39" bestFit="1" customWidth="1"/>
    <col min="6897" max="6898" width="12.54296875" style="39" customWidth="1"/>
    <col min="6899" max="6900" width="12.1796875" style="39" bestFit="1" customWidth="1"/>
    <col min="6901" max="6901" width="8.7265625" style="39"/>
    <col min="6902" max="6902" width="22.81640625" style="39" bestFit="1" customWidth="1"/>
    <col min="6903" max="6903" width="12.54296875" style="39" bestFit="1" customWidth="1"/>
    <col min="6904" max="6904" width="13.54296875" style="39" customWidth="1"/>
    <col min="6905" max="6905" width="11.26953125" style="39" bestFit="1" customWidth="1"/>
    <col min="6906" max="6906" width="12.54296875" style="39" bestFit="1" customWidth="1"/>
    <col min="6907" max="6908" width="12.54296875" style="39" customWidth="1"/>
    <col min="6909" max="6909" width="12.1796875" style="39" bestFit="1" customWidth="1"/>
    <col min="6910" max="6910" width="12.1796875" style="39" customWidth="1"/>
    <col min="6911" max="6911" width="8.7265625" style="39"/>
    <col min="6912" max="6912" width="24.54296875" style="39" customWidth="1"/>
    <col min="6913" max="6913" width="8.1796875" style="39" bestFit="1" customWidth="1"/>
    <col min="6914" max="6915" width="7.54296875" style="39" bestFit="1" customWidth="1"/>
    <col min="6916" max="6916" width="15.1796875" style="39" customWidth="1"/>
    <col min="6917" max="6917" width="8.1796875" style="39" bestFit="1" customWidth="1"/>
    <col min="6918" max="6918" width="13.453125" style="39" customWidth="1"/>
    <col min="6919" max="6919" width="12.453125" style="39" customWidth="1"/>
    <col min="6920" max="6920" width="8.7265625" style="39"/>
    <col min="6921" max="6921" width="20.54296875" style="39" customWidth="1"/>
    <col min="6922" max="6922" width="8.1796875" style="39" bestFit="1" customWidth="1"/>
    <col min="6923" max="6923" width="7.54296875" style="39" bestFit="1" customWidth="1"/>
    <col min="6924" max="6924" width="8.1796875" style="39" bestFit="1" customWidth="1"/>
    <col min="6925" max="6925" width="16.26953125" style="39" customWidth="1"/>
    <col min="6926" max="6926" width="8.1796875" style="39" bestFit="1" customWidth="1"/>
    <col min="6927" max="6927" width="12.54296875" style="39" customWidth="1"/>
    <col min="6928" max="6928" width="13.26953125" style="39" customWidth="1"/>
    <col min="6929" max="7147" width="8.7265625" style="39"/>
    <col min="7148" max="7148" width="27.26953125" style="39" bestFit="1" customWidth="1"/>
    <col min="7149" max="7149" width="12.54296875" style="39" bestFit="1" customWidth="1"/>
    <col min="7150" max="7151" width="12.54296875" style="39" customWidth="1"/>
    <col min="7152" max="7152" width="12.54296875" style="39" bestFit="1" customWidth="1"/>
    <col min="7153" max="7154" width="12.54296875" style="39" customWidth="1"/>
    <col min="7155" max="7156" width="12.1796875" style="39" bestFit="1" customWidth="1"/>
    <col min="7157" max="7157" width="8.7265625" style="39"/>
    <col min="7158" max="7158" width="22.81640625" style="39" bestFit="1" customWidth="1"/>
    <col min="7159" max="7159" width="12.54296875" style="39" bestFit="1" customWidth="1"/>
    <col min="7160" max="7160" width="13.54296875" style="39" customWidth="1"/>
    <col min="7161" max="7161" width="11.26953125" style="39" bestFit="1" customWidth="1"/>
    <col min="7162" max="7162" width="12.54296875" style="39" bestFit="1" customWidth="1"/>
    <col min="7163" max="7164" width="12.54296875" style="39" customWidth="1"/>
    <col min="7165" max="7165" width="12.1796875" style="39" bestFit="1" customWidth="1"/>
    <col min="7166" max="7166" width="12.1796875" style="39" customWidth="1"/>
    <col min="7167" max="7167" width="8.7265625" style="39"/>
    <col min="7168" max="7168" width="24.54296875" style="39" customWidth="1"/>
    <col min="7169" max="7169" width="8.1796875" style="39" bestFit="1" customWidth="1"/>
    <col min="7170" max="7171" width="7.54296875" style="39" bestFit="1" customWidth="1"/>
    <col min="7172" max="7172" width="15.1796875" style="39" customWidth="1"/>
    <col min="7173" max="7173" width="8.1796875" style="39" bestFit="1" customWidth="1"/>
    <col min="7174" max="7174" width="13.453125" style="39" customWidth="1"/>
    <col min="7175" max="7175" width="12.453125" style="39" customWidth="1"/>
    <col min="7176" max="7176" width="8.7265625" style="39"/>
    <col min="7177" max="7177" width="20.54296875" style="39" customWidth="1"/>
    <col min="7178" max="7178" width="8.1796875" style="39" bestFit="1" customWidth="1"/>
    <col min="7179" max="7179" width="7.54296875" style="39" bestFit="1" customWidth="1"/>
    <col min="7180" max="7180" width="8.1796875" style="39" bestFit="1" customWidth="1"/>
    <col min="7181" max="7181" width="16.26953125" style="39" customWidth="1"/>
    <col min="7182" max="7182" width="8.1796875" style="39" bestFit="1" customWidth="1"/>
    <col min="7183" max="7183" width="12.54296875" style="39" customWidth="1"/>
    <col min="7184" max="7184" width="13.26953125" style="39" customWidth="1"/>
    <col min="7185" max="7403" width="8.7265625" style="39"/>
    <col min="7404" max="7404" width="27.26953125" style="39" bestFit="1" customWidth="1"/>
    <col min="7405" max="7405" width="12.54296875" style="39" bestFit="1" customWidth="1"/>
    <col min="7406" max="7407" width="12.54296875" style="39" customWidth="1"/>
    <col min="7408" max="7408" width="12.54296875" style="39" bestFit="1" customWidth="1"/>
    <col min="7409" max="7410" width="12.54296875" style="39" customWidth="1"/>
    <col min="7411" max="7412" width="12.1796875" style="39" bestFit="1" customWidth="1"/>
    <col min="7413" max="7413" width="8.7265625" style="39"/>
    <col min="7414" max="7414" width="22.81640625" style="39" bestFit="1" customWidth="1"/>
    <col min="7415" max="7415" width="12.54296875" style="39" bestFit="1" customWidth="1"/>
    <col min="7416" max="7416" width="13.54296875" style="39" customWidth="1"/>
    <col min="7417" max="7417" width="11.26953125" style="39" bestFit="1" customWidth="1"/>
    <col min="7418" max="7418" width="12.54296875" style="39" bestFit="1" customWidth="1"/>
    <col min="7419" max="7420" width="12.54296875" style="39" customWidth="1"/>
    <col min="7421" max="7421" width="12.1796875" style="39" bestFit="1" customWidth="1"/>
    <col min="7422" max="7422" width="12.1796875" style="39" customWidth="1"/>
    <col min="7423" max="7423" width="8.7265625" style="39"/>
    <col min="7424" max="7424" width="24.54296875" style="39" customWidth="1"/>
    <col min="7425" max="7425" width="8.1796875" style="39" bestFit="1" customWidth="1"/>
    <col min="7426" max="7427" width="7.54296875" style="39" bestFit="1" customWidth="1"/>
    <col min="7428" max="7428" width="15.1796875" style="39" customWidth="1"/>
    <col min="7429" max="7429" width="8.1796875" style="39" bestFit="1" customWidth="1"/>
    <col min="7430" max="7430" width="13.453125" style="39" customWidth="1"/>
    <col min="7431" max="7431" width="12.453125" style="39" customWidth="1"/>
    <col min="7432" max="7432" width="8.7265625" style="39"/>
    <col min="7433" max="7433" width="20.54296875" style="39" customWidth="1"/>
    <col min="7434" max="7434" width="8.1796875" style="39" bestFit="1" customWidth="1"/>
    <col min="7435" max="7435" width="7.54296875" style="39" bestFit="1" customWidth="1"/>
    <col min="7436" max="7436" width="8.1796875" style="39" bestFit="1" customWidth="1"/>
    <col min="7437" max="7437" width="16.26953125" style="39" customWidth="1"/>
    <col min="7438" max="7438" width="8.1796875" style="39" bestFit="1" customWidth="1"/>
    <col min="7439" max="7439" width="12.54296875" style="39" customWidth="1"/>
    <col min="7440" max="7440" width="13.26953125" style="39" customWidth="1"/>
    <col min="7441" max="7659" width="8.7265625" style="39"/>
    <col min="7660" max="7660" width="27.26953125" style="39" bestFit="1" customWidth="1"/>
    <col min="7661" max="7661" width="12.54296875" style="39" bestFit="1" customWidth="1"/>
    <col min="7662" max="7663" width="12.54296875" style="39" customWidth="1"/>
    <col min="7664" max="7664" width="12.54296875" style="39" bestFit="1" customWidth="1"/>
    <col min="7665" max="7666" width="12.54296875" style="39" customWidth="1"/>
    <col min="7667" max="7668" width="12.1796875" style="39" bestFit="1" customWidth="1"/>
    <col min="7669" max="7669" width="8.7265625" style="39"/>
    <col min="7670" max="7670" width="22.81640625" style="39" bestFit="1" customWidth="1"/>
    <col min="7671" max="7671" width="12.54296875" style="39" bestFit="1" customWidth="1"/>
    <col min="7672" max="7672" width="13.54296875" style="39" customWidth="1"/>
    <col min="7673" max="7673" width="11.26953125" style="39" bestFit="1" customWidth="1"/>
    <col min="7674" max="7674" width="12.54296875" style="39" bestFit="1" customWidth="1"/>
    <col min="7675" max="7676" width="12.54296875" style="39" customWidth="1"/>
    <col min="7677" max="7677" width="12.1796875" style="39" bestFit="1" customWidth="1"/>
    <col min="7678" max="7678" width="12.1796875" style="39" customWidth="1"/>
    <col min="7679" max="7679" width="8.7265625" style="39"/>
    <col min="7680" max="7680" width="24.54296875" style="39" customWidth="1"/>
    <col min="7681" max="7681" width="8.1796875" style="39" bestFit="1" customWidth="1"/>
    <col min="7682" max="7683" width="7.54296875" style="39" bestFit="1" customWidth="1"/>
    <col min="7684" max="7684" width="15.1796875" style="39" customWidth="1"/>
    <col min="7685" max="7685" width="8.1796875" style="39" bestFit="1" customWidth="1"/>
    <col min="7686" max="7686" width="13.453125" style="39" customWidth="1"/>
    <col min="7687" max="7687" width="12.453125" style="39" customWidth="1"/>
    <col min="7688" max="7688" width="8.7265625" style="39"/>
    <col min="7689" max="7689" width="20.54296875" style="39" customWidth="1"/>
    <col min="7690" max="7690" width="8.1796875" style="39" bestFit="1" customWidth="1"/>
    <col min="7691" max="7691" width="7.54296875" style="39" bestFit="1" customWidth="1"/>
    <col min="7692" max="7692" width="8.1796875" style="39" bestFit="1" customWidth="1"/>
    <col min="7693" max="7693" width="16.26953125" style="39" customWidth="1"/>
    <col min="7694" max="7694" width="8.1796875" style="39" bestFit="1" customWidth="1"/>
    <col min="7695" max="7695" width="12.54296875" style="39" customWidth="1"/>
    <col min="7696" max="7696" width="13.26953125" style="39" customWidth="1"/>
    <col min="7697" max="7915" width="8.7265625" style="39"/>
    <col min="7916" max="7916" width="27.26953125" style="39" bestFit="1" customWidth="1"/>
    <col min="7917" max="7917" width="12.54296875" style="39" bestFit="1" customWidth="1"/>
    <col min="7918" max="7919" width="12.54296875" style="39" customWidth="1"/>
    <col min="7920" max="7920" width="12.54296875" style="39" bestFit="1" customWidth="1"/>
    <col min="7921" max="7922" width="12.54296875" style="39" customWidth="1"/>
    <col min="7923" max="7924" width="12.1796875" style="39" bestFit="1" customWidth="1"/>
    <col min="7925" max="7925" width="8.7265625" style="39"/>
    <col min="7926" max="7926" width="22.81640625" style="39" bestFit="1" customWidth="1"/>
    <col min="7927" max="7927" width="12.54296875" style="39" bestFit="1" customWidth="1"/>
    <col min="7928" max="7928" width="13.54296875" style="39" customWidth="1"/>
    <col min="7929" max="7929" width="11.26953125" style="39" bestFit="1" customWidth="1"/>
    <col min="7930" max="7930" width="12.54296875" style="39" bestFit="1" customWidth="1"/>
    <col min="7931" max="7932" width="12.54296875" style="39" customWidth="1"/>
    <col min="7933" max="7933" width="12.1796875" style="39" bestFit="1" customWidth="1"/>
    <col min="7934" max="7934" width="12.1796875" style="39" customWidth="1"/>
    <col min="7935" max="7935" width="8.7265625" style="39"/>
    <col min="7936" max="7936" width="24.54296875" style="39" customWidth="1"/>
    <col min="7937" max="7937" width="8.1796875" style="39" bestFit="1" customWidth="1"/>
    <col min="7938" max="7939" width="7.54296875" style="39" bestFit="1" customWidth="1"/>
    <col min="7940" max="7940" width="15.1796875" style="39" customWidth="1"/>
    <col min="7941" max="7941" width="8.1796875" style="39" bestFit="1" customWidth="1"/>
    <col min="7942" max="7942" width="13.453125" style="39" customWidth="1"/>
    <col min="7943" max="7943" width="12.453125" style="39" customWidth="1"/>
    <col min="7944" max="7944" width="8.7265625" style="39"/>
    <col min="7945" max="7945" width="20.54296875" style="39" customWidth="1"/>
    <col min="7946" max="7946" width="8.1796875" style="39" bestFit="1" customWidth="1"/>
    <col min="7947" max="7947" width="7.54296875" style="39" bestFit="1" customWidth="1"/>
    <col min="7948" max="7948" width="8.1796875" style="39" bestFit="1" customWidth="1"/>
    <col min="7949" max="7949" width="16.26953125" style="39" customWidth="1"/>
    <col min="7950" max="7950" width="8.1796875" style="39" bestFit="1" customWidth="1"/>
    <col min="7951" max="7951" width="12.54296875" style="39" customWidth="1"/>
    <col min="7952" max="7952" width="13.26953125" style="39" customWidth="1"/>
    <col min="7953" max="8171" width="8.7265625" style="39"/>
    <col min="8172" max="8172" width="27.26953125" style="39" bestFit="1" customWidth="1"/>
    <col min="8173" max="8173" width="12.54296875" style="39" bestFit="1" customWidth="1"/>
    <col min="8174" max="8175" width="12.54296875" style="39" customWidth="1"/>
    <col min="8176" max="8176" width="12.54296875" style="39" bestFit="1" customWidth="1"/>
    <col min="8177" max="8178" width="12.54296875" style="39" customWidth="1"/>
    <col min="8179" max="8180" width="12.1796875" style="39" bestFit="1" customWidth="1"/>
    <col min="8181" max="8181" width="8.7265625" style="39"/>
    <col min="8182" max="8182" width="22.81640625" style="39" bestFit="1" customWidth="1"/>
    <col min="8183" max="8183" width="12.54296875" style="39" bestFit="1" customWidth="1"/>
    <col min="8184" max="8184" width="13.54296875" style="39" customWidth="1"/>
    <col min="8185" max="8185" width="11.26953125" style="39" bestFit="1" customWidth="1"/>
    <col min="8186" max="8186" width="12.54296875" style="39" bestFit="1" customWidth="1"/>
    <col min="8187" max="8188" width="12.54296875" style="39" customWidth="1"/>
    <col min="8189" max="8189" width="12.1796875" style="39" bestFit="1" customWidth="1"/>
    <col min="8190" max="8190" width="12.1796875" style="39" customWidth="1"/>
    <col min="8191" max="8191" width="8.7265625" style="39"/>
    <col min="8192" max="8192" width="24.54296875" style="39" customWidth="1"/>
    <col min="8193" max="8193" width="8.1796875" style="39" bestFit="1" customWidth="1"/>
    <col min="8194" max="8195" width="7.54296875" style="39" bestFit="1" customWidth="1"/>
    <col min="8196" max="8196" width="15.1796875" style="39" customWidth="1"/>
    <col min="8197" max="8197" width="8.1796875" style="39" bestFit="1" customWidth="1"/>
    <col min="8198" max="8198" width="13.453125" style="39" customWidth="1"/>
    <col min="8199" max="8199" width="12.453125" style="39" customWidth="1"/>
    <col min="8200" max="8200" width="8.7265625" style="39"/>
    <col min="8201" max="8201" width="20.54296875" style="39" customWidth="1"/>
    <col min="8202" max="8202" width="8.1796875" style="39" bestFit="1" customWidth="1"/>
    <col min="8203" max="8203" width="7.54296875" style="39" bestFit="1" customWidth="1"/>
    <col min="8204" max="8204" width="8.1796875" style="39" bestFit="1" customWidth="1"/>
    <col min="8205" max="8205" width="16.26953125" style="39" customWidth="1"/>
    <col min="8206" max="8206" width="8.1796875" style="39" bestFit="1" customWidth="1"/>
    <col min="8207" max="8207" width="12.54296875" style="39" customWidth="1"/>
    <col min="8208" max="8208" width="13.26953125" style="39" customWidth="1"/>
    <col min="8209" max="8427" width="8.7265625" style="39"/>
    <col min="8428" max="8428" width="27.26953125" style="39" bestFit="1" customWidth="1"/>
    <col min="8429" max="8429" width="12.54296875" style="39" bestFit="1" customWidth="1"/>
    <col min="8430" max="8431" width="12.54296875" style="39" customWidth="1"/>
    <col min="8432" max="8432" width="12.54296875" style="39" bestFit="1" customWidth="1"/>
    <col min="8433" max="8434" width="12.54296875" style="39" customWidth="1"/>
    <col min="8435" max="8436" width="12.1796875" style="39" bestFit="1" customWidth="1"/>
    <col min="8437" max="8437" width="8.7265625" style="39"/>
    <col min="8438" max="8438" width="22.81640625" style="39" bestFit="1" customWidth="1"/>
    <col min="8439" max="8439" width="12.54296875" style="39" bestFit="1" customWidth="1"/>
    <col min="8440" max="8440" width="13.54296875" style="39" customWidth="1"/>
    <col min="8441" max="8441" width="11.26953125" style="39" bestFit="1" customWidth="1"/>
    <col min="8442" max="8442" width="12.54296875" style="39" bestFit="1" customWidth="1"/>
    <col min="8443" max="8444" width="12.54296875" style="39" customWidth="1"/>
    <col min="8445" max="8445" width="12.1796875" style="39" bestFit="1" customWidth="1"/>
    <col min="8446" max="8446" width="12.1796875" style="39" customWidth="1"/>
    <col min="8447" max="8447" width="8.7265625" style="39"/>
    <col min="8448" max="8448" width="24.54296875" style="39" customWidth="1"/>
    <col min="8449" max="8449" width="8.1796875" style="39" bestFit="1" customWidth="1"/>
    <col min="8450" max="8451" width="7.54296875" style="39" bestFit="1" customWidth="1"/>
    <col min="8452" max="8452" width="15.1796875" style="39" customWidth="1"/>
    <col min="8453" max="8453" width="8.1796875" style="39" bestFit="1" customWidth="1"/>
    <col min="8454" max="8454" width="13.453125" style="39" customWidth="1"/>
    <col min="8455" max="8455" width="12.453125" style="39" customWidth="1"/>
    <col min="8456" max="8456" width="8.7265625" style="39"/>
    <col min="8457" max="8457" width="20.54296875" style="39" customWidth="1"/>
    <col min="8458" max="8458" width="8.1796875" style="39" bestFit="1" customWidth="1"/>
    <col min="8459" max="8459" width="7.54296875" style="39" bestFit="1" customWidth="1"/>
    <col min="8460" max="8460" width="8.1796875" style="39" bestFit="1" customWidth="1"/>
    <col min="8461" max="8461" width="16.26953125" style="39" customWidth="1"/>
    <col min="8462" max="8462" width="8.1796875" style="39" bestFit="1" customWidth="1"/>
    <col min="8463" max="8463" width="12.54296875" style="39" customWidth="1"/>
    <col min="8464" max="8464" width="13.26953125" style="39" customWidth="1"/>
    <col min="8465" max="8683" width="8.7265625" style="39"/>
    <col min="8684" max="8684" width="27.26953125" style="39" bestFit="1" customWidth="1"/>
    <col min="8685" max="8685" width="12.54296875" style="39" bestFit="1" customWidth="1"/>
    <col min="8686" max="8687" width="12.54296875" style="39" customWidth="1"/>
    <col min="8688" max="8688" width="12.54296875" style="39" bestFit="1" customWidth="1"/>
    <col min="8689" max="8690" width="12.54296875" style="39" customWidth="1"/>
    <col min="8691" max="8692" width="12.1796875" style="39" bestFit="1" customWidth="1"/>
    <col min="8693" max="8693" width="8.7265625" style="39"/>
    <col min="8694" max="8694" width="22.81640625" style="39" bestFit="1" customWidth="1"/>
    <col min="8695" max="8695" width="12.54296875" style="39" bestFit="1" customWidth="1"/>
    <col min="8696" max="8696" width="13.54296875" style="39" customWidth="1"/>
    <col min="8697" max="8697" width="11.26953125" style="39" bestFit="1" customWidth="1"/>
    <col min="8698" max="8698" width="12.54296875" style="39" bestFit="1" customWidth="1"/>
    <col min="8699" max="8700" width="12.54296875" style="39" customWidth="1"/>
    <col min="8701" max="8701" width="12.1796875" style="39" bestFit="1" customWidth="1"/>
    <col min="8702" max="8702" width="12.1796875" style="39" customWidth="1"/>
    <col min="8703" max="8703" width="8.7265625" style="39"/>
    <col min="8704" max="8704" width="24.54296875" style="39" customWidth="1"/>
    <col min="8705" max="8705" width="8.1796875" style="39" bestFit="1" customWidth="1"/>
    <col min="8706" max="8707" width="7.54296875" style="39" bestFit="1" customWidth="1"/>
    <col min="8708" max="8708" width="15.1796875" style="39" customWidth="1"/>
    <col min="8709" max="8709" width="8.1796875" style="39" bestFit="1" customWidth="1"/>
    <col min="8710" max="8710" width="13.453125" style="39" customWidth="1"/>
    <col min="8711" max="8711" width="12.453125" style="39" customWidth="1"/>
    <col min="8712" max="8712" width="8.7265625" style="39"/>
    <col min="8713" max="8713" width="20.54296875" style="39" customWidth="1"/>
    <col min="8714" max="8714" width="8.1796875" style="39" bestFit="1" customWidth="1"/>
    <col min="8715" max="8715" width="7.54296875" style="39" bestFit="1" customWidth="1"/>
    <col min="8716" max="8716" width="8.1796875" style="39" bestFit="1" customWidth="1"/>
    <col min="8717" max="8717" width="16.26953125" style="39" customWidth="1"/>
    <col min="8718" max="8718" width="8.1796875" style="39" bestFit="1" customWidth="1"/>
    <col min="8719" max="8719" width="12.54296875" style="39" customWidth="1"/>
    <col min="8720" max="8720" width="13.26953125" style="39" customWidth="1"/>
    <col min="8721" max="8939" width="8.7265625" style="39"/>
    <col min="8940" max="8940" width="27.26953125" style="39" bestFit="1" customWidth="1"/>
    <col min="8941" max="8941" width="12.54296875" style="39" bestFit="1" customWidth="1"/>
    <col min="8942" max="8943" width="12.54296875" style="39" customWidth="1"/>
    <col min="8944" max="8944" width="12.54296875" style="39" bestFit="1" customWidth="1"/>
    <col min="8945" max="8946" width="12.54296875" style="39" customWidth="1"/>
    <col min="8947" max="8948" width="12.1796875" style="39" bestFit="1" customWidth="1"/>
    <col min="8949" max="8949" width="8.7265625" style="39"/>
    <col min="8950" max="8950" width="22.81640625" style="39" bestFit="1" customWidth="1"/>
    <col min="8951" max="8951" width="12.54296875" style="39" bestFit="1" customWidth="1"/>
    <col min="8952" max="8952" width="13.54296875" style="39" customWidth="1"/>
    <col min="8953" max="8953" width="11.26953125" style="39" bestFit="1" customWidth="1"/>
    <col min="8954" max="8954" width="12.54296875" style="39" bestFit="1" customWidth="1"/>
    <col min="8955" max="8956" width="12.54296875" style="39" customWidth="1"/>
    <col min="8957" max="8957" width="12.1796875" style="39" bestFit="1" customWidth="1"/>
    <col min="8958" max="8958" width="12.1796875" style="39" customWidth="1"/>
    <col min="8959" max="8959" width="8.7265625" style="39"/>
    <col min="8960" max="8960" width="24.54296875" style="39" customWidth="1"/>
    <col min="8961" max="8961" width="8.1796875" style="39" bestFit="1" customWidth="1"/>
    <col min="8962" max="8963" width="7.54296875" style="39" bestFit="1" customWidth="1"/>
    <col min="8964" max="8964" width="15.1796875" style="39" customWidth="1"/>
    <col min="8965" max="8965" width="8.1796875" style="39" bestFit="1" customWidth="1"/>
    <col min="8966" max="8966" width="13.453125" style="39" customWidth="1"/>
    <col min="8967" max="8967" width="12.453125" style="39" customWidth="1"/>
    <col min="8968" max="8968" width="8.7265625" style="39"/>
    <col min="8969" max="8969" width="20.54296875" style="39" customWidth="1"/>
    <col min="8970" max="8970" width="8.1796875" style="39" bestFit="1" customWidth="1"/>
    <col min="8971" max="8971" width="7.54296875" style="39" bestFit="1" customWidth="1"/>
    <col min="8972" max="8972" width="8.1796875" style="39" bestFit="1" customWidth="1"/>
    <col min="8973" max="8973" width="16.26953125" style="39" customWidth="1"/>
    <col min="8974" max="8974" width="8.1796875" style="39" bestFit="1" customWidth="1"/>
    <col min="8975" max="8975" width="12.54296875" style="39" customWidth="1"/>
    <col min="8976" max="8976" width="13.26953125" style="39" customWidth="1"/>
    <col min="8977" max="9195" width="8.7265625" style="39"/>
    <col min="9196" max="9196" width="27.26953125" style="39" bestFit="1" customWidth="1"/>
    <col min="9197" max="9197" width="12.54296875" style="39" bestFit="1" customWidth="1"/>
    <col min="9198" max="9199" width="12.54296875" style="39" customWidth="1"/>
    <col min="9200" max="9200" width="12.54296875" style="39" bestFit="1" customWidth="1"/>
    <col min="9201" max="9202" width="12.54296875" style="39" customWidth="1"/>
    <col min="9203" max="9204" width="12.1796875" style="39" bestFit="1" customWidth="1"/>
    <col min="9205" max="9205" width="8.7265625" style="39"/>
    <col min="9206" max="9206" width="22.81640625" style="39" bestFit="1" customWidth="1"/>
    <col min="9207" max="9207" width="12.54296875" style="39" bestFit="1" customWidth="1"/>
    <col min="9208" max="9208" width="13.54296875" style="39" customWidth="1"/>
    <col min="9209" max="9209" width="11.26953125" style="39" bestFit="1" customWidth="1"/>
    <col min="9210" max="9210" width="12.54296875" style="39" bestFit="1" customWidth="1"/>
    <col min="9211" max="9212" width="12.54296875" style="39" customWidth="1"/>
    <col min="9213" max="9213" width="12.1796875" style="39" bestFit="1" customWidth="1"/>
    <col min="9214" max="9214" width="12.1796875" style="39" customWidth="1"/>
    <col min="9215" max="9215" width="8.7265625" style="39"/>
    <col min="9216" max="9216" width="24.54296875" style="39" customWidth="1"/>
    <col min="9217" max="9217" width="8.1796875" style="39" bestFit="1" customWidth="1"/>
    <col min="9218" max="9219" width="7.54296875" style="39" bestFit="1" customWidth="1"/>
    <col min="9220" max="9220" width="15.1796875" style="39" customWidth="1"/>
    <col min="9221" max="9221" width="8.1796875" style="39" bestFit="1" customWidth="1"/>
    <col min="9222" max="9222" width="13.453125" style="39" customWidth="1"/>
    <col min="9223" max="9223" width="12.453125" style="39" customWidth="1"/>
    <col min="9224" max="9224" width="8.7265625" style="39"/>
    <col min="9225" max="9225" width="20.54296875" style="39" customWidth="1"/>
    <col min="9226" max="9226" width="8.1796875" style="39" bestFit="1" customWidth="1"/>
    <col min="9227" max="9227" width="7.54296875" style="39" bestFit="1" customWidth="1"/>
    <col min="9228" max="9228" width="8.1796875" style="39" bestFit="1" customWidth="1"/>
    <col min="9229" max="9229" width="16.26953125" style="39" customWidth="1"/>
    <col min="9230" max="9230" width="8.1796875" style="39" bestFit="1" customWidth="1"/>
    <col min="9231" max="9231" width="12.54296875" style="39" customWidth="1"/>
    <col min="9232" max="9232" width="13.26953125" style="39" customWidth="1"/>
    <col min="9233" max="9451" width="8.7265625" style="39"/>
    <col min="9452" max="9452" width="27.26953125" style="39" bestFit="1" customWidth="1"/>
    <col min="9453" max="9453" width="12.54296875" style="39" bestFit="1" customWidth="1"/>
    <col min="9454" max="9455" width="12.54296875" style="39" customWidth="1"/>
    <col min="9456" max="9456" width="12.54296875" style="39" bestFit="1" customWidth="1"/>
    <col min="9457" max="9458" width="12.54296875" style="39" customWidth="1"/>
    <col min="9459" max="9460" width="12.1796875" style="39" bestFit="1" customWidth="1"/>
    <col min="9461" max="9461" width="8.7265625" style="39"/>
    <col min="9462" max="9462" width="22.81640625" style="39" bestFit="1" customWidth="1"/>
    <col min="9463" max="9463" width="12.54296875" style="39" bestFit="1" customWidth="1"/>
    <col min="9464" max="9464" width="13.54296875" style="39" customWidth="1"/>
    <col min="9465" max="9465" width="11.26953125" style="39" bestFit="1" customWidth="1"/>
    <col min="9466" max="9466" width="12.54296875" style="39" bestFit="1" customWidth="1"/>
    <col min="9467" max="9468" width="12.54296875" style="39" customWidth="1"/>
    <col min="9469" max="9469" width="12.1796875" style="39" bestFit="1" customWidth="1"/>
    <col min="9470" max="9470" width="12.1796875" style="39" customWidth="1"/>
    <col min="9471" max="9471" width="8.7265625" style="39"/>
    <col min="9472" max="9472" width="24.54296875" style="39" customWidth="1"/>
    <col min="9473" max="9473" width="8.1796875" style="39" bestFit="1" customWidth="1"/>
    <col min="9474" max="9475" width="7.54296875" style="39" bestFit="1" customWidth="1"/>
    <col min="9476" max="9476" width="15.1796875" style="39" customWidth="1"/>
    <col min="9477" max="9477" width="8.1796875" style="39" bestFit="1" customWidth="1"/>
    <col min="9478" max="9478" width="13.453125" style="39" customWidth="1"/>
    <col min="9479" max="9479" width="12.453125" style="39" customWidth="1"/>
    <col min="9480" max="9480" width="8.7265625" style="39"/>
    <col min="9481" max="9481" width="20.54296875" style="39" customWidth="1"/>
    <col min="9482" max="9482" width="8.1796875" style="39" bestFit="1" customWidth="1"/>
    <col min="9483" max="9483" width="7.54296875" style="39" bestFit="1" customWidth="1"/>
    <col min="9484" max="9484" width="8.1796875" style="39" bestFit="1" customWidth="1"/>
    <col min="9485" max="9485" width="16.26953125" style="39" customWidth="1"/>
    <col min="9486" max="9486" width="8.1796875" style="39" bestFit="1" customWidth="1"/>
    <col min="9487" max="9487" width="12.54296875" style="39" customWidth="1"/>
    <col min="9488" max="9488" width="13.26953125" style="39" customWidth="1"/>
    <col min="9489" max="9707" width="8.7265625" style="39"/>
    <col min="9708" max="9708" width="27.26953125" style="39" bestFit="1" customWidth="1"/>
    <col min="9709" max="9709" width="12.54296875" style="39" bestFit="1" customWidth="1"/>
    <col min="9710" max="9711" width="12.54296875" style="39" customWidth="1"/>
    <col min="9712" max="9712" width="12.54296875" style="39" bestFit="1" customWidth="1"/>
    <col min="9713" max="9714" width="12.54296875" style="39" customWidth="1"/>
    <col min="9715" max="9716" width="12.1796875" style="39" bestFit="1" customWidth="1"/>
    <col min="9717" max="9717" width="8.7265625" style="39"/>
    <col min="9718" max="9718" width="22.81640625" style="39" bestFit="1" customWidth="1"/>
    <col min="9719" max="9719" width="12.54296875" style="39" bestFit="1" customWidth="1"/>
    <col min="9720" max="9720" width="13.54296875" style="39" customWidth="1"/>
    <col min="9721" max="9721" width="11.26953125" style="39" bestFit="1" customWidth="1"/>
    <col min="9722" max="9722" width="12.54296875" style="39" bestFit="1" customWidth="1"/>
    <col min="9723" max="9724" width="12.54296875" style="39" customWidth="1"/>
    <col min="9725" max="9725" width="12.1796875" style="39" bestFit="1" customWidth="1"/>
    <col min="9726" max="9726" width="12.1796875" style="39" customWidth="1"/>
    <col min="9727" max="9727" width="8.7265625" style="39"/>
    <col min="9728" max="9728" width="24.54296875" style="39" customWidth="1"/>
    <col min="9729" max="9729" width="8.1796875" style="39" bestFit="1" customWidth="1"/>
    <col min="9730" max="9731" width="7.54296875" style="39" bestFit="1" customWidth="1"/>
    <col min="9732" max="9732" width="15.1796875" style="39" customWidth="1"/>
    <col min="9733" max="9733" width="8.1796875" style="39" bestFit="1" customWidth="1"/>
    <col min="9734" max="9734" width="13.453125" style="39" customWidth="1"/>
    <col min="9735" max="9735" width="12.453125" style="39" customWidth="1"/>
    <col min="9736" max="9736" width="8.7265625" style="39"/>
    <col min="9737" max="9737" width="20.54296875" style="39" customWidth="1"/>
    <col min="9738" max="9738" width="8.1796875" style="39" bestFit="1" customWidth="1"/>
    <col min="9739" max="9739" width="7.54296875" style="39" bestFit="1" customWidth="1"/>
    <col min="9740" max="9740" width="8.1796875" style="39" bestFit="1" customWidth="1"/>
    <col min="9741" max="9741" width="16.26953125" style="39" customWidth="1"/>
    <col min="9742" max="9742" width="8.1796875" style="39" bestFit="1" customWidth="1"/>
    <col min="9743" max="9743" width="12.54296875" style="39" customWidth="1"/>
    <col min="9744" max="9744" width="13.26953125" style="39" customWidth="1"/>
    <col min="9745" max="9963" width="8.7265625" style="39"/>
    <col min="9964" max="9964" width="27.26953125" style="39" bestFit="1" customWidth="1"/>
    <col min="9965" max="9965" width="12.54296875" style="39" bestFit="1" customWidth="1"/>
    <col min="9966" max="9967" width="12.54296875" style="39" customWidth="1"/>
    <col min="9968" max="9968" width="12.54296875" style="39" bestFit="1" customWidth="1"/>
    <col min="9969" max="9970" width="12.54296875" style="39" customWidth="1"/>
    <col min="9971" max="9972" width="12.1796875" style="39" bestFit="1" customWidth="1"/>
    <col min="9973" max="9973" width="8.7265625" style="39"/>
    <col min="9974" max="9974" width="22.81640625" style="39" bestFit="1" customWidth="1"/>
    <col min="9975" max="9975" width="12.54296875" style="39" bestFit="1" customWidth="1"/>
    <col min="9976" max="9976" width="13.54296875" style="39" customWidth="1"/>
    <col min="9977" max="9977" width="11.26953125" style="39" bestFit="1" customWidth="1"/>
    <col min="9978" max="9978" width="12.54296875" style="39" bestFit="1" customWidth="1"/>
    <col min="9979" max="9980" width="12.54296875" style="39" customWidth="1"/>
    <col min="9981" max="9981" width="12.1796875" style="39" bestFit="1" customWidth="1"/>
    <col min="9982" max="9982" width="12.1796875" style="39" customWidth="1"/>
    <col min="9983" max="9983" width="8.7265625" style="39"/>
    <col min="9984" max="9984" width="24.54296875" style="39" customWidth="1"/>
    <col min="9985" max="9985" width="8.1796875" style="39" bestFit="1" customWidth="1"/>
    <col min="9986" max="9987" width="7.54296875" style="39" bestFit="1" customWidth="1"/>
    <col min="9988" max="9988" width="15.1796875" style="39" customWidth="1"/>
    <col min="9989" max="9989" width="8.1796875" style="39" bestFit="1" customWidth="1"/>
    <col min="9990" max="9990" width="13.453125" style="39" customWidth="1"/>
    <col min="9991" max="9991" width="12.453125" style="39" customWidth="1"/>
    <col min="9992" max="9992" width="8.7265625" style="39"/>
    <col min="9993" max="9993" width="20.54296875" style="39" customWidth="1"/>
    <col min="9994" max="9994" width="8.1796875" style="39" bestFit="1" customWidth="1"/>
    <col min="9995" max="9995" width="7.54296875" style="39" bestFit="1" customWidth="1"/>
    <col min="9996" max="9996" width="8.1796875" style="39" bestFit="1" customWidth="1"/>
    <col min="9997" max="9997" width="16.26953125" style="39" customWidth="1"/>
    <col min="9998" max="9998" width="8.1796875" style="39" bestFit="1" customWidth="1"/>
    <col min="9999" max="9999" width="12.54296875" style="39" customWidth="1"/>
    <col min="10000" max="10000" width="13.26953125" style="39" customWidth="1"/>
    <col min="10001" max="10219" width="8.7265625" style="39"/>
    <col min="10220" max="10220" width="27.26953125" style="39" bestFit="1" customWidth="1"/>
    <col min="10221" max="10221" width="12.54296875" style="39" bestFit="1" customWidth="1"/>
    <col min="10222" max="10223" width="12.54296875" style="39" customWidth="1"/>
    <col min="10224" max="10224" width="12.54296875" style="39" bestFit="1" customWidth="1"/>
    <col min="10225" max="10226" width="12.54296875" style="39" customWidth="1"/>
    <col min="10227" max="10228" width="12.1796875" style="39" bestFit="1" customWidth="1"/>
    <col min="10229" max="10229" width="8.7265625" style="39"/>
    <col min="10230" max="10230" width="22.81640625" style="39" bestFit="1" customWidth="1"/>
    <col min="10231" max="10231" width="12.54296875" style="39" bestFit="1" customWidth="1"/>
    <col min="10232" max="10232" width="13.54296875" style="39" customWidth="1"/>
    <col min="10233" max="10233" width="11.26953125" style="39" bestFit="1" customWidth="1"/>
    <col min="10234" max="10234" width="12.54296875" style="39" bestFit="1" customWidth="1"/>
    <col min="10235" max="10236" width="12.54296875" style="39" customWidth="1"/>
    <col min="10237" max="10237" width="12.1796875" style="39" bestFit="1" customWidth="1"/>
    <col min="10238" max="10238" width="12.1796875" style="39" customWidth="1"/>
    <col min="10239" max="10239" width="8.7265625" style="39"/>
    <col min="10240" max="10240" width="24.54296875" style="39" customWidth="1"/>
    <col min="10241" max="10241" width="8.1796875" style="39" bestFit="1" customWidth="1"/>
    <col min="10242" max="10243" width="7.54296875" style="39" bestFit="1" customWidth="1"/>
    <col min="10244" max="10244" width="15.1796875" style="39" customWidth="1"/>
    <col min="10245" max="10245" width="8.1796875" style="39" bestFit="1" customWidth="1"/>
    <col min="10246" max="10246" width="13.453125" style="39" customWidth="1"/>
    <col min="10247" max="10247" width="12.453125" style="39" customWidth="1"/>
    <col min="10248" max="10248" width="8.7265625" style="39"/>
    <col min="10249" max="10249" width="20.54296875" style="39" customWidth="1"/>
    <col min="10250" max="10250" width="8.1796875" style="39" bestFit="1" customWidth="1"/>
    <col min="10251" max="10251" width="7.54296875" style="39" bestFit="1" customWidth="1"/>
    <col min="10252" max="10252" width="8.1796875" style="39" bestFit="1" customWidth="1"/>
    <col min="10253" max="10253" width="16.26953125" style="39" customWidth="1"/>
    <col min="10254" max="10254" width="8.1796875" style="39" bestFit="1" customWidth="1"/>
    <col min="10255" max="10255" width="12.54296875" style="39" customWidth="1"/>
    <col min="10256" max="10256" width="13.26953125" style="39" customWidth="1"/>
    <col min="10257" max="10475" width="8.7265625" style="39"/>
    <col min="10476" max="10476" width="27.26953125" style="39" bestFit="1" customWidth="1"/>
    <col min="10477" max="10477" width="12.54296875" style="39" bestFit="1" customWidth="1"/>
    <col min="10478" max="10479" width="12.54296875" style="39" customWidth="1"/>
    <col min="10480" max="10480" width="12.54296875" style="39" bestFit="1" customWidth="1"/>
    <col min="10481" max="10482" width="12.54296875" style="39" customWidth="1"/>
    <col min="10483" max="10484" width="12.1796875" style="39" bestFit="1" customWidth="1"/>
    <col min="10485" max="10485" width="8.7265625" style="39"/>
    <col min="10486" max="10486" width="22.81640625" style="39" bestFit="1" customWidth="1"/>
    <col min="10487" max="10487" width="12.54296875" style="39" bestFit="1" customWidth="1"/>
    <col min="10488" max="10488" width="13.54296875" style="39" customWidth="1"/>
    <col min="10489" max="10489" width="11.26953125" style="39" bestFit="1" customWidth="1"/>
    <col min="10490" max="10490" width="12.54296875" style="39" bestFit="1" customWidth="1"/>
    <col min="10491" max="10492" width="12.54296875" style="39" customWidth="1"/>
    <col min="10493" max="10493" width="12.1796875" style="39" bestFit="1" customWidth="1"/>
    <col min="10494" max="10494" width="12.1796875" style="39" customWidth="1"/>
    <col min="10495" max="10495" width="8.7265625" style="39"/>
    <col min="10496" max="10496" width="24.54296875" style="39" customWidth="1"/>
    <col min="10497" max="10497" width="8.1796875" style="39" bestFit="1" customWidth="1"/>
    <col min="10498" max="10499" width="7.54296875" style="39" bestFit="1" customWidth="1"/>
    <col min="10500" max="10500" width="15.1796875" style="39" customWidth="1"/>
    <col min="10501" max="10501" width="8.1796875" style="39" bestFit="1" customWidth="1"/>
    <col min="10502" max="10502" width="13.453125" style="39" customWidth="1"/>
    <col min="10503" max="10503" width="12.453125" style="39" customWidth="1"/>
    <col min="10504" max="10504" width="8.7265625" style="39"/>
    <col min="10505" max="10505" width="20.54296875" style="39" customWidth="1"/>
    <col min="10506" max="10506" width="8.1796875" style="39" bestFit="1" customWidth="1"/>
    <col min="10507" max="10507" width="7.54296875" style="39" bestFit="1" customWidth="1"/>
    <col min="10508" max="10508" width="8.1796875" style="39" bestFit="1" customWidth="1"/>
    <col min="10509" max="10509" width="16.26953125" style="39" customWidth="1"/>
    <col min="10510" max="10510" width="8.1796875" style="39" bestFit="1" customWidth="1"/>
    <col min="10511" max="10511" width="12.54296875" style="39" customWidth="1"/>
    <col min="10512" max="10512" width="13.26953125" style="39" customWidth="1"/>
    <col min="10513" max="10731" width="8.7265625" style="39"/>
    <col min="10732" max="10732" width="27.26953125" style="39" bestFit="1" customWidth="1"/>
    <col min="10733" max="10733" width="12.54296875" style="39" bestFit="1" customWidth="1"/>
    <col min="10734" max="10735" width="12.54296875" style="39" customWidth="1"/>
    <col min="10736" max="10736" width="12.54296875" style="39" bestFit="1" customWidth="1"/>
    <col min="10737" max="10738" width="12.54296875" style="39" customWidth="1"/>
    <col min="10739" max="10740" width="12.1796875" style="39" bestFit="1" customWidth="1"/>
    <col min="10741" max="10741" width="8.7265625" style="39"/>
    <col min="10742" max="10742" width="22.81640625" style="39" bestFit="1" customWidth="1"/>
    <col min="10743" max="10743" width="12.54296875" style="39" bestFit="1" customWidth="1"/>
    <col min="10744" max="10744" width="13.54296875" style="39" customWidth="1"/>
    <col min="10745" max="10745" width="11.26953125" style="39" bestFit="1" customWidth="1"/>
    <col min="10746" max="10746" width="12.54296875" style="39" bestFit="1" customWidth="1"/>
    <col min="10747" max="10748" width="12.54296875" style="39" customWidth="1"/>
    <col min="10749" max="10749" width="12.1796875" style="39" bestFit="1" customWidth="1"/>
    <col min="10750" max="10750" width="12.1796875" style="39" customWidth="1"/>
    <col min="10751" max="10751" width="8.7265625" style="39"/>
    <col min="10752" max="10752" width="24.54296875" style="39" customWidth="1"/>
    <col min="10753" max="10753" width="8.1796875" style="39" bestFit="1" customWidth="1"/>
    <col min="10754" max="10755" width="7.54296875" style="39" bestFit="1" customWidth="1"/>
    <col min="10756" max="10756" width="15.1796875" style="39" customWidth="1"/>
    <col min="10757" max="10757" width="8.1796875" style="39" bestFit="1" customWidth="1"/>
    <col min="10758" max="10758" width="13.453125" style="39" customWidth="1"/>
    <col min="10759" max="10759" width="12.453125" style="39" customWidth="1"/>
    <col min="10760" max="10760" width="8.7265625" style="39"/>
    <col min="10761" max="10761" width="20.54296875" style="39" customWidth="1"/>
    <col min="10762" max="10762" width="8.1796875" style="39" bestFit="1" customWidth="1"/>
    <col min="10763" max="10763" width="7.54296875" style="39" bestFit="1" customWidth="1"/>
    <col min="10764" max="10764" width="8.1796875" style="39" bestFit="1" customWidth="1"/>
    <col min="10765" max="10765" width="16.26953125" style="39" customWidth="1"/>
    <col min="10766" max="10766" width="8.1796875" style="39" bestFit="1" customWidth="1"/>
    <col min="10767" max="10767" width="12.54296875" style="39" customWidth="1"/>
    <col min="10768" max="10768" width="13.26953125" style="39" customWidth="1"/>
    <col min="10769" max="10987" width="8.7265625" style="39"/>
    <col min="10988" max="10988" width="27.26953125" style="39" bestFit="1" customWidth="1"/>
    <col min="10989" max="10989" width="12.54296875" style="39" bestFit="1" customWidth="1"/>
    <col min="10990" max="10991" width="12.54296875" style="39" customWidth="1"/>
    <col min="10992" max="10992" width="12.54296875" style="39" bestFit="1" customWidth="1"/>
    <col min="10993" max="10994" width="12.54296875" style="39" customWidth="1"/>
    <col min="10995" max="10996" width="12.1796875" style="39" bestFit="1" customWidth="1"/>
    <col min="10997" max="10997" width="8.7265625" style="39"/>
    <col min="10998" max="10998" width="22.81640625" style="39" bestFit="1" customWidth="1"/>
    <col min="10999" max="10999" width="12.54296875" style="39" bestFit="1" customWidth="1"/>
    <col min="11000" max="11000" width="13.54296875" style="39" customWidth="1"/>
    <col min="11001" max="11001" width="11.26953125" style="39" bestFit="1" customWidth="1"/>
    <col min="11002" max="11002" width="12.54296875" style="39" bestFit="1" customWidth="1"/>
    <col min="11003" max="11004" width="12.54296875" style="39" customWidth="1"/>
    <col min="11005" max="11005" width="12.1796875" style="39" bestFit="1" customWidth="1"/>
    <col min="11006" max="11006" width="12.1796875" style="39" customWidth="1"/>
    <col min="11007" max="11007" width="8.7265625" style="39"/>
    <col min="11008" max="11008" width="24.54296875" style="39" customWidth="1"/>
    <col min="11009" max="11009" width="8.1796875" style="39" bestFit="1" customWidth="1"/>
    <col min="11010" max="11011" width="7.54296875" style="39" bestFit="1" customWidth="1"/>
    <col min="11012" max="11012" width="15.1796875" style="39" customWidth="1"/>
    <col min="11013" max="11013" width="8.1796875" style="39" bestFit="1" customWidth="1"/>
    <col min="11014" max="11014" width="13.453125" style="39" customWidth="1"/>
    <col min="11015" max="11015" width="12.453125" style="39" customWidth="1"/>
    <col min="11016" max="11016" width="8.7265625" style="39"/>
    <col min="11017" max="11017" width="20.54296875" style="39" customWidth="1"/>
    <col min="11018" max="11018" width="8.1796875" style="39" bestFit="1" customWidth="1"/>
    <col min="11019" max="11019" width="7.54296875" style="39" bestFit="1" customWidth="1"/>
    <col min="11020" max="11020" width="8.1796875" style="39" bestFit="1" customWidth="1"/>
    <col min="11021" max="11021" width="16.26953125" style="39" customWidth="1"/>
    <col min="11022" max="11022" width="8.1796875" style="39" bestFit="1" customWidth="1"/>
    <col min="11023" max="11023" width="12.54296875" style="39" customWidth="1"/>
    <col min="11024" max="11024" width="13.26953125" style="39" customWidth="1"/>
    <col min="11025" max="11243" width="8.7265625" style="39"/>
    <col min="11244" max="11244" width="27.26953125" style="39" bestFit="1" customWidth="1"/>
    <col min="11245" max="11245" width="12.54296875" style="39" bestFit="1" customWidth="1"/>
    <col min="11246" max="11247" width="12.54296875" style="39" customWidth="1"/>
    <col min="11248" max="11248" width="12.54296875" style="39" bestFit="1" customWidth="1"/>
    <col min="11249" max="11250" width="12.54296875" style="39" customWidth="1"/>
    <col min="11251" max="11252" width="12.1796875" style="39" bestFit="1" customWidth="1"/>
    <col min="11253" max="11253" width="8.7265625" style="39"/>
    <col min="11254" max="11254" width="22.81640625" style="39" bestFit="1" customWidth="1"/>
    <col min="11255" max="11255" width="12.54296875" style="39" bestFit="1" customWidth="1"/>
    <col min="11256" max="11256" width="13.54296875" style="39" customWidth="1"/>
    <col min="11257" max="11257" width="11.26953125" style="39" bestFit="1" customWidth="1"/>
    <col min="11258" max="11258" width="12.54296875" style="39" bestFit="1" customWidth="1"/>
    <col min="11259" max="11260" width="12.54296875" style="39" customWidth="1"/>
    <col min="11261" max="11261" width="12.1796875" style="39" bestFit="1" customWidth="1"/>
    <col min="11262" max="11262" width="12.1796875" style="39" customWidth="1"/>
    <col min="11263" max="11263" width="8.7265625" style="39"/>
    <col min="11264" max="11264" width="24.54296875" style="39" customWidth="1"/>
    <col min="11265" max="11265" width="8.1796875" style="39" bestFit="1" customWidth="1"/>
    <col min="11266" max="11267" width="7.54296875" style="39" bestFit="1" customWidth="1"/>
    <col min="11268" max="11268" width="15.1796875" style="39" customWidth="1"/>
    <col min="11269" max="11269" width="8.1796875" style="39" bestFit="1" customWidth="1"/>
    <col min="11270" max="11270" width="13.453125" style="39" customWidth="1"/>
    <col min="11271" max="11271" width="12.453125" style="39" customWidth="1"/>
    <col min="11272" max="11272" width="8.7265625" style="39"/>
    <col min="11273" max="11273" width="20.54296875" style="39" customWidth="1"/>
    <col min="11274" max="11274" width="8.1796875" style="39" bestFit="1" customWidth="1"/>
    <col min="11275" max="11275" width="7.54296875" style="39" bestFit="1" customWidth="1"/>
    <col min="11276" max="11276" width="8.1796875" style="39" bestFit="1" customWidth="1"/>
    <col min="11277" max="11277" width="16.26953125" style="39" customWidth="1"/>
    <col min="11278" max="11278" width="8.1796875" style="39" bestFit="1" customWidth="1"/>
    <col min="11279" max="11279" width="12.54296875" style="39" customWidth="1"/>
    <col min="11280" max="11280" width="13.26953125" style="39" customWidth="1"/>
    <col min="11281" max="11499" width="8.7265625" style="39"/>
    <col min="11500" max="11500" width="27.26953125" style="39" bestFit="1" customWidth="1"/>
    <col min="11501" max="11501" width="12.54296875" style="39" bestFit="1" customWidth="1"/>
    <col min="11502" max="11503" width="12.54296875" style="39" customWidth="1"/>
    <col min="11504" max="11504" width="12.54296875" style="39" bestFit="1" customWidth="1"/>
    <col min="11505" max="11506" width="12.54296875" style="39" customWidth="1"/>
    <col min="11507" max="11508" width="12.1796875" style="39" bestFit="1" customWidth="1"/>
    <col min="11509" max="11509" width="8.7265625" style="39"/>
    <col min="11510" max="11510" width="22.81640625" style="39" bestFit="1" customWidth="1"/>
    <col min="11511" max="11511" width="12.54296875" style="39" bestFit="1" customWidth="1"/>
    <col min="11512" max="11512" width="13.54296875" style="39" customWidth="1"/>
    <col min="11513" max="11513" width="11.26953125" style="39" bestFit="1" customWidth="1"/>
    <col min="11514" max="11514" width="12.54296875" style="39" bestFit="1" customWidth="1"/>
    <col min="11515" max="11516" width="12.54296875" style="39" customWidth="1"/>
    <col min="11517" max="11517" width="12.1796875" style="39" bestFit="1" customWidth="1"/>
    <col min="11518" max="11518" width="12.1796875" style="39" customWidth="1"/>
    <col min="11519" max="11519" width="8.7265625" style="39"/>
    <col min="11520" max="11520" width="24.54296875" style="39" customWidth="1"/>
    <col min="11521" max="11521" width="8.1796875" style="39" bestFit="1" customWidth="1"/>
    <col min="11522" max="11523" width="7.54296875" style="39" bestFit="1" customWidth="1"/>
    <col min="11524" max="11524" width="15.1796875" style="39" customWidth="1"/>
    <col min="11525" max="11525" width="8.1796875" style="39" bestFit="1" customWidth="1"/>
    <col min="11526" max="11526" width="13.453125" style="39" customWidth="1"/>
    <col min="11527" max="11527" width="12.453125" style="39" customWidth="1"/>
    <col min="11528" max="11528" width="8.7265625" style="39"/>
    <col min="11529" max="11529" width="20.54296875" style="39" customWidth="1"/>
    <col min="11530" max="11530" width="8.1796875" style="39" bestFit="1" customWidth="1"/>
    <col min="11531" max="11531" width="7.54296875" style="39" bestFit="1" customWidth="1"/>
    <col min="11532" max="11532" width="8.1796875" style="39" bestFit="1" customWidth="1"/>
    <col min="11533" max="11533" width="16.26953125" style="39" customWidth="1"/>
    <col min="11534" max="11534" width="8.1796875" style="39" bestFit="1" customWidth="1"/>
    <col min="11535" max="11535" width="12.54296875" style="39" customWidth="1"/>
    <col min="11536" max="11536" width="13.26953125" style="39" customWidth="1"/>
    <col min="11537" max="11755" width="8.7265625" style="39"/>
    <col min="11756" max="11756" width="27.26953125" style="39" bestFit="1" customWidth="1"/>
    <col min="11757" max="11757" width="12.54296875" style="39" bestFit="1" customWidth="1"/>
    <col min="11758" max="11759" width="12.54296875" style="39" customWidth="1"/>
    <col min="11760" max="11760" width="12.54296875" style="39" bestFit="1" customWidth="1"/>
    <col min="11761" max="11762" width="12.54296875" style="39" customWidth="1"/>
    <col min="11763" max="11764" width="12.1796875" style="39" bestFit="1" customWidth="1"/>
    <col min="11765" max="11765" width="8.7265625" style="39"/>
    <col min="11766" max="11766" width="22.81640625" style="39" bestFit="1" customWidth="1"/>
    <col min="11767" max="11767" width="12.54296875" style="39" bestFit="1" customWidth="1"/>
    <col min="11768" max="11768" width="13.54296875" style="39" customWidth="1"/>
    <col min="11769" max="11769" width="11.26953125" style="39" bestFit="1" customWidth="1"/>
    <col min="11770" max="11770" width="12.54296875" style="39" bestFit="1" customWidth="1"/>
    <col min="11771" max="11772" width="12.54296875" style="39" customWidth="1"/>
    <col min="11773" max="11773" width="12.1796875" style="39" bestFit="1" customWidth="1"/>
    <col min="11774" max="11774" width="12.1796875" style="39" customWidth="1"/>
    <col min="11775" max="11775" width="8.7265625" style="39"/>
    <col min="11776" max="11776" width="24.54296875" style="39" customWidth="1"/>
    <col min="11777" max="11777" width="8.1796875" style="39" bestFit="1" customWidth="1"/>
    <col min="11778" max="11779" width="7.54296875" style="39" bestFit="1" customWidth="1"/>
    <col min="11780" max="11780" width="15.1796875" style="39" customWidth="1"/>
    <col min="11781" max="11781" width="8.1796875" style="39" bestFit="1" customWidth="1"/>
    <col min="11782" max="11782" width="13.453125" style="39" customWidth="1"/>
    <col min="11783" max="11783" width="12.453125" style="39" customWidth="1"/>
    <col min="11784" max="11784" width="8.7265625" style="39"/>
    <col min="11785" max="11785" width="20.54296875" style="39" customWidth="1"/>
    <col min="11786" max="11786" width="8.1796875" style="39" bestFit="1" customWidth="1"/>
    <col min="11787" max="11787" width="7.54296875" style="39" bestFit="1" customWidth="1"/>
    <col min="11788" max="11788" width="8.1796875" style="39" bestFit="1" customWidth="1"/>
    <col min="11789" max="11789" width="16.26953125" style="39" customWidth="1"/>
    <col min="11790" max="11790" width="8.1796875" style="39" bestFit="1" customWidth="1"/>
    <col min="11791" max="11791" width="12.54296875" style="39" customWidth="1"/>
    <col min="11792" max="11792" width="13.26953125" style="39" customWidth="1"/>
    <col min="11793" max="12011" width="8.7265625" style="39"/>
    <col min="12012" max="12012" width="27.26953125" style="39" bestFit="1" customWidth="1"/>
    <col min="12013" max="12013" width="12.54296875" style="39" bestFit="1" customWidth="1"/>
    <col min="12014" max="12015" width="12.54296875" style="39" customWidth="1"/>
    <col min="12016" max="12016" width="12.54296875" style="39" bestFit="1" customWidth="1"/>
    <col min="12017" max="12018" width="12.54296875" style="39" customWidth="1"/>
    <col min="12019" max="12020" width="12.1796875" style="39" bestFit="1" customWidth="1"/>
    <col min="12021" max="12021" width="8.7265625" style="39"/>
    <col min="12022" max="12022" width="22.81640625" style="39" bestFit="1" customWidth="1"/>
    <col min="12023" max="12023" width="12.54296875" style="39" bestFit="1" customWidth="1"/>
    <col min="12024" max="12024" width="13.54296875" style="39" customWidth="1"/>
    <col min="12025" max="12025" width="11.26953125" style="39" bestFit="1" customWidth="1"/>
    <col min="12026" max="12026" width="12.54296875" style="39" bestFit="1" customWidth="1"/>
    <col min="12027" max="12028" width="12.54296875" style="39" customWidth="1"/>
    <col min="12029" max="12029" width="12.1796875" style="39" bestFit="1" customWidth="1"/>
    <col min="12030" max="12030" width="12.1796875" style="39" customWidth="1"/>
    <col min="12031" max="12031" width="8.7265625" style="39"/>
    <col min="12032" max="12032" width="24.54296875" style="39" customWidth="1"/>
    <col min="12033" max="12033" width="8.1796875" style="39" bestFit="1" customWidth="1"/>
    <col min="12034" max="12035" width="7.54296875" style="39" bestFit="1" customWidth="1"/>
    <col min="12036" max="12036" width="15.1796875" style="39" customWidth="1"/>
    <col min="12037" max="12037" width="8.1796875" style="39" bestFit="1" customWidth="1"/>
    <col min="12038" max="12038" width="13.453125" style="39" customWidth="1"/>
    <col min="12039" max="12039" width="12.453125" style="39" customWidth="1"/>
    <col min="12040" max="12040" width="8.7265625" style="39"/>
    <col min="12041" max="12041" width="20.54296875" style="39" customWidth="1"/>
    <col min="12042" max="12042" width="8.1796875" style="39" bestFit="1" customWidth="1"/>
    <col min="12043" max="12043" width="7.54296875" style="39" bestFit="1" customWidth="1"/>
    <col min="12044" max="12044" width="8.1796875" style="39" bestFit="1" customWidth="1"/>
    <col min="12045" max="12045" width="16.26953125" style="39" customWidth="1"/>
    <col min="12046" max="12046" width="8.1796875" style="39" bestFit="1" customWidth="1"/>
    <col min="12047" max="12047" width="12.54296875" style="39" customWidth="1"/>
    <col min="12048" max="12048" width="13.26953125" style="39" customWidth="1"/>
    <col min="12049" max="12267" width="8.7265625" style="39"/>
    <col min="12268" max="12268" width="27.26953125" style="39" bestFit="1" customWidth="1"/>
    <col min="12269" max="12269" width="12.54296875" style="39" bestFit="1" customWidth="1"/>
    <col min="12270" max="12271" width="12.54296875" style="39" customWidth="1"/>
    <col min="12272" max="12272" width="12.54296875" style="39" bestFit="1" customWidth="1"/>
    <col min="12273" max="12274" width="12.54296875" style="39" customWidth="1"/>
    <col min="12275" max="12276" width="12.1796875" style="39" bestFit="1" customWidth="1"/>
    <col min="12277" max="12277" width="8.7265625" style="39"/>
    <col min="12278" max="12278" width="22.81640625" style="39" bestFit="1" customWidth="1"/>
    <col min="12279" max="12279" width="12.54296875" style="39" bestFit="1" customWidth="1"/>
    <col min="12280" max="12280" width="13.54296875" style="39" customWidth="1"/>
    <col min="12281" max="12281" width="11.26953125" style="39" bestFit="1" customWidth="1"/>
    <col min="12282" max="12282" width="12.54296875" style="39" bestFit="1" customWidth="1"/>
    <col min="12283" max="12284" width="12.54296875" style="39" customWidth="1"/>
    <col min="12285" max="12285" width="12.1796875" style="39" bestFit="1" customWidth="1"/>
    <col min="12286" max="12286" width="12.1796875" style="39" customWidth="1"/>
    <col min="12287" max="12287" width="8.7265625" style="39"/>
    <col min="12288" max="12288" width="24.54296875" style="39" customWidth="1"/>
    <col min="12289" max="12289" width="8.1796875" style="39" bestFit="1" customWidth="1"/>
    <col min="12290" max="12291" width="7.54296875" style="39" bestFit="1" customWidth="1"/>
    <col min="12292" max="12292" width="15.1796875" style="39" customWidth="1"/>
    <col min="12293" max="12293" width="8.1796875" style="39" bestFit="1" customWidth="1"/>
    <col min="12294" max="12294" width="13.453125" style="39" customWidth="1"/>
    <col min="12295" max="12295" width="12.453125" style="39" customWidth="1"/>
    <col min="12296" max="12296" width="8.7265625" style="39"/>
    <col min="12297" max="12297" width="20.54296875" style="39" customWidth="1"/>
    <col min="12298" max="12298" width="8.1796875" style="39" bestFit="1" customWidth="1"/>
    <col min="12299" max="12299" width="7.54296875" style="39" bestFit="1" customWidth="1"/>
    <col min="12300" max="12300" width="8.1796875" style="39" bestFit="1" customWidth="1"/>
    <col min="12301" max="12301" width="16.26953125" style="39" customWidth="1"/>
    <col min="12302" max="12302" width="8.1796875" style="39" bestFit="1" customWidth="1"/>
    <col min="12303" max="12303" width="12.54296875" style="39" customWidth="1"/>
    <col min="12304" max="12304" width="13.26953125" style="39" customWidth="1"/>
    <col min="12305" max="12523" width="8.7265625" style="39"/>
    <col min="12524" max="12524" width="27.26953125" style="39" bestFit="1" customWidth="1"/>
    <col min="12525" max="12525" width="12.54296875" style="39" bestFit="1" customWidth="1"/>
    <col min="12526" max="12527" width="12.54296875" style="39" customWidth="1"/>
    <col min="12528" max="12528" width="12.54296875" style="39" bestFit="1" customWidth="1"/>
    <col min="12529" max="12530" width="12.54296875" style="39" customWidth="1"/>
    <col min="12531" max="12532" width="12.1796875" style="39" bestFit="1" customWidth="1"/>
    <col min="12533" max="12533" width="8.7265625" style="39"/>
    <col min="12534" max="12534" width="22.81640625" style="39" bestFit="1" customWidth="1"/>
    <col min="12535" max="12535" width="12.54296875" style="39" bestFit="1" customWidth="1"/>
    <col min="12536" max="12536" width="13.54296875" style="39" customWidth="1"/>
    <col min="12537" max="12537" width="11.26953125" style="39" bestFit="1" customWidth="1"/>
    <col min="12538" max="12538" width="12.54296875" style="39" bestFit="1" customWidth="1"/>
    <col min="12539" max="12540" width="12.54296875" style="39" customWidth="1"/>
    <col min="12541" max="12541" width="12.1796875" style="39" bestFit="1" customWidth="1"/>
    <col min="12542" max="12542" width="12.1796875" style="39" customWidth="1"/>
    <col min="12543" max="12543" width="8.7265625" style="39"/>
    <col min="12544" max="12544" width="24.54296875" style="39" customWidth="1"/>
    <col min="12545" max="12545" width="8.1796875" style="39" bestFit="1" customWidth="1"/>
    <col min="12546" max="12547" width="7.54296875" style="39" bestFit="1" customWidth="1"/>
    <col min="12548" max="12548" width="15.1796875" style="39" customWidth="1"/>
    <col min="12549" max="12549" width="8.1796875" style="39" bestFit="1" customWidth="1"/>
    <col min="12550" max="12550" width="13.453125" style="39" customWidth="1"/>
    <col min="12551" max="12551" width="12.453125" style="39" customWidth="1"/>
    <col min="12552" max="12552" width="8.7265625" style="39"/>
    <col min="12553" max="12553" width="20.54296875" style="39" customWidth="1"/>
    <col min="12554" max="12554" width="8.1796875" style="39" bestFit="1" customWidth="1"/>
    <col min="12555" max="12555" width="7.54296875" style="39" bestFit="1" customWidth="1"/>
    <col min="12556" max="12556" width="8.1796875" style="39" bestFit="1" customWidth="1"/>
    <col min="12557" max="12557" width="16.26953125" style="39" customWidth="1"/>
    <col min="12558" max="12558" width="8.1796875" style="39" bestFit="1" customWidth="1"/>
    <col min="12559" max="12559" width="12.54296875" style="39" customWidth="1"/>
    <col min="12560" max="12560" width="13.26953125" style="39" customWidth="1"/>
    <col min="12561" max="12779" width="8.7265625" style="39"/>
    <col min="12780" max="12780" width="27.26953125" style="39" bestFit="1" customWidth="1"/>
    <col min="12781" max="12781" width="12.54296875" style="39" bestFit="1" customWidth="1"/>
    <col min="12782" max="12783" width="12.54296875" style="39" customWidth="1"/>
    <col min="12784" max="12784" width="12.54296875" style="39" bestFit="1" customWidth="1"/>
    <col min="12785" max="12786" width="12.54296875" style="39" customWidth="1"/>
    <col min="12787" max="12788" width="12.1796875" style="39" bestFit="1" customWidth="1"/>
    <col min="12789" max="12789" width="8.7265625" style="39"/>
    <col min="12790" max="12790" width="22.81640625" style="39" bestFit="1" customWidth="1"/>
    <col min="12791" max="12791" width="12.54296875" style="39" bestFit="1" customWidth="1"/>
    <col min="12792" max="12792" width="13.54296875" style="39" customWidth="1"/>
    <col min="12793" max="12793" width="11.26953125" style="39" bestFit="1" customWidth="1"/>
    <col min="12794" max="12794" width="12.54296875" style="39" bestFit="1" customWidth="1"/>
    <col min="12795" max="12796" width="12.54296875" style="39" customWidth="1"/>
    <col min="12797" max="12797" width="12.1796875" style="39" bestFit="1" customWidth="1"/>
    <col min="12798" max="12798" width="12.1796875" style="39" customWidth="1"/>
    <col min="12799" max="12799" width="8.7265625" style="39"/>
    <col min="12800" max="12800" width="24.54296875" style="39" customWidth="1"/>
    <col min="12801" max="12801" width="8.1796875" style="39" bestFit="1" customWidth="1"/>
    <col min="12802" max="12803" width="7.54296875" style="39" bestFit="1" customWidth="1"/>
    <col min="12804" max="12804" width="15.1796875" style="39" customWidth="1"/>
    <col min="12805" max="12805" width="8.1796875" style="39" bestFit="1" customWidth="1"/>
    <col min="12806" max="12806" width="13.453125" style="39" customWidth="1"/>
    <col min="12807" max="12807" width="12.453125" style="39" customWidth="1"/>
    <col min="12808" max="12808" width="8.7265625" style="39"/>
    <col min="12809" max="12809" width="20.54296875" style="39" customWidth="1"/>
    <col min="12810" max="12810" width="8.1796875" style="39" bestFit="1" customWidth="1"/>
    <col min="12811" max="12811" width="7.54296875" style="39" bestFit="1" customWidth="1"/>
    <col min="12812" max="12812" width="8.1796875" style="39" bestFit="1" customWidth="1"/>
    <col min="12813" max="12813" width="16.26953125" style="39" customWidth="1"/>
    <col min="12814" max="12814" width="8.1796875" style="39" bestFit="1" customWidth="1"/>
    <col min="12815" max="12815" width="12.54296875" style="39" customWidth="1"/>
    <col min="12816" max="12816" width="13.26953125" style="39" customWidth="1"/>
    <col min="12817" max="13035" width="8.7265625" style="39"/>
    <col min="13036" max="13036" width="27.26953125" style="39" bestFit="1" customWidth="1"/>
    <col min="13037" max="13037" width="12.54296875" style="39" bestFit="1" customWidth="1"/>
    <col min="13038" max="13039" width="12.54296875" style="39" customWidth="1"/>
    <col min="13040" max="13040" width="12.54296875" style="39" bestFit="1" customWidth="1"/>
    <col min="13041" max="13042" width="12.54296875" style="39" customWidth="1"/>
    <col min="13043" max="13044" width="12.1796875" style="39" bestFit="1" customWidth="1"/>
    <col min="13045" max="13045" width="8.7265625" style="39"/>
    <col min="13046" max="13046" width="22.81640625" style="39" bestFit="1" customWidth="1"/>
    <col min="13047" max="13047" width="12.54296875" style="39" bestFit="1" customWidth="1"/>
    <col min="13048" max="13048" width="13.54296875" style="39" customWidth="1"/>
    <col min="13049" max="13049" width="11.26953125" style="39" bestFit="1" customWidth="1"/>
    <col min="13050" max="13050" width="12.54296875" style="39" bestFit="1" customWidth="1"/>
    <col min="13051" max="13052" width="12.54296875" style="39" customWidth="1"/>
    <col min="13053" max="13053" width="12.1796875" style="39" bestFit="1" customWidth="1"/>
    <col min="13054" max="13054" width="12.1796875" style="39" customWidth="1"/>
    <col min="13055" max="13055" width="8.7265625" style="39"/>
    <col min="13056" max="13056" width="24.54296875" style="39" customWidth="1"/>
    <col min="13057" max="13057" width="8.1796875" style="39" bestFit="1" customWidth="1"/>
    <col min="13058" max="13059" width="7.54296875" style="39" bestFit="1" customWidth="1"/>
    <col min="13060" max="13060" width="15.1796875" style="39" customWidth="1"/>
    <col min="13061" max="13061" width="8.1796875" style="39" bestFit="1" customWidth="1"/>
    <col min="13062" max="13062" width="13.453125" style="39" customWidth="1"/>
    <col min="13063" max="13063" width="12.453125" style="39" customWidth="1"/>
    <col min="13064" max="13064" width="8.7265625" style="39"/>
    <col min="13065" max="13065" width="20.54296875" style="39" customWidth="1"/>
    <col min="13066" max="13066" width="8.1796875" style="39" bestFit="1" customWidth="1"/>
    <col min="13067" max="13067" width="7.54296875" style="39" bestFit="1" customWidth="1"/>
    <col min="13068" max="13068" width="8.1796875" style="39" bestFit="1" customWidth="1"/>
    <col min="13069" max="13069" width="16.26953125" style="39" customWidth="1"/>
    <col min="13070" max="13070" width="8.1796875" style="39" bestFit="1" customWidth="1"/>
    <col min="13071" max="13071" width="12.54296875" style="39" customWidth="1"/>
    <col min="13072" max="13072" width="13.26953125" style="39" customWidth="1"/>
    <col min="13073" max="13291" width="8.7265625" style="39"/>
    <col min="13292" max="13292" width="27.26953125" style="39" bestFit="1" customWidth="1"/>
    <col min="13293" max="13293" width="12.54296875" style="39" bestFit="1" customWidth="1"/>
    <col min="13294" max="13295" width="12.54296875" style="39" customWidth="1"/>
    <col min="13296" max="13296" width="12.54296875" style="39" bestFit="1" customWidth="1"/>
    <col min="13297" max="13298" width="12.54296875" style="39" customWidth="1"/>
    <col min="13299" max="13300" width="12.1796875" style="39" bestFit="1" customWidth="1"/>
    <col min="13301" max="13301" width="8.7265625" style="39"/>
    <col min="13302" max="13302" width="22.81640625" style="39" bestFit="1" customWidth="1"/>
    <col min="13303" max="13303" width="12.54296875" style="39" bestFit="1" customWidth="1"/>
    <col min="13304" max="13304" width="13.54296875" style="39" customWidth="1"/>
    <col min="13305" max="13305" width="11.26953125" style="39" bestFit="1" customWidth="1"/>
    <col min="13306" max="13306" width="12.54296875" style="39" bestFit="1" customWidth="1"/>
    <col min="13307" max="13308" width="12.54296875" style="39" customWidth="1"/>
    <col min="13309" max="13309" width="12.1796875" style="39" bestFit="1" customWidth="1"/>
    <col min="13310" max="13310" width="12.1796875" style="39" customWidth="1"/>
    <col min="13311" max="13311" width="8.7265625" style="39"/>
    <col min="13312" max="13312" width="24.54296875" style="39" customWidth="1"/>
    <col min="13313" max="13313" width="8.1796875" style="39" bestFit="1" customWidth="1"/>
    <col min="13314" max="13315" width="7.54296875" style="39" bestFit="1" customWidth="1"/>
    <col min="13316" max="13316" width="15.1796875" style="39" customWidth="1"/>
    <col min="13317" max="13317" width="8.1796875" style="39" bestFit="1" customWidth="1"/>
    <col min="13318" max="13318" width="13.453125" style="39" customWidth="1"/>
    <col min="13319" max="13319" width="12.453125" style="39" customWidth="1"/>
    <col min="13320" max="13320" width="8.7265625" style="39"/>
    <col min="13321" max="13321" width="20.54296875" style="39" customWidth="1"/>
    <col min="13322" max="13322" width="8.1796875" style="39" bestFit="1" customWidth="1"/>
    <col min="13323" max="13323" width="7.54296875" style="39" bestFit="1" customWidth="1"/>
    <col min="13324" max="13324" width="8.1796875" style="39" bestFit="1" customWidth="1"/>
    <col min="13325" max="13325" width="16.26953125" style="39" customWidth="1"/>
    <col min="13326" max="13326" width="8.1796875" style="39" bestFit="1" customWidth="1"/>
    <col min="13327" max="13327" width="12.54296875" style="39" customWidth="1"/>
    <col min="13328" max="13328" width="13.26953125" style="39" customWidth="1"/>
    <col min="13329" max="13547" width="8.7265625" style="39"/>
    <col min="13548" max="13548" width="27.26953125" style="39" bestFit="1" customWidth="1"/>
    <col min="13549" max="13549" width="12.54296875" style="39" bestFit="1" customWidth="1"/>
    <col min="13550" max="13551" width="12.54296875" style="39" customWidth="1"/>
    <col min="13552" max="13552" width="12.54296875" style="39" bestFit="1" customWidth="1"/>
    <col min="13553" max="13554" width="12.54296875" style="39" customWidth="1"/>
    <col min="13555" max="13556" width="12.1796875" style="39" bestFit="1" customWidth="1"/>
    <col min="13557" max="13557" width="8.7265625" style="39"/>
    <col min="13558" max="13558" width="22.81640625" style="39" bestFit="1" customWidth="1"/>
    <col min="13559" max="13559" width="12.54296875" style="39" bestFit="1" customWidth="1"/>
    <col min="13560" max="13560" width="13.54296875" style="39" customWidth="1"/>
    <col min="13561" max="13561" width="11.26953125" style="39" bestFit="1" customWidth="1"/>
    <col min="13562" max="13562" width="12.54296875" style="39" bestFit="1" customWidth="1"/>
    <col min="13563" max="13564" width="12.54296875" style="39" customWidth="1"/>
    <col min="13565" max="13565" width="12.1796875" style="39" bestFit="1" customWidth="1"/>
    <col min="13566" max="13566" width="12.1796875" style="39" customWidth="1"/>
    <col min="13567" max="13567" width="8.7265625" style="39"/>
    <col min="13568" max="13568" width="24.54296875" style="39" customWidth="1"/>
    <col min="13569" max="13569" width="8.1796875" style="39" bestFit="1" customWidth="1"/>
    <col min="13570" max="13571" width="7.54296875" style="39" bestFit="1" customWidth="1"/>
    <col min="13572" max="13572" width="15.1796875" style="39" customWidth="1"/>
    <col min="13573" max="13573" width="8.1796875" style="39" bestFit="1" customWidth="1"/>
    <col min="13574" max="13574" width="13.453125" style="39" customWidth="1"/>
    <col min="13575" max="13575" width="12.453125" style="39" customWidth="1"/>
    <col min="13576" max="13576" width="8.7265625" style="39"/>
    <col min="13577" max="13577" width="20.54296875" style="39" customWidth="1"/>
    <col min="13578" max="13578" width="8.1796875" style="39" bestFit="1" customWidth="1"/>
    <col min="13579" max="13579" width="7.54296875" style="39" bestFit="1" customWidth="1"/>
    <col min="13580" max="13580" width="8.1796875" style="39" bestFit="1" customWidth="1"/>
    <col min="13581" max="13581" width="16.26953125" style="39" customWidth="1"/>
    <col min="13582" max="13582" width="8.1796875" style="39" bestFit="1" customWidth="1"/>
    <col min="13583" max="13583" width="12.54296875" style="39" customWidth="1"/>
    <col min="13584" max="13584" width="13.26953125" style="39" customWidth="1"/>
    <col min="13585" max="13803" width="8.7265625" style="39"/>
    <col min="13804" max="13804" width="27.26953125" style="39" bestFit="1" customWidth="1"/>
    <col min="13805" max="13805" width="12.54296875" style="39" bestFit="1" customWidth="1"/>
    <col min="13806" max="13807" width="12.54296875" style="39" customWidth="1"/>
    <col min="13808" max="13808" width="12.54296875" style="39" bestFit="1" customWidth="1"/>
    <col min="13809" max="13810" width="12.54296875" style="39" customWidth="1"/>
    <col min="13811" max="13812" width="12.1796875" style="39" bestFit="1" customWidth="1"/>
    <col min="13813" max="13813" width="8.7265625" style="39"/>
    <col min="13814" max="13814" width="22.81640625" style="39" bestFit="1" customWidth="1"/>
    <col min="13815" max="13815" width="12.54296875" style="39" bestFit="1" customWidth="1"/>
    <col min="13816" max="13816" width="13.54296875" style="39" customWidth="1"/>
    <col min="13817" max="13817" width="11.26953125" style="39" bestFit="1" customWidth="1"/>
    <col min="13818" max="13818" width="12.54296875" style="39" bestFit="1" customWidth="1"/>
    <col min="13819" max="13820" width="12.54296875" style="39" customWidth="1"/>
    <col min="13821" max="13821" width="12.1796875" style="39" bestFit="1" customWidth="1"/>
    <col min="13822" max="13822" width="12.1796875" style="39" customWidth="1"/>
    <col min="13823" max="13823" width="8.7265625" style="39"/>
    <col min="13824" max="13824" width="24.54296875" style="39" customWidth="1"/>
    <col min="13825" max="13825" width="8.1796875" style="39" bestFit="1" customWidth="1"/>
    <col min="13826" max="13827" width="7.54296875" style="39" bestFit="1" customWidth="1"/>
    <col min="13828" max="13828" width="15.1796875" style="39" customWidth="1"/>
    <col min="13829" max="13829" width="8.1796875" style="39" bestFit="1" customWidth="1"/>
    <col min="13830" max="13830" width="13.453125" style="39" customWidth="1"/>
    <col min="13831" max="13831" width="12.453125" style="39" customWidth="1"/>
    <col min="13832" max="13832" width="8.7265625" style="39"/>
    <col min="13833" max="13833" width="20.54296875" style="39" customWidth="1"/>
    <col min="13834" max="13834" width="8.1796875" style="39" bestFit="1" customWidth="1"/>
    <col min="13835" max="13835" width="7.54296875" style="39" bestFit="1" customWidth="1"/>
    <col min="13836" max="13836" width="8.1796875" style="39" bestFit="1" customWidth="1"/>
    <col min="13837" max="13837" width="16.26953125" style="39" customWidth="1"/>
    <col min="13838" max="13838" width="8.1796875" style="39" bestFit="1" customWidth="1"/>
    <col min="13839" max="13839" width="12.54296875" style="39" customWidth="1"/>
    <col min="13840" max="13840" width="13.26953125" style="39" customWidth="1"/>
    <col min="13841" max="14059" width="8.7265625" style="39"/>
    <col min="14060" max="14060" width="27.26953125" style="39" bestFit="1" customWidth="1"/>
    <col min="14061" max="14061" width="12.54296875" style="39" bestFit="1" customWidth="1"/>
    <col min="14062" max="14063" width="12.54296875" style="39" customWidth="1"/>
    <col min="14064" max="14064" width="12.54296875" style="39" bestFit="1" customWidth="1"/>
    <col min="14065" max="14066" width="12.54296875" style="39" customWidth="1"/>
    <col min="14067" max="14068" width="12.1796875" style="39" bestFit="1" customWidth="1"/>
    <col min="14069" max="14069" width="8.7265625" style="39"/>
    <col min="14070" max="14070" width="22.81640625" style="39" bestFit="1" customWidth="1"/>
    <col min="14071" max="14071" width="12.54296875" style="39" bestFit="1" customWidth="1"/>
    <col min="14072" max="14072" width="13.54296875" style="39" customWidth="1"/>
    <col min="14073" max="14073" width="11.26953125" style="39" bestFit="1" customWidth="1"/>
    <col min="14074" max="14074" width="12.54296875" style="39" bestFit="1" customWidth="1"/>
    <col min="14075" max="14076" width="12.54296875" style="39" customWidth="1"/>
    <col min="14077" max="14077" width="12.1796875" style="39" bestFit="1" customWidth="1"/>
    <col min="14078" max="14078" width="12.1796875" style="39" customWidth="1"/>
    <col min="14079" max="14079" width="8.7265625" style="39"/>
    <col min="14080" max="14080" width="24.54296875" style="39" customWidth="1"/>
    <col min="14081" max="14081" width="8.1796875" style="39" bestFit="1" customWidth="1"/>
    <col min="14082" max="14083" width="7.54296875" style="39" bestFit="1" customWidth="1"/>
    <col min="14084" max="14084" width="15.1796875" style="39" customWidth="1"/>
    <col min="14085" max="14085" width="8.1796875" style="39" bestFit="1" customWidth="1"/>
    <col min="14086" max="14086" width="13.453125" style="39" customWidth="1"/>
    <col min="14087" max="14087" width="12.453125" style="39" customWidth="1"/>
    <col min="14088" max="14088" width="8.7265625" style="39"/>
    <col min="14089" max="14089" width="20.54296875" style="39" customWidth="1"/>
    <col min="14090" max="14090" width="8.1796875" style="39" bestFit="1" customWidth="1"/>
    <col min="14091" max="14091" width="7.54296875" style="39" bestFit="1" customWidth="1"/>
    <col min="14092" max="14092" width="8.1796875" style="39" bestFit="1" customWidth="1"/>
    <col min="14093" max="14093" width="16.26953125" style="39" customWidth="1"/>
    <col min="14094" max="14094" width="8.1796875" style="39" bestFit="1" customWidth="1"/>
    <col min="14095" max="14095" width="12.54296875" style="39" customWidth="1"/>
    <col min="14096" max="14096" width="13.26953125" style="39" customWidth="1"/>
    <col min="14097" max="14315" width="8.7265625" style="39"/>
    <col min="14316" max="14316" width="27.26953125" style="39" bestFit="1" customWidth="1"/>
    <col min="14317" max="14317" width="12.54296875" style="39" bestFit="1" customWidth="1"/>
    <col min="14318" max="14319" width="12.54296875" style="39" customWidth="1"/>
    <col min="14320" max="14320" width="12.54296875" style="39" bestFit="1" customWidth="1"/>
    <col min="14321" max="14322" width="12.54296875" style="39" customWidth="1"/>
    <col min="14323" max="14324" width="12.1796875" style="39" bestFit="1" customWidth="1"/>
    <col min="14325" max="14325" width="8.7265625" style="39"/>
    <col min="14326" max="14326" width="22.81640625" style="39" bestFit="1" customWidth="1"/>
    <col min="14327" max="14327" width="12.54296875" style="39" bestFit="1" customWidth="1"/>
    <col min="14328" max="14328" width="13.54296875" style="39" customWidth="1"/>
    <col min="14329" max="14329" width="11.26953125" style="39" bestFit="1" customWidth="1"/>
    <col min="14330" max="14330" width="12.54296875" style="39" bestFit="1" customWidth="1"/>
    <col min="14331" max="14332" width="12.54296875" style="39" customWidth="1"/>
    <col min="14333" max="14333" width="12.1796875" style="39" bestFit="1" customWidth="1"/>
    <col min="14334" max="14334" width="12.1796875" style="39" customWidth="1"/>
    <col min="14335" max="14335" width="8.7265625" style="39"/>
    <col min="14336" max="14336" width="24.54296875" style="39" customWidth="1"/>
    <col min="14337" max="14337" width="8.1796875" style="39" bestFit="1" customWidth="1"/>
    <col min="14338" max="14339" width="7.54296875" style="39" bestFit="1" customWidth="1"/>
    <col min="14340" max="14340" width="15.1796875" style="39" customWidth="1"/>
    <col min="14341" max="14341" width="8.1796875" style="39" bestFit="1" customWidth="1"/>
    <col min="14342" max="14342" width="13.453125" style="39" customWidth="1"/>
    <col min="14343" max="14343" width="12.453125" style="39" customWidth="1"/>
    <col min="14344" max="14344" width="8.7265625" style="39"/>
    <col min="14345" max="14345" width="20.54296875" style="39" customWidth="1"/>
    <col min="14346" max="14346" width="8.1796875" style="39" bestFit="1" customWidth="1"/>
    <col min="14347" max="14347" width="7.54296875" style="39" bestFit="1" customWidth="1"/>
    <col min="14348" max="14348" width="8.1796875" style="39" bestFit="1" customWidth="1"/>
    <col min="14349" max="14349" width="16.26953125" style="39" customWidth="1"/>
    <col min="14350" max="14350" width="8.1796875" style="39" bestFit="1" customWidth="1"/>
    <col min="14351" max="14351" width="12.54296875" style="39" customWidth="1"/>
    <col min="14352" max="14352" width="13.26953125" style="39" customWidth="1"/>
    <col min="14353" max="14571" width="8.7265625" style="39"/>
    <col min="14572" max="14572" width="27.26953125" style="39" bestFit="1" customWidth="1"/>
    <col min="14573" max="14573" width="12.54296875" style="39" bestFit="1" customWidth="1"/>
    <col min="14574" max="14575" width="12.54296875" style="39" customWidth="1"/>
    <col min="14576" max="14576" width="12.54296875" style="39" bestFit="1" customWidth="1"/>
    <col min="14577" max="14578" width="12.54296875" style="39" customWidth="1"/>
    <col min="14579" max="14580" width="12.1796875" style="39" bestFit="1" customWidth="1"/>
    <col min="14581" max="14581" width="8.7265625" style="39"/>
    <col min="14582" max="14582" width="22.81640625" style="39" bestFit="1" customWidth="1"/>
    <col min="14583" max="14583" width="12.54296875" style="39" bestFit="1" customWidth="1"/>
    <col min="14584" max="14584" width="13.54296875" style="39" customWidth="1"/>
    <col min="14585" max="14585" width="11.26953125" style="39" bestFit="1" customWidth="1"/>
    <col min="14586" max="14586" width="12.54296875" style="39" bestFit="1" customWidth="1"/>
    <col min="14587" max="14588" width="12.54296875" style="39" customWidth="1"/>
    <col min="14589" max="14589" width="12.1796875" style="39" bestFit="1" customWidth="1"/>
    <col min="14590" max="14590" width="12.1796875" style="39" customWidth="1"/>
    <col min="14591" max="14591" width="8.7265625" style="39"/>
    <col min="14592" max="14592" width="24.54296875" style="39" customWidth="1"/>
    <col min="14593" max="14593" width="8.1796875" style="39" bestFit="1" customWidth="1"/>
    <col min="14594" max="14595" width="7.54296875" style="39" bestFit="1" customWidth="1"/>
    <col min="14596" max="14596" width="15.1796875" style="39" customWidth="1"/>
    <col min="14597" max="14597" width="8.1796875" style="39" bestFit="1" customWidth="1"/>
    <col min="14598" max="14598" width="13.453125" style="39" customWidth="1"/>
    <col min="14599" max="14599" width="12.453125" style="39" customWidth="1"/>
    <col min="14600" max="14600" width="8.7265625" style="39"/>
    <col min="14601" max="14601" width="20.54296875" style="39" customWidth="1"/>
    <col min="14602" max="14602" width="8.1796875" style="39" bestFit="1" customWidth="1"/>
    <col min="14603" max="14603" width="7.54296875" style="39" bestFit="1" customWidth="1"/>
    <col min="14604" max="14604" width="8.1796875" style="39" bestFit="1" customWidth="1"/>
    <col min="14605" max="14605" width="16.26953125" style="39" customWidth="1"/>
    <col min="14606" max="14606" width="8.1796875" style="39" bestFit="1" customWidth="1"/>
    <col min="14607" max="14607" width="12.54296875" style="39" customWidth="1"/>
    <col min="14608" max="14608" width="13.26953125" style="39" customWidth="1"/>
    <col min="14609" max="14827" width="8.7265625" style="39"/>
    <col min="14828" max="14828" width="27.26953125" style="39" bestFit="1" customWidth="1"/>
    <col min="14829" max="14829" width="12.54296875" style="39" bestFit="1" customWidth="1"/>
    <col min="14830" max="14831" width="12.54296875" style="39" customWidth="1"/>
    <col min="14832" max="14832" width="12.54296875" style="39" bestFit="1" customWidth="1"/>
    <col min="14833" max="14834" width="12.54296875" style="39" customWidth="1"/>
    <col min="14835" max="14836" width="12.1796875" style="39" bestFit="1" customWidth="1"/>
    <col min="14837" max="14837" width="8.7265625" style="39"/>
    <col min="14838" max="14838" width="22.81640625" style="39" bestFit="1" customWidth="1"/>
    <col min="14839" max="14839" width="12.54296875" style="39" bestFit="1" customWidth="1"/>
    <col min="14840" max="14840" width="13.54296875" style="39" customWidth="1"/>
    <col min="14841" max="14841" width="11.26953125" style="39" bestFit="1" customWidth="1"/>
    <col min="14842" max="14842" width="12.54296875" style="39" bestFit="1" customWidth="1"/>
    <col min="14843" max="14844" width="12.54296875" style="39" customWidth="1"/>
    <col min="14845" max="14845" width="12.1796875" style="39" bestFit="1" customWidth="1"/>
    <col min="14846" max="14846" width="12.1796875" style="39" customWidth="1"/>
    <col min="14847" max="14847" width="8.7265625" style="39"/>
    <col min="14848" max="14848" width="24.54296875" style="39" customWidth="1"/>
    <col min="14849" max="14849" width="8.1796875" style="39" bestFit="1" customWidth="1"/>
    <col min="14850" max="14851" width="7.54296875" style="39" bestFit="1" customWidth="1"/>
    <col min="14852" max="14852" width="15.1796875" style="39" customWidth="1"/>
    <col min="14853" max="14853" width="8.1796875" style="39" bestFit="1" customWidth="1"/>
    <col min="14854" max="14854" width="13.453125" style="39" customWidth="1"/>
    <col min="14855" max="14855" width="12.453125" style="39" customWidth="1"/>
    <col min="14856" max="14856" width="8.7265625" style="39"/>
    <col min="14857" max="14857" width="20.54296875" style="39" customWidth="1"/>
    <col min="14858" max="14858" width="8.1796875" style="39" bestFit="1" customWidth="1"/>
    <col min="14859" max="14859" width="7.54296875" style="39" bestFit="1" customWidth="1"/>
    <col min="14860" max="14860" width="8.1796875" style="39" bestFit="1" customWidth="1"/>
    <col min="14861" max="14861" width="16.26953125" style="39" customWidth="1"/>
    <col min="14862" max="14862" width="8.1796875" style="39" bestFit="1" customWidth="1"/>
    <col min="14863" max="14863" width="12.54296875" style="39" customWidth="1"/>
    <col min="14864" max="14864" width="13.26953125" style="39" customWidth="1"/>
    <col min="14865" max="15083" width="8.7265625" style="39"/>
    <col min="15084" max="15084" width="27.26953125" style="39" bestFit="1" customWidth="1"/>
    <col min="15085" max="15085" width="12.54296875" style="39" bestFit="1" customWidth="1"/>
    <col min="15086" max="15087" width="12.54296875" style="39" customWidth="1"/>
    <col min="15088" max="15088" width="12.54296875" style="39" bestFit="1" customWidth="1"/>
    <col min="15089" max="15090" width="12.54296875" style="39" customWidth="1"/>
    <col min="15091" max="15092" width="12.1796875" style="39" bestFit="1" customWidth="1"/>
    <col min="15093" max="15093" width="8.7265625" style="39"/>
    <col min="15094" max="15094" width="22.81640625" style="39" bestFit="1" customWidth="1"/>
    <col min="15095" max="15095" width="12.54296875" style="39" bestFit="1" customWidth="1"/>
    <col min="15096" max="15096" width="13.54296875" style="39" customWidth="1"/>
    <col min="15097" max="15097" width="11.26953125" style="39" bestFit="1" customWidth="1"/>
    <col min="15098" max="15098" width="12.54296875" style="39" bestFit="1" customWidth="1"/>
    <col min="15099" max="15100" width="12.54296875" style="39" customWidth="1"/>
    <col min="15101" max="15101" width="12.1796875" style="39" bestFit="1" customWidth="1"/>
    <col min="15102" max="15102" width="12.1796875" style="39" customWidth="1"/>
    <col min="15103" max="15103" width="8.7265625" style="39"/>
    <col min="15104" max="15104" width="24.54296875" style="39" customWidth="1"/>
    <col min="15105" max="15105" width="8.1796875" style="39" bestFit="1" customWidth="1"/>
    <col min="15106" max="15107" width="7.54296875" style="39" bestFit="1" customWidth="1"/>
    <col min="15108" max="15108" width="15.1796875" style="39" customWidth="1"/>
    <col min="15109" max="15109" width="8.1796875" style="39" bestFit="1" customWidth="1"/>
    <col min="15110" max="15110" width="13.453125" style="39" customWidth="1"/>
    <col min="15111" max="15111" width="12.453125" style="39" customWidth="1"/>
    <col min="15112" max="15112" width="8.7265625" style="39"/>
    <col min="15113" max="15113" width="20.54296875" style="39" customWidth="1"/>
    <col min="15114" max="15114" width="8.1796875" style="39" bestFit="1" customWidth="1"/>
    <col min="15115" max="15115" width="7.54296875" style="39" bestFit="1" customWidth="1"/>
    <col min="15116" max="15116" width="8.1796875" style="39" bestFit="1" customWidth="1"/>
    <col min="15117" max="15117" width="16.26953125" style="39" customWidth="1"/>
    <col min="15118" max="15118" width="8.1796875" style="39" bestFit="1" customWidth="1"/>
    <col min="15119" max="15119" width="12.54296875" style="39" customWidth="1"/>
    <col min="15120" max="15120" width="13.26953125" style="39" customWidth="1"/>
    <col min="15121" max="15339" width="8.7265625" style="39"/>
    <col min="15340" max="15340" width="27.26953125" style="39" bestFit="1" customWidth="1"/>
    <col min="15341" max="15341" width="12.54296875" style="39" bestFit="1" customWidth="1"/>
    <col min="15342" max="15343" width="12.54296875" style="39" customWidth="1"/>
    <col min="15344" max="15344" width="12.54296875" style="39" bestFit="1" customWidth="1"/>
    <col min="15345" max="15346" width="12.54296875" style="39" customWidth="1"/>
    <col min="15347" max="15348" width="12.1796875" style="39" bestFit="1" customWidth="1"/>
    <col min="15349" max="15349" width="8.7265625" style="39"/>
    <col min="15350" max="15350" width="22.81640625" style="39" bestFit="1" customWidth="1"/>
    <col min="15351" max="15351" width="12.54296875" style="39" bestFit="1" customWidth="1"/>
    <col min="15352" max="15352" width="13.54296875" style="39" customWidth="1"/>
    <col min="15353" max="15353" width="11.26953125" style="39" bestFit="1" customWidth="1"/>
    <col min="15354" max="15354" width="12.54296875" style="39" bestFit="1" customWidth="1"/>
    <col min="15355" max="15356" width="12.54296875" style="39" customWidth="1"/>
    <col min="15357" max="15357" width="12.1796875" style="39" bestFit="1" customWidth="1"/>
    <col min="15358" max="15358" width="12.1796875" style="39" customWidth="1"/>
    <col min="15359" max="15359" width="8.7265625" style="39"/>
    <col min="15360" max="15360" width="24.54296875" style="39" customWidth="1"/>
    <col min="15361" max="15361" width="8.1796875" style="39" bestFit="1" customWidth="1"/>
    <col min="15362" max="15363" width="7.54296875" style="39" bestFit="1" customWidth="1"/>
    <col min="15364" max="15364" width="15.1796875" style="39" customWidth="1"/>
    <col min="15365" max="15365" width="8.1796875" style="39" bestFit="1" customWidth="1"/>
    <col min="15366" max="15366" width="13.453125" style="39" customWidth="1"/>
    <col min="15367" max="15367" width="12.453125" style="39" customWidth="1"/>
    <col min="15368" max="15368" width="8.7265625" style="39"/>
    <col min="15369" max="15369" width="20.54296875" style="39" customWidth="1"/>
    <col min="15370" max="15370" width="8.1796875" style="39" bestFit="1" customWidth="1"/>
    <col min="15371" max="15371" width="7.54296875" style="39" bestFit="1" customWidth="1"/>
    <col min="15372" max="15372" width="8.1796875" style="39" bestFit="1" customWidth="1"/>
    <col min="15373" max="15373" width="16.26953125" style="39" customWidth="1"/>
    <col min="15374" max="15374" width="8.1796875" style="39" bestFit="1" customWidth="1"/>
    <col min="15375" max="15375" width="12.54296875" style="39" customWidth="1"/>
    <col min="15376" max="15376" width="13.26953125" style="39" customWidth="1"/>
    <col min="15377" max="15595" width="8.7265625" style="39"/>
    <col min="15596" max="15596" width="27.26953125" style="39" bestFit="1" customWidth="1"/>
    <col min="15597" max="15597" width="12.54296875" style="39" bestFit="1" customWidth="1"/>
    <col min="15598" max="15599" width="12.54296875" style="39" customWidth="1"/>
    <col min="15600" max="15600" width="12.54296875" style="39" bestFit="1" customWidth="1"/>
    <col min="15601" max="15602" width="12.54296875" style="39" customWidth="1"/>
    <col min="15603" max="15604" width="12.1796875" style="39" bestFit="1" customWidth="1"/>
    <col min="15605" max="15605" width="8.7265625" style="39"/>
    <col min="15606" max="15606" width="22.81640625" style="39" bestFit="1" customWidth="1"/>
    <col min="15607" max="15607" width="12.54296875" style="39" bestFit="1" customWidth="1"/>
    <col min="15608" max="15608" width="13.54296875" style="39" customWidth="1"/>
    <col min="15609" max="15609" width="11.26953125" style="39" bestFit="1" customWidth="1"/>
    <col min="15610" max="15610" width="12.54296875" style="39" bestFit="1" customWidth="1"/>
    <col min="15611" max="15612" width="12.54296875" style="39" customWidth="1"/>
    <col min="15613" max="15613" width="12.1796875" style="39" bestFit="1" customWidth="1"/>
    <col min="15614" max="15614" width="12.1796875" style="39" customWidth="1"/>
    <col min="15615" max="15615" width="8.7265625" style="39"/>
    <col min="15616" max="15616" width="24.54296875" style="39" customWidth="1"/>
    <col min="15617" max="15617" width="8.1796875" style="39" bestFit="1" customWidth="1"/>
    <col min="15618" max="15619" width="7.54296875" style="39" bestFit="1" customWidth="1"/>
    <col min="15620" max="15620" width="15.1796875" style="39" customWidth="1"/>
    <col min="15621" max="15621" width="8.1796875" style="39" bestFit="1" customWidth="1"/>
    <col min="15622" max="15622" width="13.453125" style="39" customWidth="1"/>
    <col min="15623" max="15623" width="12.453125" style="39" customWidth="1"/>
    <col min="15624" max="15624" width="8.7265625" style="39"/>
    <col min="15625" max="15625" width="20.54296875" style="39" customWidth="1"/>
    <col min="15626" max="15626" width="8.1796875" style="39" bestFit="1" customWidth="1"/>
    <col min="15627" max="15627" width="7.54296875" style="39" bestFit="1" customWidth="1"/>
    <col min="15628" max="15628" width="8.1796875" style="39" bestFit="1" customWidth="1"/>
    <col min="15629" max="15629" width="16.26953125" style="39" customWidth="1"/>
    <col min="15630" max="15630" width="8.1796875" style="39" bestFit="1" customWidth="1"/>
    <col min="15631" max="15631" width="12.54296875" style="39" customWidth="1"/>
    <col min="15632" max="15632" width="13.26953125" style="39" customWidth="1"/>
    <col min="15633" max="15851" width="8.7265625" style="39"/>
    <col min="15852" max="15852" width="27.26953125" style="39" bestFit="1" customWidth="1"/>
    <col min="15853" max="15853" width="12.54296875" style="39" bestFit="1" customWidth="1"/>
    <col min="15854" max="15855" width="12.54296875" style="39" customWidth="1"/>
    <col min="15856" max="15856" width="12.54296875" style="39" bestFit="1" customWidth="1"/>
    <col min="15857" max="15858" width="12.54296875" style="39" customWidth="1"/>
    <col min="15859" max="15860" width="12.1796875" style="39" bestFit="1" customWidth="1"/>
    <col min="15861" max="15861" width="8.7265625" style="39"/>
    <col min="15862" max="15862" width="22.81640625" style="39" bestFit="1" customWidth="1"/>
    <col min="15863" max="15863" width="12.54296875" style="39" bestFit="1" customWidth="1"/>
    <col min="15864" max="15864" width="13.54296875" style="39" customWidth="1"/>
    <col min="15865" max="15865" width="11.26953125" style="39" bestFit="1" customWidth="1"/>
    <col min="15866" max="15866" width="12.54296875" style="39" bestFit="1" customWidth="1"/>
    <col min="15867" max="15868" width="12.54296875" style="39" customWidth="1"/>
    <col min="15869" max="15869" width="12.1796875" style="39" bestFit="1" customWidth="1"/>
    <col min="15870" max="15870" width="12.1796875" style="39" customWidth="1"/>
    <col min="15871" max="15871" width="8.7265625" style="39"/>
    <col min="15872" max="15872" width="24.54296875" style="39" customWidth="1"/>
    <col min="15873" max="15873" width="8.1796875" style="39" bestFit="1" customWidth="1"/>
    <col min="15874" max="15875" width="7.54296875" style="39" bestFit="1" customWidth="1"/>
    <col min="15876" max="15876" width="15.1796875" style="39" customWidth="1"/>
    <col min="15877" max="15877" width="8.1796875" style="39" bestFit="1" customWidth="1"/>
    <col min="15878" max="15878" width="13.453125" style="39" customWidth="1"/>
    <col min="15879" max="15879" width="12.453125" style="39" customWidth="1"/>
    <col min="15880" max="15880" width="8.7265625" style="39"/>
    <col min="15881" max="15881" width="20.54296875" style="39" customWidth="1"/>
    <col min="15882" max="15882" width="8.1796875" style="39" bestFit="1" customWidth="1"/>
    <col min="15883" max="15883" width="7.54296875" style="39" bestFit="1" customWidth="1"/>
    <col min="15884" max="15884" width="8.1796875" style="39" bestFit="1" customWidth="1"/>
    <col min="15885" max="15885" width="16.26953125" style="39" customWidth="1"/>
    <col min="15886" max="15886" width="8.1796875" style="39" bestFit="1" customWidth="1"/>
    <col min="15887" max="15887" width="12.54296875" style="39" customWidth="1"/>
    <col min="15888" max="15888" width="13.26953125" style="39" customWidth="1"/>
    <col min="15889" max="16107" width="8.7265625" style="39"/>
    <col min="16108" max="16108" width="27.26953125" style="39" bestFit="1" customWidth="1"/>
    <col min="16109" max="16109" width="12.54296875" style="39" bestFit="1" customWidth="1"/>
    <col min="16110" max="16111" width="12.54296875" style="39" customWidth="1"/>
    <col min="16112" max="16112" width="12.54296875" style="39" bestFit="1" customWidth="1"/>
    <col min="16113" max="16114" width="12.54296875" style="39" customWidth="1"/>
    <col min="16115" max="16116" width="12.1796875" style="39" bestFit="1" customWidth="1"/>
    <col min="16117" max="16117" width="8.7265625" style="39"/>
    <col min="16118" max="16118" width="22.81640625" style="39" bestFit="1" customWidth="1"/>
    <col min="16119" max="16119" width="12.54296875" style="39" bestFit="1" customWidth="1"/>
    <col min="16120" max="16120" width="13.54296875" style="39" customWidth="1"/>
    <col min="16121" max="16121" width="11.26953125" style="39" bestFit="1" customWidth="1"/>
    <col min="16122" max="16122" width="12.54296875" style="39" bestFit="1" customWidth="1"/>
    <col min="16123" max="16124" width="12.54296875" style="39" customWidth="1"/>
    <col min="16125" max="16125" width="12.1796875" style="39" bestFit="1" customWidth="1"/>
    <col min="16126" max="16126" width="12.1796875" style="39" customWidth="1"/>
    <col min="16127" max="16127" width="8.7265625" style="39"/>
    <col min="16128" max="16128" width="24.54296875" style="39" customWidth="1"/>
    <col min="16129" max="16129" width="8.1796875" style="39" bestFit="1" customWidth="1"/>
    <col min="16130" max="16131" width="7.54296875" style="39" bestFit="1" customWidth="1"/>
    <col min="16132" max="16132" width="15.1796875" style="39" customWidth="1"/>
    <col min="16133" max="16133" width="8.1796875" style="39" bestFit="1" customWidth="1"/>
    <col min="16134" max="16134" width="13.453125" style="39" customWidth="1"/>
    <col min="16135" max="16135" width="12.453125" style="39" customWidth="1"/>
    <col min="16136" max="16136" width="8.7265625" style="39"/>
    <col min="16137" max="16137" width="20.54296875" style="39" customWidth="1"/>
    <col min="16138" max="16138" width="8.1796875" style="39" bestFit="1" customWidth="1"/>
    <col min="16139" max="16139" width="7.54296875" style="39" bestFit="1" customWidth="1"/>
    <col min="16140" max="16140" width="8.1796875" style="39" bestFit="1" customWidth="1"/>
    <col min="16141" max="16141" width="16.26953125" style="39" customWidth="1"/>
    <col min="16142" max="16142" width="8.1796875" style="39" bestFit="1" customWidth="1"/>
    <col min="16143" max="16143" width="12.54296875" style="39" customWidth="1"/>
    <col min="16144" max="16144" width="13.26953125" style="39" customWidth="1"/>
    <col min="16145" max="16363" width="8.7265625" style="39"/>
    <col min="16364" max="16384" width="8.7265625" style="39" customWidth="1"/>
  </cols>
  <sheetData>
    <row r="1" spans="1:16" ht="28.5" x14ac:dyDescent="0.35">
      <c r="A1" s="38" t="s">
        <v>444</v>
      </c>
    </row>
    <row r="2" spans="1:16" x14ac:dyDescent="0.35">
      <c r="A2" s="3" t="s">
        <v>15</v>
      </c>
    </row>
    <row r="3" spans="1:16" x14ac:dyDescent="0.35">
      <c r="A3" s="44" t="s">
        <v>158</v>
      </c>
    </row>
    <row r="4" spans="1:16" x14ac:dyDescent="0.35">
      <c r="A4" s="3" t="s">
        <v>159</v>
      </c>
    </row>
    <row r="5" spans="1:16" ht="31" x14ac:dyDescent="0.35">
      <c r="A5" s="91" t="s">
        <v>69</v>
      </c>
      <c r="B5" s="86" t="s">
        <v>92</v>
      </c>
      <c r="C5" s="87" t="s">
        <v>93</v>
      </c>
      <c r="D5" s="87" t="s">
        <v>94</v>
      </c>
      <c r="E5" s="87" t="s">
        <v>95</v>
      </c>
      <c r="F5" s="87" t="s">
        <v>96</v>
      </c>
      <c r="G5" s="87" t="s">
        <v>97</v>
      </c>
      <c r="H5" s="87" t="s">
        <v>440</v>
      </c>
      <c r="I5" s="88" t="s">
        <v>441</v>
      </c>
      <c r="J5" s="86" t="s">
        <v>36</v>
      </c>
      <c r="K5" s="87" t="s">
        <v>70</v>
      </c>
      <c r="L5" s="87" t="s">
        <v>71</v>
      </c>
      <c r="M5" s="87" t="s">
        <v>98</v>
      </c>
      <c r="N5" s="87" t="s">
        <v>72</v>
      </c>
      <c r="O5" s="87" t="s">
        <v>99</v>
      </c>
      <c r="P5" s="88" t="s">
        <v>442</v>
      </c>
    </row>
    <row r="6" spans="1:16" x14ac:dyDescent="0.35">
      <c r="A6" s="89">
        <v>1998</v>
      </c>
      <c r="B6" s="80">
        <f>SUM('Quarter dependency &amp; low carbon'!B6:B9)</f>
        <v>230742.51000000004</v>
      </c>
      <c r="C6" s="80">
        <f>SUM('Quarter dependency &amp; low carbon'!C6:C9)</f>
        <v>216380.17000000004</v>
      </c>
      <c r="D6" s="80">
        <f>SUM('Quarter dependency &amp; low carbon'!D6:D9)</f>
        <v>12737.21</v>
      </c>
      <c r="E6" s="80">
        <f>SUM('Quarter dependency &amp; low carbon'!E6:E9)</f>
        <v>203642.96000000002</v>
      </c>
      <c r="F6" s="80">
        <f>SUM('Quarter dependency &amp; low carbon'!F6:F9)</f>
        <v>1072.04</v>
      </c>
      <c r="G6" s="80">
        <f>SUM('Quarter dependency &amp; low carbon'!G6:G9)</f>
        <v>352.4</v>
      </c>
      <c r="H6" s="81">
        <f>SUM(E6/B6)</f>
        <v>0.88255501771216749</v>
      </c>
      <c r="I6" s="84">
        <f>IF((F6+G6)&gt;0,1-(E6+F6+G6)/B6,1-H6)</f>
        <v>0.11127169414946558</v>
      </c>
      <c r="J6" s="80">
        <f>SUM('Quarter dependency &amp; low carbon'!J6:J9)</f>
        <v>243479.72000000003</v>
      </c>
      <c r="K6" s="80">
        <f>SUM('Quarter dependency &amp; low carbon'!K6:K9)</f>
        <v>82060.52</v>
      </c>
      <c r="L6" s="80">
        <f>SUM('Quarter dependency &amp; low carbon'!L6:L9)</f>
        <v>-122555.98</v>
      </c>
      <c r="M6" s="80">
        <f>SUM('Quarter dependency &amp; low carbon'!M6:M9)</f>
        <v>-40495.459999999992</v>
      </c>
      <c r="N6" s="80">
        <f>SUM('Quarter dependency &amp; low carbon'!N6:N9)</f>
        <v>-3257.37</v>
      </c>
      <c r="O6" s="80">
        <f>SUM('Quarter dependency &amp; low carbon'!O6:O9)</f>
        <v>246737.09000000003</v>
      </c>
      <c r="P6" s="84">
        <f>SUM(M6/O6)</f>
        <v>-0.16412392640279574</v>
      </c>
    </row>
    <row r="7" spans="1:16" x14ac:dyDescent="0.35">
      <c r="A7" s="90">
        <v>1999</v>
      </c>
      <c r="B7" s="80">
        <f>SUM('Quarter dependency &amp; low carbon'!B10:B13)</f>
        <v>231328.25999999998</v>
      </c>
      <c r="C7" s="80">
        <f>SUM('Quarter dependency &amp; low carbon'!C10:C13)</f>
        <v>217899.41</v>
      </c>
      <c r="D7" s="80">
        <f>SUM('Quarter dependency &amp; low carbon'!D10:D13)</f>
        <v>12962.869999999999</v>
      </c>
      <c r="E7" s="80">
        <f>SUM('Quarter dependency &amp; low carbon'!E10:E13)</f>
        <v>204936.54</v>
      </c>
      <c r="F7" s="80">
        <f>SUM('Quarter dependency &amp; low carbon'!F10:F13)</f>
        <v>1224.76</v>
      </c>
      <c r="G7" s="80">
        <f>SUM('Quarter dependency &amp; low carbon'!G10:G13)</f>
        <v>321.83999999999997</v>
      </c>
      <c r="H7" s="81">
        <f t="shared" ref="H7:H24" si="0">SUM(E7/B7)</f>
        <v>0.885912253003589</v>
      </c>
      <c r="I7" s="85">
        <f t="shared" ref="I7:I26" si="1">IF((F7+G7)&gt;0,1-(E7+F7+G7)/B7,1-H7)</f>
        <v>0.10740200959450419</v>
      </c>
      <c r="J7" s="80">
        <f>SUM('Quarter dependency &amp; low carbon'!J10:J13)</f>
        <v>244291.13</v>
      </c>
      <c r="K7" s="80">
        <f>SUM('Quarter dependency &amp; low carbon'!K10:K13)</f>
        <v>80476.450000000012</v>
      </c>
      <c r="L7" s="80">
        <f>SUM('Quarter dependency &amp; low carbon'!L10:L13)</f>
        <v>-131976.09</v>
      </c>
      <c r="M7" s="80">
        <f>SUM('Quarter dependency &amp; low carbon'!M10:M13)</f>
        <v>-51499.639999999992</v>
      </c>
      <c r="N7" s="80">
        <f>SUM('Quarter dependency &amp; low carbon'!N10:N13)</f>
        <v>-2470.81</v>
      </c>
      <c r="O7" s="80">
        <f>SUM('Quarter dependency &amp; low carbon'!O10:O13)</f>
        <v>246761.94</v>
      </c>
      <c r="P7" s="85">
        <f t="shared" ref="P7:P26" si="2">SUM(M7/O7)</f>
        <v>-0.20870171469716922</v>
      </c>
    </row>
    <row r="8" spans="1:16" x14ac:dyDescent="0.35">
      <c r="A8" s="90">
        <v>2000</v>
      </c>
      <c r="B8" s="80">
        <f>SUM('Quarter dependency &amp; low carbon'!B14:B17)</f>
        <v>234806.65999999997</v>
      </c>
      <c r="C8" s="80">
        <f>SUM('Quarter dependency &amp; low carbon'!C14:C17)</f>
        <v>223411.91</v>
      </c>
      <c r="D8" s="80">
        <f>SUM('Quarter dependency &amp; low carbon'!D14:D17)</f>
        <v>12283.16</v>
      </c>
      <c r="E8" s="80">
        <f>SUM('Quarter dependency &amp; low carbon'!E14:E17)</f>
        <v>211128.75</v>
      </c>
      <c r="F8" s="80">
        <f>SUM('Quarter dependency &amp; low carbon'!F14:F17)</f>
        <v>1218.76</v>
      </c>
      <c r="G8" s="80">
        <f>SUM('Quarter dependency &amp; low carbon'!G14:G17)</f>
        <v>329.72</v>
      </c>
      <c r="H8" s="81">
        <f t="shared" si="0"/>
        <v>0.89915997271968362</v>
      </c>
      <c r="I8" s="85">
        <f t="shared" si="1"/>
        <v>9.4245325068718078E-2</v>
      </c>
      <c r="J8" s="80">
        <f>SUM('Quarter dependency &amp; low carbon'!J14:J17)</f>
        <v>247089.81999999998</v>
      </c>
      <c r="K8" s="80">
        <f>SUM('Quarter dependency &amp; low carbon'!K14:K17)</f>
        <v>94359</v>
      </c>
      <c r="L8" s="80">
        <f>SUM('Quarter dependency &amp; low carbon'!L14:L17)</f>
        <v>-137330.28</v>
      </c>
      <c r="M8" s="80">
        <f>SUM('Quarter dependency &amp; low carbon'!M14:M17)</f>
        <v>-42971.28</v>
      </c>
      <c r="N8" s="80">
        <f>SUM('Quarter dependency &amp; low carbon'!N14:N17)</f>
        <v>-2207.58</v>
      </c>
      <c r="O8" s="80">
        <f>SUM('Quarter dependency &amp; low carbon'!O14:O17)</f>
        <v>249297.39999999997</v>
      </c>
      <c r="P8" s="85">
        <f t="shared" si="2"/>
        <v>-0.17236954737594537</v>
      </c>
    </row>
    <row r="9" spans="1:16" x14ac:dyDescent="0.35">
      <c r="A9" s="90">
        <v>2001</v>
      </c>
      <c r="B9" s="80">
        <f>SUM('Quarter dependency &amp; low carbon'!B18:B21)</f>
        <v>236854.77000000002</v>
      </c>
      <c r="C9" s="80">
        <f>SUM('Quarter dependency &amp; low carbon'!C18:C21)</f>
        <v>222932.59000000003</v>
      </c>
      <c r="D9" s="80">
        <f>SUM('Quarter dependency &amp; low carbon'!D18:D21)</f>
        <v>10731.67</v>
      </c>
      <c r="E9" s="80">
        <f>SUM('Quarter dependency &amp; low carbon'!E18:E21)</f>
        <v>212200.92</v>
      </c>
      <c r="F9" s="80">
        <f>SUM('Quarter dependency &amp; low carbon'!F18:F21)</f>
        <v>894.15</v>
      </c>
      <c r="G9" s="80">
        <f>SUM('Quarter dependency &amp; low carbon'!G18:G21)</f>
        <v>346.96</v>
      </c>
      <c r="H9" s="81">
        <f t="shared" si="0"/>
        <v>0.89591153262397882</v>
      </c>
      <c r="I9" s="85">
        <f t="shared" si="1"/>
        <v>9.8848505352035043E-2</v>
      </c>
      <c r="J9" s="80">
        <f>SUM('Quarter dependency &amp; low carbon'!J18:J21)</f>
        <v>247586.44</v>
      </c>
      <c r="K9" s="80">
        <f>SUM('Quarter dependency &amp; low carbon'!K18:K21)</f>
        <v>104336.82</v>
      </c>
      <c r="L9" s="80">
        <f>SUM('Quarter dependency &amp; low carbon'!L18:L21)</f>
        <v>-128276.78</v>
      </c>
      <c r="M9" s="80">
        <f>SUM('Quarter dependency &amp; low carbon'!M18:M21)</f>
        <v>-23939.960000000003</v>
      </c>
      <c r="N9" s="80">
        <f>SUM('Quarter dependency &amp; low carbon'!N18:N21)</f>
        <v>-2433.3599999999997</v>
      </c>
      <c r="O9" s="80">
        <f>SUM('Quarter dependency &amp; low carbon'!O18:O21)</f>
        <v>250019.8</v>
      </c>
      <c r="P9" s="85">
        <f t="shared" si="2"/>
        <v>-9.5752256421291454E-2</v>
      </c>
    </row>
    <row r="10" spans="1:16" x14ac:dyDescent="0.35">
      <c r="A10" s="90">
        <v>2002</v>
      </c>
      <c r="B10" s="80">
        <f>SUM('Quarter dependency &amp; low carbon'!B22:B25)</f>
        <v>229604.58000000002</v>
      </c>
      <c r="C10" s="80">
        <f>SUM('Quarter dependency &amp; low carbon'!C22:C25)</f>
        <v>217051.47000000003</v>
      </c>
      <c r="D10" s="80">
        <f>SUM('Quarter dependency &amp; low carbon'!D22:D25)</f>
        <v>11544.160000000002</v>
      </c>
      <c r="E10" s="80">
        <f>SUM('Quarter dependency &amp; low carbon'!E22:E25)</f>
        <v>205507.31</v>
      </c>
      <c r="F10" s="80">
        <f>SUM('Quarter dependency &amp; low carbon'!F22:F25)</f>
        <v>723.46</v>
      </c>
      <c r="G10" s="80">
        <f>SUM('Quarter dependency &amp; low carbon'!G22:G25)</f>
        <v>378.32</v>
      </c>
      <c r="H10" s="81">
        <f t="shared" si="0"/>
        <v>0.89504882698768462</v>
      </c>
      <c r="I10" s="85">
        <f t="shared" si="1"/>
        <v>0.10015257535367983</v>
      </c>
      <c r="J10" s="80">
        <f>SUM('Quarter dependency &amp; low carbon'!J22:J25)</f>
        <v>241148.74000000002</v>
      </c>
      <c r="K10" s="80">
        <f>SUM('Quarter dependency &amp; low carbon'!K22:K25)</f>
        <v>103333.70000000001</v>
      </c>
      <c r="L10" s="80">
        <f>SUM('Quarter dependency &amp; low carbon'!L22:L25)</f>
        <v>-134451.09</v>
      </c>
      <c r="M10" s="80">
        <f>SUM('Quarter dependency &amp; low carbon'!M22:M25)</f>
        <v>-31117.389999999989</v>
      </c>
      <c r="N10" s="80">
        <f>SUM('Quarter dependency &amp; low carbon'!N22:N25)</f>
        <v>-2043.63</v>
      </c>
      <c r="O10" s="80">
        <f>SUM('Quarter dependency &amp; low carbon'!O22:O25)</f>
        <v>243192.37</v>
      </c>
      <c r="P10" s="85">
        <f t="shared" si="2"/>
        <v>-0.12795380874819381</v>
      </c>
    </row>
    <row r="11" spans="1:16" x14ac:dyDescent="0.35">
      <c r="A11" s="90">
        <v>2003</v>
      </c>
      <c r="B11" s="80">
        <f>SUM('Quarter dependency &amp; low carbon'!B26:B29)</f>
        <v>231866.77</v>
      </c>
      <c r="C11" s="80">
        <f>SUM('Quarter dependency &amp; low carbon'!C26:C29)</f>
        <v>220419.5</v>
      </c>
      <c r="D11" s="80">
        <f>SUM('Quarter dependency &amp; low carbon'!D26:D29)</f>
        <v>12285.07</v>
      </c>
      <c r="E11" s="80">
        <f>SUM('Quarter dependency &amp; low carbon'!E26:E29)</f>
        <v>208134.43000000002</v>
      </c>
      <c r="F11" s="80">
        <f>SUM('Quarter dependency &amp; low carbon'!F26:F29)</f>
        <v>185.76</v>
      </c>
      <c r="G11" s="80">
        <f>SUM('Quarter dependency &amp; low carbon'!G26:G29)</f>
        <v>390.88</v>
      </c>
      <c r="H11" s="81">
        <f t="shared" si="0"/>
        <v>0.89764665286017498</v>
      </c>
      <c r="I11" s="85">
        <f t="shared" si="1"/>
        <v>9.98664017271641E-2</v>
      </c>
      <c r="J11" s="80">
        <f>SUM('Quarter dependency &amp; low carbon'!J26:J29)</f>
        <v>244151.84000000003</v>
      </c>
      <c r="K11" s="80">
        <f>SUM('Quarter dependency &amp; low carbon'!K26:K29)</f>
        <v>106429.69</v>
      </c>
      <c r="L11" s="80">
        <f>SUM('Quarter dependency &amp; low carbon'!L26:L29)</f>
        <v>-123207.90000000001</v>
      </c>
      <c r="M11" s="80">
        <f>SUM('Quarter dependency &amp; low carbon'!M26:M29)</f>
        <v>-16778.21</v>
      </c>
      <c r="N11" s="80">
        <f>SUM('Quarter dependency &amp; low carbon'!N26:N29)</f>
        <v>-1879.36</v>
      </c>
      <c r="O11" s="80">
        <f>SUM('Quarter dependency &amp; low carbon'!O26:O29)</f>
        <v>246031.2</v>
      </c>
      <c r="P11" s="85">
        <f t="shared" si="2"/>
        <v>-6.8195456511206703E-2</v>
      </c>
    </row>
    <row r="12" spans="1:16" x14ac:dyDescent="0.35">
      <c r="A12" s="90">
        <v>2004</v>
      </c>
      <c r="B12" s="80">
        <f>SUM('Quarter dependency &amp; low carbon'!B30:B33)</f>
        <v>233633.15999999997</v>
      </c>
      <c r="C12" s="80">
        <f>SUM('Quarter dependency &amp; low carbon'!C30:C33)</f>
        <v>223189.8</v>
      </c>
      <c r="D12" s="80">
        <f>SUM('Quarter dependency &amp; low carbon'!D30:D33)</f>
        <v>12428.529999999999</v>
      </c>
      <c r="E12" s="80">
        <f>SUM('Quarter dependency &amp; low carbon'!E30:E33)</f>
        <v>210761.27</v>
      </c>
      <c r="F12" s="80">
        <f>SUM('Quarter dependency &amp; low carbon'!F30:F33)</f>
        <v>643.99</v>
      </c>
      <c r="G12" s="80">
        <f>SUM('Quarter dependency &amp; low carbon'!G30:G33)</f>
        <v>379.6</v>
      </c>
      <c r="H12" s="81">
        <f t="shared" si="0"/>
        <v>0.90210340860860683</v>
      </c>
      <c r="I12" s="85">
        <f t="shared" si="1"/>
        <v>9.3515406802698653E-2</v>
      </c>
      <c r="J12" s="80">
        <f>SUM('Quarter dependency &amp; low carbon'!J30:J33)</f>
        <v>246061.69</v>
      </c>
      <c r="K12" s="80">
        <f>SUM('Quarter dependency &amp; low carbon'!K30:K33)</f>
        <v>125258.41</v>
      </c>
      <c r="L12" s="80">
        <f>SUM('Quarter dependency &amp; low carbon'!L30:L33)</f>
        <v>-114202.12000000001</v>
      </c>
      <c r="M12" s="80">
        <f>SUM('Quarter dependency &amp; low carbon'!M30:M33)</f>
        <v>11056.289999999983</v>
      </c>
      <c r="N12" s="80">
        <f>SUM('Quarter dependency &amp; low carbon'!N30:N33)</f>
        <v>-2221.0100000000002</v>
      </c>
      <c r="O12" s="80">
        <f>SUM('Quarter dependency &amp; low carbon'!O30:O33)</f>
        <v>248282.7</v>
      </c>
      <c r="P12" s="85">
        <f t="shared" si="2"/>
        <v>4.4531052707256616E-2</v>
      </c>
    </row>
    <row r="13" spans="1:16" x14ac:dyDescent="0.35">
      <c r="A13" s="90">
        <v>2005</v>
      </c>
      <c r="B13" s="80">
        <f>SUM('Quarter dependency &amp; low carbon'!B34:B37)</f>
        <v>236289.71000000005</v>
      </c>
      <c r="C13" s="80">
        <f>SUM('Quarter dependency &amp; low carbon'!C34:C37)</f>
        <v>224507.16</v>
      </c>
      <c r="D13" s="80">
        <f>SUM('Quarter dependency &amp; low carbon'!D34:D37)</f>
        <v>12144.96</v>
      </c>
      <c r="E13" s="80">
        <f>SUM('Quarter dependency &amp; low carbon'!E34:E37)</f>
        <v>212362.2</v>
      </c>
      <c r="F13" s="80">
        <f>SUM('Quarter dependency &amp; low carbon'!F34:F37)</f>
        <v>715.45</v>
      </c>
      <c r="G13" s="80">
        <f>SUM('Quarter dependency &amp; low carbon'!G34:G37)</f>
        <v>389.44</v>
      </c>
      <c r="H13" s="81">
        <f t="shared" si="0"/>
        <v>0.89873655522282359</v>
      </c>
      <c r="I13" s="85">
        <f t="shared" si="1"/>
        <v>9.6587447671758642E-2</v>
      </c>
      <c r="J13" s="80">
        <f>SUM('Quarter dependency &amp; low carbon'!J34:J37)</f>
        <v>248434.67</v>
      </c>
      <c r="K13" s="80">
        <f>SUM('Quarter dependency &amp; low carbon'!K34:K37)</f>
        <v>134312.29999999999</v>
      </c>
      <c r="L13" s="80">
        <f>SUM('Quarter dependency &amp; low carbon'!L34:L37)</f>
        <v>-100526.67</v>
      </c>
      <c r="M13" s="80">
        <f>SUM('Quarter dependency &amp; low carbon'!M34:M37)</f>
        <v>33785.630000000005</v>
      </c>
      <c r="N13" s="80">
        <f>SUM('Quarter dependency &amp; low carbon'!N34:N37)</f>
        <v>-2179.7199999999998</v>
      </c>
      <c r="O13" s="80">
        <f>SUM('Quarter dependency &amp; low carbon'!O34:O37)</f>
        <v>250614.39</v>
      </c>
      <c r="P13" s="85">
        <f t="shared" si="2"/>
        <v>0.13481121335450852</v>
      </c>
    </row>
    <row r="14" spans="1:16" x14ac:dyDescent="0.35">
      <c r="A14" s="90">
        <v>2006</v>
      </c>
      <c r="B14" s="80">
        <f>SUM('Quarter dependency &amp; low carbon'!B38:B41)</f>
        <v>233073.19999999998</v>
      </c>
      <c r="C14" s="80">
        <f>SUM('Quarter dependency &amp; low carbon'!C38:C41)</f>
        <v>221529.64</v>
      </c>
      <c r="D14" s="80">
        <f>SUM('Quarter dependency &amp; low carbon'!D38:D41)</f>
        <v>11414.720000000001</v>
      </c>
      <c r="E14" s="80">
        <f>SUM('Quarter dependency &amp; low carbon'!E38:E41)</f>
        <v>210114.92</v>
      </c>
      <c r="F14" s="80">
        <f>SUM('Quarter dependency &amp; low carbon'!F38:F41)</f>
        <v>646.33000000000004</v>
      </c>
      <c r="G14" s="80">
        <f>SUM('Quarter dependency &amp; low carbon'!G38:G41)</f>
        <v>405.28</v>
      </c>
      <c r="H14" s="81">
        <f t="shared" si="0"/>
        <v>0.90149755527448039</v>
      </c>
      <c r="I14" s="85">
        <f t="shared" si="1"/>
        <v>9.3990514567955374E-2</v>
      </c>
      <c r="J14" s="80">
        <f>SUM('Quarter dependency &amp; low carbon'!J38:J41)</f>
        <v>244487.91999999998</v>
      </c>
      <c r="K14" s="80">
        <f>SUM('Quarter dependency &amp; low carbon'!K38:K41)</f>
        <v>150013.25</v>
      </c>
      <c r="L14" s="80">
        <f>SUM('Quarter dependency &amp; low carbon'!L38:L41)</f>
        <v>-97445.950000000012</v>
      </c>
      <c r="M14" s="80">
        <f>SUM('Quarter dependency &amp; low carbon'!M38:M41)</f>
        <v>52567.3</v>
      </c>
      <c r="N14" s="80">
        <f>SUM('Quarter dependency &amp; low carbon'!N38:N41)</f>
        <v>-2486.38</v>
      </c>
      <c r="O14" s="80">
        <f>SUM('Quarter dependency &amp; low carbon'!O38:O41)</f>
        <v>246974.30000000002</v>
      </c>
      <c r="P14" s="85">
        <f t="shared" si="2"/>
        <v>0.2128452231669449</v>
      </c>
    </row>
    <row r="15" spans="1:16" x14ac:dyDescent="0.35">
      <c r="A15" s="90">
        <v>2007</v>
      </c>
      <c r="B15" s="80">
        <f>SUM('Quarter dependency &amp; low carbon'!B42:B45)</f>
        <v>227492.17000000004</v>
      </c>
      <c r="C15" s="80">
        <f>SUM('Quarter dependency &amp; low carbon'!C42:C45)</f>
        <v>217191.77000000002</v>
      </c>
      <c r="D15" s="80">
        <f>SUM('Quarter dependency &amp; low carbon'!D42:D45)</f>
        <v>9729.23</v>
      </c>
      <c r="E15" s="80">
        <f>SUM('Quarter dependency &amp; low carbon'!E42:E45)</f>
        <v>207462.53999999998</v>
      </c>
      <c r="F15" s="80">
        <f>SUM('Quarter dependency &amp; low carbon'!F42:F45)</f>
        <v>448.37000000000006</v>
      </c>
      <c r="G15" s="80">
        <f>SUM('Quarter dependency &amp; low carbon'!G42:G45)</f>
        <v>435.64</v>
      </c>
      <c r="H15" s="81">
        <f t="shared" si="0"/>
        <v>0.9119546400212365</v>
      </c>
      <c r="I15" s="85">
        <f t="shared" si="1"/>
        <v>8.4159467993997539E-2</v>
      </c>
      <c r="J15" s="80">
        <f>SUM('Quarter dependency &amp; low carbon'!J42:J45)</f>
        <v>237221.40000000002</v>
      </c>
      <c r="K15" s="80">
        <f>SUM('Quarter dependency &amp; low carbon'!K42:K45)</f>
        <v>149340.46000000002</v>
      </c>
      <c r="L15" s="80">
        <f>SUM('Quarter dependency &amp; low carbon'!L42:L45)</f>
        <v>-100010.87999999999</v>
      </c>
      <c r="M15" s="80">
        <f>SUM('Quarter dependency &amp; low carbon'!M42:M45)</f>
        <v>49329.580000000016</v>
      </c>
      <c r="N15" s="80">
        <f>SUM('Quarter dependency &amp; low carbon'!N42:N45)</f>
        <v>-2512.67</v>
      </c>
      <c r="O15" s="80">
        <f>SUM('Quarter dependency &amp; low carbon'!O42:O45)</f>
        <v>239734.07</v>
      </c>
      <c r="P15" s="85">
        <f t="shared" si="2"/>
        <v>0.20576791609135914</v>
      </c>
    </row>
    <row r="16" spans="1:16" x14ac:dyDescent="0.35">
      <c r="A16" s="90">
        <v>2008</v>
      </c>
      <c r="B16" s="80">
        <f>SUM('Quarter dependency &amp; low carbon'!B46:B49)</f>
        <v>225654.15</v>
      </c>
      <c r="C16" s="80">
        <f>SUM('Quarter dependency &amp; low carbon'!C46:C49)</f>
        <v>214807.56999999998</v>
      </c>
      <c r="D16" s="80">
        <f>SUM('Quarter dependency &amp; low carbon'!D46:D49)</f>
        <v>9162.9500000000007</v>
      </c>
      <c r="E16" s="80">
        <f>SUM('Quarter dependency &amp; low carbon'!E46:E49)</f>
        <v>205644.62</v>
      </c>
      <c r="F16" s="80">
        <f>SUM('Quarter dependency &amp; low carbon'!F46:F49)</f>
        <v>947.72</v>
      </c>
      <c r="G16" s="80">
        <f>SUM('Quarter dependency &amp; low carbon'!G46:G49)</f>
        <v>463.76</v>
      </c>
      <c r="H16" s="81">
        <f t="shared" si="0"/>
        <v>0.9113265588069176</v>
      </c>
      <c r="I16" s="85">
        <f t="shared" si="1"/>
        <v>8.241838228988918E-2</v>
      </c>
      <c r="J16" s="80">
        <f>SUM('Quarter dependency &amp; low carbon'!J46:J49)</f>
        <v>234817.1</v>
      </c>
      <c r="K16" s="80">
        <f>SUM('Quarter dependency &amp; low carbon'!K46:K49)</f>
        <v>158236.15999999997</v>
      </c>
      <c r="L16" s="80">
        <f>SUM('Quarter dependency &amp; low carbon'!L46:L49)</f>
        <v>-95381.299999999988</v>
      </c>
      <c r="M16" s="80">
        <f>SUM('Quarter dependency &amp; low carbon'!M46:M49)</f>
        <v>62854.86</v>
      </c>
      <c r="N16" s="80">
        <f>SUM('Quarter dependency &amp; low carbon'!N46:N49)</f>
        <v>-3663.06</v>
      </c>
      <c r="O16" s="80">
        <f>SUM('Quarter dependency &amp; low carbon'!O46:O49)</f>
        <v>238480.15999999997</v>
      </c>
      <c r="P16" s="85">
        <f t="shared" si="2"/>
        <v>0.26356431495181826</v>
      </c>
    </row>
    <row r="17" spans="1:16" x14ac:dyDescent="0.35">
      <c r="A17" s="90">
        <v>2009</v>
      </c>
      <c r="B17" s="80">
        <f>SUM('Quarter dependency &amp; low carbon'!B50:B53)</f>
        <v>211820.44</v>
      </c>
      <c r="C17" s="80">
        <f>SUM('Quarter dependency &amp; low carbon'!C50:C53)</f>
        <v>197343.35</v>
      </c>
      <c r="D17" s="80">
        <f>SUM('Quarter dependency &amp; low carbon'!D50:D53)</f>
        <v>8951.0500000000011</v>
      </c>
      <c r="E17" s="80">
        <f>SUM('Quarter dependency &amp; low carbon'!E50:E53)</f>
        <v>188392.3</v>
      </c>
      <c r="F17" s="80">
        <f>SUM('Quarter dependency &amp; low carbon'!F50:F53)</f>
        <v>245.98999999999998</v>
      </c>
      <c r="G17" s="80">
        <f>SUM('Quarter dependency &amp; low carbon'!G50:G53)</f>
        <v>509.16</v>
      </c>
      <c r="H17" s="81">
        <f t="shared" si="0"/>
        <v>0.88939622635096016</v>
      </c>
      <c r="I17" s="85">
        <f t="shared" si="1"/>
        <v>0.10703872581890594</v>
      </c>
      <c r="J17" s="80">
        <f>SUM('Quarter dependency &amp; low carbon'!J50:J53)</f>
        <v>220771.49</v>
      </c>
      <c r="K17" s="80">
        <f>SUM('Quarter dependency &amp; low carbon'!K50:K53)</f>
        <v>152035.01</v>
      </c>
      <c r="L17" s="80">
        <f>SUM('Quarter dependency &amp; low carbon'!L50:L53)</f>
        <v>-90217.34</v>
      </c>
      <c r="M17" s="80">
        <f>SUM('Quarter dependency &amp; low carbon'!M50:M53)</f>
        <v>61817.670000000006</v>
      </c>
      <c r="N17" s="80">
        <f>SUM('Quarter dependency &amp; low carbon'!N50:N53)</f>
        <v>-3504.6</v>
      </c>
      <c r="O17" s="80">
        <f>SUM('Quarter dependency &amp; low carbon'!O50:O53)</f>
        <v>224276.09000000003</v>
      </c>
      <c r="P17" s="85">
        <f t="shared" si="2"/>
        <v>0.27563201231125439</v>
      </c>
    </row>
    <row r="18" spans="1:16" x14ac:dyDescent="0.35">
      <c r="A18" s="90">
        <v>2010</v>
      </c>
      <c r="B18" s="80">
        <f>SUM('Quarter dependency &amp; low carbon'!B54:B57)</f>
        <v>220022.31</v>
      </c>
      <c r="C18" s="80">
        <f>SUM('Quarter dependency &amp; low carbon'!C54:C57)</f>
        <v>205826.62</v>
      </c>
      <c r="D18" s="80">
        <f>SUM('Quarter dependency &amp; low carbon'!D54:D57)</f>
        <v>8710.19</v>
      </c>
      <c r="E18" s="80">
        <f>SUM('Quarter dependency &amp; low carbon'!E54:E57)</f>
        <v>197116.43</v>
      </c>
      <c r="F18" s="80">
        <f>SUM('Quarter dependency &amp; low carbon'!F54:F57)</f>
        <v>229.01999999999998</v>
      </c>
      <c r="G18" s="80">
        <f>SUM('Quarter dependency &amp; low carbon'!G54:G57)</f>
        <v>533.72</v>
      </c>
      <c r="H18" s="81">
        <f t="shared" si="0"/>
        <v>0.89589292104059803</v>
      </c>
      <c r="I18" s="85">
        <f t="shared" si="1"/>
        <v>0.10064043050906979</v>
      </c>
      <c r="J18" s="80">
        <f>SUM('Quarter dependency &amp; low carbon'!J54:J57)</f>
        <v>228732.49999999997</v>
      </c>
      <c r="K18" s="80">
        <f>SUM('Quarter dependency &amp; low carbon'!K54:K57)</f>
        <v>159810.31</v>
      </c>
      <c r="L18" s="80">
        <f>SUM('Quarter dependency &amp; low carbon'!L54:L57)</f>
        <v>-91082.540000000008</v>
      </c>
      <c r="M18" s="80">
        <f>SUM('Quarter dependency &amp; low carbon'!M54:M57)</f>
        <v>68727.769999999975</v>
      </c>
      <c r="N18" s="80">
        <f>SUM('Quarter dependency &amp; low carbon'!N54:N57)</f>
        <v>-2952.1499999999996</v>
      </c>
      <c r="O18" s="80">
        <f>SUM('Quarter dependency &amp; low carbon'!O54:O57)</f>
        <v>231684.64999999997</v>
      </c>
      <c r="P18" s="85">
        <f t="shared" si="2"/>
        <v>0.29664360586685384</v>
      </c>
    </row>
    <row r="19" spans="1:16" x14ac:dyDescent="0.35">
      <c r="A19" s="90">
        <v>2011</v>
      </c>
      <c r="B19" s="80">
        <f>SUM('Quarter dependency &amp; low carbon'!B58:B61)</f>
        <v>204221.97</v>
      </c>
      <c r="C19" s="80">
        <f>SUM('Quarter dependency &amp; low carbon'!C58:C61)</f>
        <v>186516.58000000002</v>
      </c>
      <c r="D19" s="80">
        <f>SUM('Quarter dependency &amp; low carbon'!D58:D61)</f>
        <v>8154.41</v>
      </c>
      <c r="E19" s="80">
        <f>SUM('Quarter dependency &amp; low carbon'!E58:E61)</f>
        <v>178362.17</v>
      </c>
      <c r="F19" s="80">
        <f>SUM('Quarter dependency &amp; low carbon'!F58:F61)</f>
        <v>534.99</v>
      </c>
      <c r="G19" s="80">
        <f>SUM('Quarter dependency &amp; low carbon'!G58:G61)</f>
        <v>567.88</v>
      </c>
      <c r="H19" s="81">
        <f t="shared" si="0"/>
        <v>0.87337405471115581</v>
      </c>
      <c r="I19" s="85">
        <f t="shared" si="1"/>
        <v>0.12122559585533321</v>
      </c>
      <c r="J19" s="80">
        <f>SUM('Quarter dependency &amp; low carbon'!J58:J61)</f>
        <v>212376.37999999998</v>
      </c>
      <c r="K19" s="80">
        <f>SUM('Quarter dependency &amp; low carbon'!K58:K61)</f>
        <v>164301.32999999999</v>
      </c>
      <c r="L19" s="80">
        <f>SUM('Quarter dependency &amp; low carbon'!L58:L61)</f>
        <v>-83925.069999999992</v>
      </c>
      <c r="M19" s="80">
        <f>SUM('Quarter dependency &amp; low carbon'!M58:M61)</f>
        <v>80376.259999999995</v>
      </c>
      <c r="N19" s="80">
        <f>SUM('Quarter dependency &amp; low carbon'!N58:N61)</f>
        <v>-3154.75</v>
      </c>
      <c r="O19" s="80">
        <f>SUM('Quarter dependency &amp; low carbon'!O58:O61)</f>
        <v>215531.13</v>
      </c>
      <c r="P19" s="85">
        <f t="shared" si="2"/>
        <v>0.37292181412494796</v>
      </c>
    </row>
    <row r="20" spans="1:16" x14ac:dyDescent="0.35">
      <c r="A20" s="90">
        <v>2012</v>
      </c>
      <c r="B20" s="80">
        <f>SUM('Quarter dependency &amp; low carbon'!B62:B65)</f>
        <v>208615.68000000002</v>
      </c>
      <c r="C20" s="80">
        <f>SUM('Quarter dependency &amp; low carbon'!C62:C65)</f>
        <v>189328.62999999998</v>
      </c>
      <c r="D20" s="80">
        <f>SUM('Quarter dependency &amp; low carbon'!D62:D65)</f>
        <v>7319.5399999999991</v>
      </c>
      <c r="E20" s="80">
        <f>SUM('Quarter dependency &amp; low carbon'!E62:E65)</f>
        <v>182009.09000000003</v>
      </c>
      <c r="F20" s="80">
        <f>SUM('Quarter dependency &amp; low carbon'!F62:F65)</f>
        <v>1020.11</v>
      </c>
      <c r="G20" s="80">
        <f>SUM('Quarter dependency &amp; low carbon'!G62:G65)</f>
        <v>664.4</v>
      </c>
      <c r="H20" s="81">
        <f t="shared" si="0"/>
        <v>0.87246121672158106</v>
      </c>
      <c r="I20" s="85">
        <f t="shared" si="1"/>
        <v>0.11946407863493302</v>
      </c>
      <c r="J20" s="80">
        <f>SUM('Quarter dependency &amp; low carbon'!J62:J65)</f>
        <v>215935.22000000003</v>
      </c>
      <c r="K20" s="80">
        <f>SUM('Quarter dependency &amp; low carbon'!K62:K65)</f>
        <v>176374.77</v>
      </c>
      <c r="L20" s="80">
        <f>SUM('Quarter dependency &amp; low carbon'!L62:L65)</f>
        <v>-80194.37999999999</v>
      </c>
      <c r="M20" s="80">
        <f>SUM('Quarter dependency &amp; low carbon'!M62:M65)</f>
        <v>96180.39</v>
      </c>
      <c r="N20" s="80">
        <f>SUM('Quarter dependency &amp; low carbon'!N62:N65)</f>
        <v>-2807.71</v>
      </c>
      <c r="O20" s="80">
        <f>SUM('Quarter dependency &amp; low carbon'!O62:O65)</f>
        <v>218742.93</v>
      </c>
      <c r="P20" s="85">
        <f t="shared" si="2"/>
        <v>0.43969599383166352</v>
      </c>
    </row>
    <row r="21" spans="1:16" x14ac:dyDescent="0.35">
      <c r="A21" s="90">
        <v>2013</v>
      </c>
      <c r="B21" s="80">
        <f>SUM('Quarter dependency &amp; low carbon'!B66:B69)</f>
        <v>207448.79</v>
      </c>
      <c r="C21" s="80">
        <f>SUM('Quarter dependency &amp; low carbon'!C66:C69)</f>
        <v>185611.56</v>
      </c>
      <c r="D21" s="80">
        <f>SUM('Quarter dependency &amp; low carbon'!D66:D69)</f>
        <v>6970.51</v>
      </c>
      <c r="E21" s="80">
        <f>SUM('Quarter dependency &amp; low carbon'!E66:E69)</f>
        <v>178641.05</v>
      </c>
      <c r="F21" s="80">
        <f>SUM('Quarter dependency &amp; low carbon'!F66:F69)</f>
        <v>1240.83</v>
      </c>
      <c r="G21" s="80">
        <f>SUM('Quarter dependency &amp; low carbon'!G66:G69)</f>
        <v>667.8</v>
      </c>
      <c r="H21" s="81">
        <f t="shared" si="0"/>
        <v>0.8611332464267446</v>
      </c>
      <c r="I21" s="85">
        <f t="shared" si="1"/>
        <v>0.12966626606980958</v>
      </c>
      <c r="J21" s="80">
        <f>SUM('Quarter dependency &amp; low carbon'!J66:J69)</f>
        <v>214419.3</v>
      </c>
      <c r="K21" s="80">
        <f>SUM('Quarter dependency &amp; low carbon'!K66:K69)</f>
        <v>180700.6</v>
      </c>
      <c r="L21" s="80">
        <f>SUM('Quarter dependency &amp; low carbon'!L66:L69)</f>
        <v>-75967.26999999999</v>
      </c>
      <c r="M21" s="80">
        <f>SUM('Quarter dependency &amp; low carbon'!M66:M69)</f>
        <v>104733.33</v>
      </c>
      <c r="N21" s="80">
        <f>SUM('Quarter dependency &amp; low carbon'!N66:N69)</f>
        <v>-2882.97</v>
      </c>
      <c r="O21" s="80">
        <f>SUM('Quarter dependency &amp; low carbon'!O66:O69)</f>
        <v>217302.27</v>
      </c>
      <c r="P21" s="85">
        <f t="shared" si="2"/>
        <v>0.48197071296125904</v>
      </c>
    </row>
    <row r="22" spans="1:16" x14ac:dyDescent="0.35">
      <c r="A22" s="90">
        <v>2014</v>
      </c>
      <c r="B22" s="80">
        <f>SUM('Quarter dependency &amp; low carbon'!B70:B73)</f>
        <v>194370.77000000002</v>
      </c>
      <c r="C22" s="80">
        <f>SUM('Quarter dependency &amp; low carbon'!C70:C73)</f>
        <v>171420.81999999998</v>
      </c>
      <c r="D22" s="80">
        <f>SUM('Quarter dependency &amp; low carbon'!D70:D73)</f>
        <v>6978.92</v>
      </c>
      <c r="E22" s="80">
        <f>SUM('Quarter dependency &amp; low carbon'!E70:E73)</f>
        <v>164441.9</v>
      </c>
      <c r="F22" s="80">
        <f>SUM('Quarter dependency &amp; low carbon'!F70:F73)</f>
        <v>1764.3899999999999</v>
      </c>
      <c r="G22" s="80">
        <f>SUM('Quarter dependency &amp; low carbon'!G70:G73)</f>
        <v>846.84</v>
      </c>
      <c r="H22" s="81">
        <f t="shared" si="0"/>
        <v>0.84602175522584999</v>
      </c>
      <c r="I22" s="85">
        <f t="shared" si="1"/>
        <v>0.14054397170932653</v>
      </c>
      <c r="J22" s="80">
        <f>SUM('Quarter dependency &amp; low carbon'!J70:J73)</f>
        <v>201349.69</v>
      </c>
      <c r="K22" s="80">
        <f>SUM('Quarter dependency &amp; low carbon'!K70:K73)</f>
        <v>166707.31</v>
      </c>
      <c r="L22" s="80">
        <f>SUM('Quarter dependency &amp; low carbon'!L70:L73)</f>
        <v>-70657.83</v>
      </c>
      <c r="M22" s="80">
        <f>SUM('Quarter dependency &amp; low carbon'!M70:M73)</f>
        <v>96049.48000000001</v>
      </c>
      <c r="N22" s="80">
        <f>SUM('Quarter dependency &amp; low carbon'!N70:N73)</f>
        <v>-2810.17</v>
      </c>
      <c r="O22" s="80">
        <f>SUM('Quarter dependency &amp; low carbon'!O70:O73)</f>
        <v>204159.86000000002</v>
      </c>
      <c r="P22" s="85">
        <f t="shared" si="2"/>
        <v>0.47046211728397541</v>
      </c>
    </row>
    <row r="23" spans="1:16" x14ac:dyDescent="0.35">
      <c r="A23" s="90">
        <v>2015</v>
      </c>
      <c r="B23" s="80">
        <f>SUM('Quarter dependency &amp; low carbon'!B74:B77)</f>
        <v>194706.75</v>
      </c>
      <c r="C23" s="80">
        <f>SUM('Quarter dependency &amp; low carbon'!C74:C77)</f>
        <v>168651.12</v>
      </c>
      <c r="D23" s="80">
        <f>SUM('Quarter dependency &amp; low carbon'!D74:D77)</f>
        <v>8328.619999999999</v>
      </c>
      <c r="E23" s="80">
        <f>SUM('Quarter dependency &amp; low carbon'!E74:E77)</f>
        <v>160322.5</v>
      </c>
      <c r="F23" s="80">
        <f>SUM('Quarter dependency &amp; low carbon'!F74:F77)</f>
        <v>1814.7399999999998</v>
      </c>
      <c r="G23" s="80">
        <f>SUM('Quarter dependency &amp; low carbon'!G74:G77)</f>
        <v>1048.96</v>
      </c>
      <c r="H23" s="81">
        <f t="shared" si="0"/>
        <v>0.82340494102027795</v>
      </c>
      <c r="I23" s="85">
        <f t="shared" si="1"/>
        <v>0.16188729974692717</v>
      </c>
      <c r="J23" s="80">
        <f>SUM('Quarter dependency &amp; low carbon'!J74:J77)</f>
        <v>203035.37</v>
      </c>
      <c r="K23" s="80">
        <f>SUM('Quarter dependency &amp; low carbon'!K74:K77)</f>
        <v>155008.02000000002</v>
      </c>
      <c r="L23" s="80">
        <f>SUM('Quarter dependency &amp; low carbon'!L74:L77)</f>
        <v>-76202.069999999992</v>
      </c>
      <c r="M23" s="80">
        <f>SUM('Quarter dependency &amp; low carbon'!M74:M77)</f>
        <v>78805.950000000012</v>
      </c>
      <c r="N23" s="80">
        <f>SUM('Quarter dependency &amp; low carbon'!N74:N77)</f>
        <v>-2683.59</v>
      </c>
      <c r="O23" s="80">
        <f>SUM('Quarter dependency &amp; low carbon'!O74:O77)</f>
        <v>205718.96</v>
      </c>
      <c r="P23" s="85">
        <f t="shared" si="2"/>
        <v>0.38307577483378302</v>
      </c>
    </row>
    <row r="24" spans="1:16" x14ac:dyDescent="0.35">
      <c r="A24" s="90">
        <v>2016</v>
      </c>
      <c r="B24" s="80">
        <f>SUM('Quarter dependency &amp; low carbon'!B78:B81)</f>
        <v>191407.8</v>
      </c>
      <c r="C24" s="80">
        <f>SUM('Quarter dependency &amp; low carbon'!C78:C81)</f>
        <v>164747.08000000002</v>
      </c>
      <c r="D24" s="80">
        <f>SUM('Quarter dependency &amp; low carbon'!D78:D81)</f>
        <v>8331.34</v>
      </c>
      <c r="E24" s="80">
        <f>SUM('Quarter dependency &amp; low carbon'!E78:E81)</f>
        <v>156415.74</v>
      </c>
      <c r="F24" s="80">
        <f>SUM('Quarter dependency &amp; low carbon'!F78:F81)</f>
        <v>1525.8</v>
      </c>
      <c r="G24" s="80">
        <f>SUM('Quarter dependency &amp; low carbon'!G78:G81)</f>
        <v>1267.72</v>
      </c>
      <c r="H24" s="81">
        <f t="shared" si="0"/>
        <v>0.81718582001360451</v>
      </c>
      <c r="I24" s="85">
        <f t="shared" si="1"/>
        <v>0.16821958143816507</v>
      </c>
      <c r="J24" s="80">
        <f>SUM('Quarter dependency &amp; low carbon'!J78:J81)</f>
        <v>199739.13999999998</v>
      </c>
      <c r="K24" s="80">
        <f>SUM('Quarter dependency &amp; low carbon'!K78:K81)</f>
        <v>149103.79</v>
      </c>
      <c r="L24" s="80">
        <f>SUM('Quarter dependency &amp; low carbon'!L78:L81)</f>
        <v>-75914.92</v>
      </c>
      <c r="M24" s="80">
        <f>SUM('Quarter dependency &amp; low carbon'!M78:M81)</f>
        <v>73188.87</v>
      </c>
      <c r="N24" s="80">
        <f>SUM('Quarter dependency &amp; low carbon'!N78:N81)</f>
        <v>-2840.4500000000003</v>
      </c>
      <c r="O24" s="80">
        <f>SUM('Quarter dependency &amp; low carbon'!O78:O81)</f>
        <v>202579.59</v>
      </c>
      <c r="P24" s="85">
        <f t="shared" si="2"/>
        <v>0.36128452032112413</v>
      </c>
    </row>
    <row r="25" spans="1:16" x14ac:dyDescent="0.35">
      <c r="A25" s="90">
        <v>2017</v>
      </c>
      <c r="B25" s="80">
        <f>SUM('Quarter dependency &amp; low carbon'!B82:B85)</f>
        <v>190696.3</v>
      </c>
      <c r="C25" s="80">
        <f>SUM('Quarter dependency &amp; low carbon'!C82:C85)</f>
        <v>162890.66999999998</v>
      </c>
      <c r="D25" s="80">
        <f>SUM('Quarter dependency &amp; low carbon'!D82:D85)</f>
        <v>8574.2200000000012</v>
      </c>
      <c r="E25" s="80">
        <f>SUM('Quarter dependency &amp; low carbon'!E82:E85)</f>
        <v>154316.44999999998</v>
      </c>
      <c r="F25" s="80">
        <f>SUM('Quarter dependency &amp; low carbon'!F82:F85)</f>
        <v>1269.1299999999999</v>
      </c>
      <c r="G25" s="80">
        <f>SUM('Quarter dependency &amp; low carbon'!G82:G85)</f>
        <v>1358.72</v>
      </c>
      <c r="H25" s="81">
        <f t="shared" ref="H25:H31" si="3">SUM(E25/B25)</f>
        <v>0.80922624088668738</v>
      </c>
      <c r="I25" s="85">
        <f t="shared" si="1"/>
        <v>0.17699347077001493</v>
      </c>
      <c r="J25" s="80">
        <f>SUM('Quarter dependency &amp; low carbon'!J82:J85)</f>
        <v>199270.52000000002</v>
      </c>
      <c r="K25" s="80">
        <f>SUM('Quarter dependency &amp; low carbon'!K82:K85)</f>
        <v>152276.37</v>
      </c>
      <c r="L25" s="80">
        <f>SUM('Quarter dependency &amp; low carbon'!L82:L85)</f>
        <v>-79240.289999999994</v>
      </c>
      <c r="M25" s="80">
        <f>SUM('Quarter dependency &amp; low carbon'!M82:M85)</f>
        <v>73036.08</v>
      </c>
      <c r="N25" s="80">
        <f>SUM('Quarter dependency &amp; low carbon'!N82:N85)</f>
        <v>-2618.67</v>
      </c>
      <c r="O25" s="80">
        <f>SUM('Quarter dependency &amp; low carbon'!O82:O85)</f>
        <v>201889.19</v>
      </c>
      <c r="P25" s="85">
        <f t="shared" si="2"/>
        <v>0.36176320287381408</v>
      </c>
    </row>
    <row r="26" spans="1:16" x14ac:dyDescent="0.35">
      <c r="A26" s="90">
        <v>2018</v>
      </c>
      <c r="B26" s="80">
        <f>SUM('Quarter dependency &amp; low carbon'!B86:B89)</f>
        <v>190526.5</v>
      </c>
      <c r="C26" s="80">
        <f>SUM('Quarter dependency &amp; low carbon'!C86:C89)</f>
        <v>160532.34</v>
      </c>
      <c r="D26" s="80">
        <f>SUM('Quarter dependency &amp; low carbon'!D86:D89)</f>
        <v>8256.0400000000009</v>
      </c>
      <c r="E26" s="80">
        <f>SUM('Quarter dependency &amp; low carbon'!E86:E89)</f>
        <v>152276.29999999999</v>
      </c>
      <c r="F26" s="80">
        <f>SUM('Quarter dependency &amp; low carbon'!F86:F89)</f>
        <v>1642.97</v>
      </c>
      <c r="G26" s="80">
        <f>SUM('Quarter dependency &amp; low carbon'!G86:G89)</f>
        <v>1545.24</v>
      </c>
      <c r="H26" s="81">
        <f t="shared" si="3"/>
        <v>0.79923947587343491</v>
      </c>
      <c r="I26" s="85">
        <f t="shared" si="1"/>
        <v>0.18402684141051251</v>
      </c>
      <c r="J26" s="80">
        <f>SUM('Quarter dependency &amp; low carbon'!J86:J89)</f>
        <v>198782.54</v>
      </c>
      <c r="K26" s="80">
        <f>SUM('Quarter dependency &amp; low carbon'!K86:K89)</f>
        <v>153795.13</v>
      </c>
      <c r="L26" s="80">
        <f>SUM('Quarter dependency &amp; low carbon'!L86:L89)</f>
        <v>-81263.03</v>
      </c>
      <c r="M26" s="80">
        <f>SUM('Quarter dependency &amp; low carbon'!M86:M89)</f>
        <v>72532.100000000006</v>
      </c>
      <c r="N26" s="80">
        <f>SUM('Quarter dependency &amp; low carbon'!N86:N89)</f>
        <v>-2615.4499999999998</v>
      </c>
      <c r="O26" s="80">
        <f>SUM('Quarter dependency &amp; low carbon'!O86:O89)</f>
        <v>201397.99</v>
      </c>
      <c r="P26" s="85">
        <f t="shared" si="2"/>
        <v>0.36014311761502688</v>
      </c>
    </row>
    <row r="27" spans="1:16" x14ac:dyDescent="0.35">
      <c r="A27" s="90">
        <v>2019</v>
      </c>
      <c r="B27" s="80">
        <f>SUM('Quarter dependency &amp; low carbon'!B90:B93)</f>
        <v>183865.89</v>
      </c>
      <c r="C27" s="80">
        <f>SUM('Quarter dependency &amp; low carbon'!C90:C93)</f>
        <v>153180.78</v>
      </c>
      <c r="D27" s="80">
        <f>SUM('Quarter dependency &amp; low carbon'!D90:D93)</f>
        <v>7285.51</v>
      </c>
      <c r="E27" s="80">
        <f>SUM('Quarter dependency &amp; low carbon'!E90:E93)</f>
        <v>145895.27000000002</v>
      </c>
      <c r="F27" s="80">
        <f>SUM('Quarter dependency &amp; low carbon'!F90:F93)</f>
        <v>1820.33</v>
      </c>
      <c r="G27" s="80">
        <f>SUM('Quarter dependency &amp; low carbon'!G90:G93)</f>
        <v>1697</v>
      </c>
      <c r="H27" s="81">
        <f t="shared" si="3"/>
        <v>0.79348741629021025</v>
      </c>
      <c r="I27" s="85">
        <f t="shared" ref="I27:I32" si="4">IF((F27+G27)&gt;0,1-(E27+F27+G27)/B27,1-H27)</f>
        <v>0.18738271682692209</v>
      </c>
      <c r="J27" s="80">
        <f>SUM('Quarter dependency &amp; low carbon'!J90:J93)</f>
        <v>191151.40000000002</v>
      </c>
      <c r="K27" s="80">
        <f>SUM('Quarter dependency &amp; low carbon'!K90:K93)</f>
        <v>146935.31</v>
      </c>
      <c r="L27" s="80">
        <f>SUM('Quarter dependency &amp; low carbon'!L90:L93)</f>
        <v>-80764.28</v>
      </c>
      <c r="M27" s="80">
        <f>SUM('Quarter dependency &amp; low carbon'!M90:M93)</f>
        <v>66171.03</v>
      </c>
      <c r="N27" s="80">
        <f>SUM('Quarter dependency &amp; low carbon'!N90:N93)</f>
        <v>-2436.7800000000002</v>
      </c>
      <c r="O27" s="80">
        <f>SUM('Quarter dependency &amp; low carbon'!O90:O93)</f>
        <v>193588.18</v>
      </c>
      <c r="P27" s="85">
        <f t="shared" ref="P27:P32" si="5">SUM(M27/O27)</f>
        <v>0.34181337930859207</v>
      </c>
    </row>
    <row r="28" spans="1:16" x14ac:dyDescent="0.35">
      <c r="A28" s="90">
        <v>2020</v>
      </c>
      <c r="B28" s="80">
        <f>SUM('Quarter dependency &amp; low carbon'!B94:B97)</f>
        <v>164693.68</v>
      </c>
      <c r="C28" s="80">
        <f>SUM('Quarter dependency &amp; low carbon'!C94:C97)</f>
        <v>133835.51</v>
      </c>
      <c r="D28" s="80">
        <f>SUM('Quarter dependency &amp; low carbon'!D94:D97)</f>
        <v>7061.76</v>
      </c>
      <c r="E28" s="80">
        <f>SUM('Quarter dependency &amp; low carbon'!E94:E97)</f>
        <v>126773.75</v>
      </c>
      <c r="F28" s="80">
        <f>SUM('Quarter dependency &amp; low carbon'!F94:F97)</f>
        <v>1539.96</v>
      </c>
      <c r="G28" s="80">
        <f>SUM('Quarter dependency &amp; low carbon'!G94:G97)</f>
        <v>1759.2</v>
      </c>
      <c r="H28" s="81">
        <f t="shared" si="3"/>
        <v>0.76975479569100647</v>
      </c>
      <c r="I28" s="85">
        <f t="shared" si="4"/>
        <v>0.21021310593096221</v>
      </c>
      <c r="J28" s="80">
        <f>SUM('Quarter dependency &amp; low carbon'!J94:J97)</f>
        <v>171755.44</v>
      </c>
      <c r="K28" s="80">
        <f>SUM('Quarter dependency &amp; low carbon'!K94:K97)</f>
        <v>123976.45999999999</v>
      </c>
      <c r="L28" s="80">
        <f>SUM('Quarter dependency &amp; low carbon'!L94:L97)</f>
        <v>-74676.290000000008</v>
      </c>
      <c r="M28" s="80">
        <f>SUM('Quarter dependency &amp; low carbon'!M94:M97)</f>
        <v>49300.17</v>
      </c>
      <c r="N28" s="80">
        <f>SUM('Quarter dependency &amp; low carbon'!N94:N97)</f>
        <v>-2009.57</v>
      </c>
      <c r="O28" s="80">
        <f>SUM('Quarter dependency &amp; low carbon'!O94:O97)</f>
        <v>173765.01</v>
      </c>
      <c r="P28" s="85">
        <f t="shared" si="5"/>
        <v>0.28371747568742406</v>
      </c>
    </row>
    <row r="29" spans="1:16" x14ac:dyDescent="0.35">
      <c r="A29" s="90">
        <v>2021</v>
      </c>
      <c r="B29" s="80">
        <f>SUM('Quarter dependency &amp; low carbon'!B98:B101)</f>
        <v>170652.97</v>
      </c>
      <c r="C29" s="80">
        <f>SUM('Quarter dependency &amp; low carbon'!C98:C101)</f>
        <v>138668.28</v>
      </c>
      <c r="D29" s="80">
        <f>SUM('Quarter dependency &amp; low carbon'!D98:D101)</f>
        <v>5622.0299999999988</v>
      </c>
      <c r="E29" s="80">
        <f>SUM('Quarter dependency &amp; low carbon'!E98:E101)</f>
        <v>133046.25</v>
      </c>
      <c r="F29" s="80">
        <f>SUM('Quarter dependency &amp; low carbon'!F98:F101)</f>
        <v>2117.3199999999997</v>
      </c>
      <c r="G29" s="80">
        <f>SUM('Quarter dependency &amp; low carbon'!G98:G101)</f>
        <v>1975.04</v>
      </c>
      <c r="H29" s="81">
        <f t="shared" si="3"/>
        <v>0.77963043948194988</v>
      </c>
      <c r="I29" s="85">
        <f t="shared" si="4"/>
        <v>0.19638896410651385</v>
      </c>
      <c r="J29" s="80">
        <f>SUM('Quarter dependency &amp; low carbon'!J98:J101)</f>
        <v>176275</v>
      </c>
      <c r="K29" s="80">
        <f>SUM('Quarter dependency &amp; low carbon'!K98:K101)</f>
        <v>133651.88</v>
      </c>
      <c r="L29" s="80">
        <f>SUM('Quarter dependency &amp; low carbon'!L98:L101)</f>
        <v>-65887.42</v>
      </c>
      <c r="M29" s="80">
        <f>SUM('Quarter dependency &amp; low carbon'!M98:M101)</f>
        <v>67764.460000000006</v>
      </c>
      <c r="N29" s="80">
        <f>SUM('Quarter dependency &amp; low carbon'!N98:N101)</f>
        <v>-2071.19</v>
      </c>
      <c r="O29" s="80">
        <f>SUM('Quarter dependency &amp; low carbon'!O98:O101)</f>
        <v>178346.19</v>
      </c>
      <c r="P29" s="85">
        <f t="shared" si="5"/>
        <v>0.37996023352110864</v>
      </c>
    </row>
    <row r="30" spans="1:16" x14ac:dyDescent="0.35">
      <c r="A30" s="90">
        <v>2022</v>
      </c>
      <c r="B30" s="80">
        <f>SUM('Quarter dependency &amp; low carbon'!B102:B105)</f>
        <v>168216.93</v>
      </c>
      <c r="C30" s="80">
        <f>SUM('Quarter dependency &amp; low carbon'!C102:C105)</f>
        <v>136683.36000000002</v>
      </c>
      <c r="D30" s="80">
        <f>SUM('Quarter dependency &amp; low carbon'!D102:D105)</f>
        <v>5084.21</v>
      </c>
      <c r="E30" s="80">
        <f>SUM('Quarter dependency &amp; low carbon'!E102:E105)</f>
        <v>131599.15000000002</v>
      </c>
      <c r="F30" s="80">
        <f>SUM('Quarter dependency &amp; low carbon'!F102:F105)</f>
        <v>-456.54</v>
      </c>
      <c r="G30" s="80">
        <f>SUM('Quarter dependency &amp; low carbon'!G102:G105)</f>
        <v>2090.92</v>
      </c>
      <c r="H30" s="81">
        <f t="shared" si="3"/>
        <v>0.78231810555572512</v>
      </c>
      <c r="I30" s="85">
        <f t="shared" si="4"/>
        <v>0.20796598772787001</v>
      </c>
      <c r="J30" s="80">
        <f>SUM('Quarter dependency &amp; low carbon'!J102:J105)</f>
        <v>173301.13999999998</v>
      </c>
      <c r="K30" s="80">
        <f>SUM('Quarter dependency &amp; low carbon'!K102:K105)</f>
        <v>146513.20000000001</v>
      </c>
      <c r="L30" s="80">
        <f>SUM('Quarter dependency &amp; low carbon'!L102:L105)</f>
        <v>-82027.45</v>
      </c>
      <c r="M30" s="80">
        <f>SUM('Quarter dependency &amp; low carbon'!M102:M105)</f>
        <v>64485.750000000015</v>
      </c>
      <c r="N30" s="80">
        <f>SUM('Quarter dependency &amp; low carbon'!N102:N105)</f>
        <v>-2094.36</v>
      </c>
      <c r="O30" s="80">
        <f>SUM('Quarter dependency &amp; low carbon'!O102:O105)</f>
        <v>175395.5</v>
      </c>
      <c r="P30" s="85">
        <f t="shared" si="5"/>
        <v>0.36765909045557049</v>
      </c>
    </row>
    <row r="31" spans="1:16" x14ac:dyDescent="0.35">
      <c r="A31" s="90">
        <v>2023</v>
      </c>
      <c r="B31" s="80">
        <f>SUM('Quarter dependency &amp; low carbon'!B106:B109)</f>
        <v>163768.41999999998</v>
      </c>
      <c r="C31" s="80">
        <f>SUM('Quarter dependency &amp; low carbon'!C106:C109)</f>
        <v>129976.78</v>
      </c>
      <c r="D31" s="80">
        <f>SUM('Quarter dependency &amp; low carbon'!D106:D109)</f>
        <v>4474.58</v>
      </c>
      <c r="E31" s="80">
        <f>SUM('Quarter dependency &amp; low carbon'!E106:E109)</f>
        <v>125502.19999999998</v>
      </c>
      <c r="F31" s="80">
        <f>SUM('Quarter dependency &amp; low carbon'!F106:F109)</f>
        <v>2049.3199999999997</v>
      </c>
      <c r="G31" s="80">
        <f>SUM('Quarter dependency &amp; low carbon'!G106:G109)</f>
        <v>2219.04</v>
      </c>
      <c r="H31" s="81">
        <f t="shared" si="3"/>
        <v>0.76633944444234114</v>
      </c>
      <c r="I31" s="85">
        <f t="shared" si="4"/>
        <v>0.20759716677977358</v>
      </c>
      <c r="J31" s="80">
        <f>SUM('Quarter dependency &amp; low carbon'!J106:J109)</f>
        <v>168243</v>
      </c>
      <c r="K31" s="80">
        <f>SUM('Quarter dependency &amp; low carbon'!K106:K109)</f>
        <v>136526.57999999999</v>
      </c>
      <c r="L31" s="80">
        <f>SUM('Quarter dependency &amp; low carbon'!L106:L109)</f>
        <v>-67826.200000000012</v>
      </c>
      <c r="M31" s="80">
        <f>SUM('Quarter dependency &amp; low carbon'!M106:M109)</f>
        <v>68700.379999999976</v>
      </c>
      <c r="N31" s="80">
        <f>SUM('Quarter dependency &amp; low carbon'!N106:N109)</f>
        <v>-2086.38</v>
      </c>
      <c r="O31" s="80">
        <f>SUM('Quarter dependency &amp; low carbon'!O106:O109)</f>
        <v>170329.37999999998</v>
      </c>
      <c r="P31" s="85">
        <f t="shared" si="5"/>
        <v>0.40333840233552182</v>
      </c>
    </row>
    <row r="32" spans="1:16" x14ac:dyDescent="0.35">
      <c r="A32" s="90">
        <v>2024</v>
      </c>
      <c r="B32" s="80">
        <f>SUM('Quarter dependency &amp; low carbon'!B110:B113)</f>
        <v>164418.51999999999</v>
      </c>
      <c r="C32" s="80">
        <f>SUM('Quarter dependency &amp; low carbon'!C110:C113)</f>
        <v>128136.09999999998</v>
      </c>
      <c r="D32" s="80">
        <f>SUM('Quarter dependency &amp; low carbon'!D110:D113)</f>
        <v>4534.6400000000003</v>
      </c>
      <c r="E32" s="80">
        <f>SUM('Quarter dependency &amp; low carbon'!E110:E113)</f>
        <v>123601.45999999999</v>
      </c>
      <c r="F32" s="80">
        <f>SUM('Quarter dependency &amp; low carbon'!F110:F113)</f>
        <v>2872.5400000000004</v>
      </c>
      <c r="G32" s="80">
        <f>SUM('Quarter dependency &amp; low carbon'!G110:G113)</f>
        <v>2274.96</v>
      </c>
      <c r="H32" s="81">
        <f>SUM(E32/B32)</f>
        <v>0.75174901221589874</v>
      </c>
      <c r="I32" s="85">
        <f t="shared" si="4"/>
        <v>0.21694368736563252</v>
      </c>
      <c r="J32" s="80">
        <f>SUM('Quarter dependency &amp; low carbon'!J110:J113)</f>
        <v>168953.15999999997</v>
      </c>
      <c r="K32" s="80">
        <f>SUM('Quarter dependency &amp; low carbon'!K110:K113)</f>
        <v>138919.97</v>
      </c>
      <c r="L32" s="80">
        <f>SUM('Quarter dependency &amp; low carbon'!L110:L113)</f>
        <v>-64075.96</v>
      </c>
      <c r="M32" s="80">
        <f>SUM('Quarter dependency &amp; low carbon'!M110:M113)</f>
        <v>74844.010000000009</v>
      </c>
      <c r="N32" s="80">
        <f>SUM('Quarter dependency &amp; low carbon'!N110:N113)</f>
        <v>-2054.96</v>
      </c>
      <c r="O32" s="80">
        <f>SUM('Quarter dependency &amp; low carbon'!O110:O113)</f>
        <v>171008.12</v>
      </c>
      <c r="P32" s="85">
        <f t="shared" si="5"/>
        <v>0.43766348638883351</v>
      </c>
    </row>
    <row r="33" spans="1:16" x14ac:dyDescent="0.35">
      <c r="A33" s="90" t="s">
        <v>524</v>
      </c>
      <c r="B33" s="80">
        <f>SUM('Quarter dependency &amp; low carbon'!B114:B117)</f>
        <v>162029.87</v>
      </c>
      <c r="C33" s="80">
        <f>SUM('Quarter dependency &amp; low carbon'!C114:C117)</f>
        <v>126130.11000000002</v>
      </c>
      <c r="D33" s="80">
        <f>SUM('Quarter dependency &amp; low carbon'!D114:D117)</f>
        <v>4216.74</v>
      </c>
      <c r="E33" s="80">
        <f>SUM('Quarter dependency &amp; low carbon'!E114:E117)</f>
        <v>121913.37</v>
      </c>
      <c r="F33" s="80">
        <f>SUM('Quarter dependency &amp; low carbon'!F114:F117)</f>
        <v>2556.29</v>
      </c>
      <c r="G33" s="80">
        <f>SUM('Quarter dependency &amp; low carbon'!G114:G117)</f>
        <v>2274.96</v>
      </c>
      <c r="H33" s="81">
        <f>SUM(E33/B33)</f>
        <v>0.75241293472617121</v>
      </c>
      <c r="I33" s="85">
        <f t="shared" ref="I33" si="6">IF((F33+G33)&gt;0,1-(E33+F33+G33)/B33,1-H33)</f>
        <v>0.2177700321551822</v>
      </c>
      <c r="J33" s="80">
        <f>SUM('Quarter dependency &amp; low carbon'!J114:J117)</f>
        <v>166246.61000000002</v>
      </c>
      <c r="K33" s="80">
        <f>SUM('Quarter dependency &amp; low carbon'!K114:K117)</f>
        <v>136146.69</v>
      </c>
      <c r="L33" s="80">
        <f>SUM('Quarter dependency &amp; low carbon'!L114:L117)</f>
        <v>-62966.990000000005</v>
      </c>
      <c r="M33" s="80">
        <f>SUM('Quarter dependency &amp; low carbon'!M114:M117)</f>
        <v>73179.7</v>
      </c>
      <c r="N33" s="80">
        <f>SUM('Quarter dependency &amp; low carbon'!N114:N117)</f>
        <v>-1919.7400000000002</v>
      </c>
      <c r="O33" s="80">
        <f>SUM('Quarter dependency &amp; low carbon'!O114:O117)</f>
        <v>168166.35000000003</v>
      </c>
      <c r="P33" s="85">
        <f t="shared" ref="P33" si="7">SUM(M33/O33)</f>
        <v>0.43516256373525369</v>
      </c>
    </row>
    <row r="35" spans="1:16" x14ac:dyDescent="0.35">
      <c r="H35" s="79"/>
    </row>
  </sheetData>
  <pageMargins left="0.7" right="0.7" top="0.75" bottom="0.75" header="0.3" footer="0.3"/>
  <pageSetup paperSize="9" orientation="portrait" r:id="rId1"/>
  <ignoredErrors>
    <ignoredError sqref="G6:G33" formulaRange="1"/>
  </ignoredErrors>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5EA3-E57C-47B2-961B-4A2F265D8DD8}">
  <dimension ref="A1:P117"/>
  <sheetViews>
    <sheetView showGridLines="0" zoomScaleNormal="100" workbookViewId="0">
      <pane xSplit="1" ySplit="5" topLeftCell="B110" activePane="bottomRight" state="frozen"/>
      <selection pane="topRight"/>
      <selection pane="bottomLeft"/>
      <selection pane="bottomRight" activeCell="B110" sqref="B110"/>
    </sheetView>
  </sheetViews>
  <sheetFormatPr defaultRowHeight="15.5" x14ac:dyDescent="0.35"/>
  <cols>
    <col min="1" max="1" width="27.26953125" style="39" bestFit="1" customWidth="1"/>
    <col min="2" max="2" width="24.54296875" style="82" bestFit="1" customWidth="1"/>
    <col min="3" max="3" width="27.1796875" style="39" customWidth="1"/>
    <col min="4" max="4" width="24.7265625" style="39" customWidth="1"/>
    <col min="5" max="5" width="27.1796875" style="39" customWidth="1"/>
    <col min="6" max="6" width="21.453125" style="39" customWidth="1"/>
    <col min="7" max="7" width="25.7265625" style="39" bestFit="1" customWidth="1"/>
    <col min="8" max="8" width="23.7265625" style="39" customWidth="1"/>
    <col min="9" max="9" width="19.54296875" style="39" customWidth="1"/>
    <col min="10" max="10" width="15.26953125" style="39" customWidth="1"/>
    <col min="11" max="11" width="9.1796875" style="39" customWidth="1"/>
    <col min="12" max="12" width="8.81640625" style="39" customWidth="1"/>
    <col min="13" max="13" width="27.1796875" style="39" customWidth="1"/>
    <col min="14" max="14" width="16.1796875" style="39" customWidth="1"/>
    <col min="15" max="15" width="13.81640625" style="39" customWidth="1"/>
    <col min="16" max="16" width="21.1796875" style="39" customWidth="1"/>
    <col min="17" max="236" width="8.81640625" style="39"/>
    <col min="237" max="237" width="27.26953125" style="39" bestFit="1" customWidth="1"/>
    <col min="238" max="238" width="12.54296875" style="39" bestFit="1" customWidth="1"/>
    <col min="239" max="240" width="12.54296875" style="39" customWidth="1"/>
    <col min="241" max="241" width="12.54296875" style="39" bestFit="1" customWidth="1"/>
    <col min="242" max="243" width="12.54296875" style="39" customWidth="1"/>
    <col min="244" max="245" width="12.1796875" style="39" bestFit="1" customWidth="1"/>
    <col min="246" max="246" width="8.81640625" style="39"/>
    <col min="247" max="247" width="22.81640625" style="39" bestFit="1" customWidth="1"/>
    <col min="248" max="248" width="12.54296875" style="39" bestFit="1" customWidth="1"/>
    <col min="249" max="249" width="13.54296875" style="39" customWidth="1"/>
    <col min="250" max="250" width="11.26953125" style="39" bestFit="1" customWidth="1"/>
    <col min="251" max="251" width="12.54296875" style="39" bestFit="1" customWidth="1"/>
    <col min="252" max="253" width="12.54296875" style="39" customWidth="1"/>
    <col min="254" max="254" width="12.1796875" style="39" bestFit="1" customWidth="1"/>
    <col min="255" max="255" width="12.1796875" style="39" customWidth="1"/>
    <col min="256" max="256" width="8.81640625" style="39"/>
    <col min="257" max="257" width="24.54296875" style="39" customWidth="1"/>
    <col min="258" max="258" width="8.1796875" style="39" bestFit="1" customWidth="1"/>
    <col min="259" max="260" width="7.54296875" style="39" bestFit="1" customWidth="1"/>
    <col min="261" max="261" width="15.1796875" style="39" customWidth="1"/>
    <col min="262" max="262" width="8.1796875" style="39" bestFit="1" customWidth="1"/>
    <col min="263" max="263" width="13.453125" style="39" customWidth="1"/>
    <col min="264" max="264" width="12.453125" style="39" customWidth="1"/>
    <col min="265" max="265" width="8.81640625" style="39"/>
    <col min="266" max="266" width="20.54296875" style="39" customWidth="1"/>
    <col min="267" max="267" width="8.1796875" style="39" bestFit="1" customWidth="1"/>
    <col min="268" max="268" width="7.54296875" style="39" bestFit="1" customWidth="1"/>
    <col min="269" max="269" width="8.1796875" style="39" bestFit="1" customWidth="1"/>
    <col min="270" max="270" width="16.26953125" style="39" customWidth="1"/>
    <col min="271" max="271" width="8.1796875" style="39" bestFit="1" customWidth="1"/>
    <col min="272" max="272" width="12.54296875" style="39" customWidth="1"/>
    <col min="273" max="273" width="13.26953125" style="39" customWidth="1"/>
    <col min="274" max="492" width="8.81640625" style="39"/>
    <col min="493" max="493" width="27.26953125" style="39" bestFit="1" customWidth="1"/>
    <col min="494" max="494" width="12.54296875" style="39" bestFit="1" customWidth="1"/>
    <col min="495" max="496" width="12.54296875" style="39" customWidth="1"/>
    <col min="497" max="497" width="12.54296875" style="39" bestFit="1" customWidth="1"/>
    <col min="498" max="499" width="12.54296875" style="39" customWidth="1"/>
    <col min="500" max="501" width="12.1796875" style="39" bestFit="1" customWidth="1"/>
    <col min="502" max="502" width="8.81640625" style="39"/>
    <col min="503" max="503" width="22.81640625" style="39" bestFit="1" customWidth="1"/>
    <col min="504" max="504" width="12.54296875" style="39" bestFit="1" customWidth="1"/>
    <col min="505" max="505" width="13.54296875" style="39" customWidth="1"/>
    <col min="506" max="506" width="11.26953125" style="39" bestFit="1" customWidth="1"/>
    <col min="507" max="507" width="12.54296875" style="39" bestFit="1" customWidth="1"/>
    <col min="508" max="509" width="12.54296875" style="39" customWidth="1"/>
    <col min="510" max="510" width="12.1796875" style="39" bestFit="1" customWidth="1"/>
    <col min="511" max="511" width="12.1796875" style="39" customWidth="1"/>
    <col min="512" max="512" width="8.81640625" style="39"/>
    <col min="513" max="513" width="24.54296875" style="39" customWidth="1"/>
    <col min="514" max="514" width="8.1796875" style="39" bestFit="1" customWidth="1"/>
    <col min="515" max="516" width="7.54296875" style="39" bestFit="1" customWidth="1"/>
    <col min="517" max="517" width="15.1796875" style="39" customWidth="1"/>
    <col min="518" max="518" width="8.1796875" style="39" bestFit="1" customWidth="1"/>
    <col min="519" max="519" width="13.453125" style="39" customWidth="1"/>
    <col min="520" max="520" width="12.453125" style="39" customWidth="1"/>
    <col min="521" max="521" width="8.81640625" style="39"/>
    <col min="522" max="522" width="20.54296875" style="39" customWidth="1"/>
    <col min="523" max="523" width="8.1796875" style="39" bestFit="1" customWidth="1"/>
    <col min="524" max="524" width="7.54296875" style="39" bestFit="1" customWidth="1"/>
    <col min="525" max="525" width="8.1796875" style="39" bestFit="1" customWidth="1"/>
    <col min="526" max="526" width="16.26953125" style="39" customWidth="1"/>
    <col min="527" max="527" width="8.1796875" style="39" bestFit="1" customWidth="1"/>
    <col min="528" max="528" width="12.54296875" style="39" customWidth="1"/>
    <col min="529" max="529" width="13.26953125" style="39" customWidth="1"/>
    <col min="530" max="748" width="8.81640625" style="39"/>
    <col min="749" max="749" width="27.26953125" style="39" bestFit="1" customWidth="1"/>
    <col min="750" max="750" width="12.54296875" style="39" bestFit="1" customWidth="1"/>
    <col min="751" max="752" width="12.54296875" style="39" customWidth="1"/>
    <col min="753" max="753" width="12.54296875" style="39" bestFit="1" customWidth="1"/>
    <col min="754" max="755" width="12.54296875" style="39" customWidth="1"/>
    <col min="756" max="757" width="12.1796875" style="39" bestFit="1" customWidth="1"/>
    <col min="758" max="758" width="8.81640625" style="39"/>
    <col min="759" max="759" width="22.81640625" style="39" bestFit="1" customWidth="1"/>
    <col min="760" max="760" width="12.54296875" style="39" bestFit="1" customWidth="1"/>
    <col min="761" max="761" width="13.54296875" style="39" customWidth="1"/>
    <col min="762" max="762" width="11.26953125" style="39" bestFit="1" customWidth="1"/>
    <col min="763" max="763" width="12.54296875" style="39" bestFit="1" customWidth="1"/>
    <col min="764" max="765" width="12.54296875" style="39" customWidth="1"/>
    <col min="766" max="766" width="12.1796875" style="39" bestFit="1" customWidth="1"/>
    <col min="767" max="767" width="12.1796875" style="39" customWidth="1"/>
    <col min="768" max="768" width="8.81640625" style="39"/>
    <col min="769" max="769" width="24.54296875" style="39" customWidth="1"/>
    <col min="770" max="770" width="8.1796875" style="39" bestFit="1" customWidth="1"/>
    <col min="771" max="772" width="7.54296875" style="39" bestFit="1" customWidth="1"/>
    <col min="773" max="773" width="15.1796875" style="39" customWidth="1"/>
    <col min="774" max="774" width="8.1796875" style="39" bestFit="1" customWidth="1"/>
    <col min="775" max="775" width="13.453125" style="39" customWidth="1"/>
    <col min="776" max="776" width="12.453125" style="39" customWidth="1"/>
    <col min="777" max="777" width="8.81640625" style="39"/>
    <col min="778" max="778" width="20.54296875" style="39" customWidth="1"/>
    <col min="779" max="779" width="8.1796875" style="39" bestFit="1" customWidth="1"/>
    <col min="780" max="780" width="7.54296875" style="39" bestFit="1" customWidth="1"/>
    <col min="781" max="781" width="8.1796875" style="39" bestFit="1" customWidth="1"/>
    <col min="782" max="782" width="16.26953125" style="39" customWidth="1"/>
    <col min="783" max="783" width="8.1796875" style="39" bestFit="1" customWidth="1"/>
    <col min="784" max="784" width="12.54296875" style="39" customWidth="1"/>
    <col min="785" max="785" width="13.26953125" style="39" customWidth="1"/>
    <col min="786" max="1004" width="8.81640625" style="39"/>
    <col min="1005" max="1005" width="27.26953125" style="39" bestFit="1" customWidth="1"/>
    <col min="1006" max="1006" width="12.54296875" style="39" bestFit="1" customWidth="1"/>
    <col min="1007" max="1008" width="12.54296875" style="39" customWidth="1"/>
    <col min="1009" max="1009" width="12.54296875" style="39" bestFit="1" customWidth="1"/>
    <col min="1010" max="1011" width="12.54296875" style="39" customWidth="1"/>
    <col min="1012" max="1013" width="12.1796875" style="39" bestFit="1" customWidth="1"/>
    <col min="1014" max="1014" width="8.81640625" style="39"/>
    <col min="1015" max="1015" width="22.81640625" style="39" bestFit="1" customWidth="1"/>
    <col min="1016" max="1016" width="12.54296875" style="39" bestFit="1" customWidth="1"/>
    <col min="1017" max="1017" width="13.54296875" style="39" customWidth="1"/>
    <col min="1018" max="1018" width="11.26953125" style="39" bestFit="1" customWidth="1"/>
    <col min="1019" max="1019" width="12.54296875" style="39" bestFit="1" customWidth="1"/>
    <col min="1020" max="1021" width="12.54296875" style="39" customWidth="1"/>
    <col min="1022" max="1022" width="12.1796875" style="39" bestFit="1" customWidth="1"/>
    <col min="1023" max="1023" width="12.1796875" style="39" customWidth="1"/>
    <col min="1024" max="1024" width="8.81640625" style="39"/>
    <col min="1025" max="1025" width="24.54296875" style="39" customWidth="1"/>
    <col min="1026" max="1026" width="8.1796875" style="39" bestFit="1" customWidth="1"/>
    <col min="1027" max="1028" width="7.54296875" style="39" bestFit="1" customWidth="1"/>
    <col min="1029" max="1029" width="15.1796875" style="39" customWidth="1"/>
    <col min="1030" max="1030" width="8.1796875" style="39" bestFit="1" customWidth="1"/>
    <col min="1031" max="1031" width="13.453125" style="39" customWidth="1"/>
    <col min="1032" max="1032" width="12.453125" style="39" customWidth="1"/>
    <col min="1033" max="1033" width="8.81640625" style="39"/>
    <col min="1034" max="1034" width="20.54296875" style="39" customWidth="1"/>
    <col min="1035" max="1035" width="8.1796875" style="39" bestFit="1" customWidth="1"/>
    <col min="1036" max="1036" width="7.54296875" style="39" bestFit="1" customWidth="1"/>
    <col min="1037" max="1037" width="8.1796875" style="39" bestFit="1" customWidth="1"/>
    <col min="1038" max="1038" width="16.26953125" style="39" customWidth="1"/>
    <col min="1039" max="1039" width="8.1796875" style="39" bestFit="1" customWidth="1"/>
    <col min="1040" max="1040" width="12.54296875" style="39" customWidth="1"/>
    <col min="1041" max="1041" width="13.26953125" style="39" customWidth="1"/>
    <col min="1042" max="1260" width="8.81640625" style="39"/>
    <col min="1261" max="1261" width="27.26953125" style="39" bestFit="1" customWidth="1"/>
    <col min="1262" max="1262" width="12.54296875" style="39" bestFit="1" customWidth="1"/>
    <col min="1263" max="1264" width="12.54296875" style="39" customWidth="1"/>
    <col min="1265" max="1265" width="12.54296875" style="39" bestFit="1" customWidth="1"/>
    <col min="1266" max="1267" width="12.54296875" style="39" customWidth="1"/>
    <col min="1268" max="1269" width="12.1796875" style="39" bestFit="1" customWidth="1"/>
    <col min="1270" max="1270" width="8.81640625" style="39"/>
    <col min="1271" max="1271" width="22.81640625" style="39" bestFit="1" customWidth="1"/>
    <col min="1272" max="1272" width="12.54296875" style="39" bestFit="1" customWidth="1"/>
    <col min="1273" max="1273" width="13.54296875" style="39" customWidth="1"/>
    <col min="1274" max="1274" width="11.26953125" style="39" bestFit="1" customWidth="1"/>
    <col min="1275" max="1275" width="12.54296875" style="39" bestFit="1" customWidth="1"/>
    <col min="1276" max="1277" width="12.54296875" style="39" customWidth="1"/>
    <col min="1278" max="1278" width="12.1796875" style="39" bestFit="1" customWidth="1"/>
    <col min="1279" max="1279" width="12.1796875" style="39" customWidth="1"/>
    <col min="1280" max="1280" width="8.81640625" style="39"/>
    <col min="1281" max="1281" width="24.54296875" style="39" customWidth="1"/>
    <col min="1282" max="1282" width="8.1796875" style="39" bestFit="1" customWidth="1"/>
    <col min="1283" max="1284" width="7.54296875" style="39" bestFit="1" customWidth="1"/>
    <col min="1285" max="1285" width="15.1796875" style="39" customWidth="1"/>
    <col min="1286" max="1286" width="8.1796875" style="39" bestFit="1" customWidth="1"/>
    <col min="1287" max="1287" width="13.453125" style="39" customWidth="1"/>
    <col min="1288" max="1288" width="12.453125" style="39" customWidth="1"/>
    <col min="1289" max="1289" width="8.81640625" style="39"/>
    <col min="1290" max="1290" width="20.54296875" style="39" customWidth="1"/>
    <col min="1291" max="1291" width="8.1796875" style="39" bestFit="1" customWidth="1"/>
    <col min="1292" max="1292" width="7.54296875" style="39" bestFit="1" customWidth="1"/>
    <col min="1293" max="1293" width="8.1796875" style="39" bestFit="1" customWidth="1"/>
    <col min="1294" max="1294" width="16.26953125" style="39" customWidth="1"/>
    <col min="1295" max="1295" width="8.1796875" style="39" bestFit="1" customWidth="1"/>
    <col min="1296" max="1296" width="12.54296875" style="39" customWidth="1"/>
    <col min="1297" max="1297" width="13.26953125" style="39" customWidth="1"/>
    <col min="1298" max="1516" width="8.81640625" style="39"/>
    <col min="1517" max="1517" width="27.26953125" style="39" bestFit="1" customWidth="1"/>
    <col min="1518" max="1518" width="12.54296875" style="39" bestFit="1" customWidth="1"/>
    <col min="1519" max="1520" width="12.54296875" style="39" customWidth="1"/>
    <col min="1521" max="1521" width="12.54296875" style="39" bestFit="1" customWidth="1"/>
    <col min="1522" max="1523" width="12.54296875" style="39" customWidth="1"/>
    <col min="1524" max="1525" width="12.1796875" style="39" bestFit="1" customWidth="1"/>
    <col min="1526" max="1526" width="8.81640625" style="39"/>
    <col min="1527" max="1527" width="22.81640625" style="39" bestFit="1" customWidth="1"/>
    <col min="1528" max="1528" width="12.54296875" style="39" bestFit="1" customWidth="1"/>
    <col min="1529" max="1529" width="13.54296875" style="39" customWidth="1"/>
    <col min="1530" max="1530" width="11.26953125" style="39" bestFit="1" customWidth="1"/>
    <col min="1531" max="1531" width="12.54296875" style="39" bestFit="1" customWidth="1"/>
    <col min="1532" max="1533" width="12.54296875" style="39" customWidth="1"/>
    <col min="1534" max="1534" width="12.1796875" style="39" bestFit="1" customWidth="1"/>
    <col min="1535" max="1535" width="12.1796875" style="39" customWidth="1"/>
    <col min="1536" max="1536" width="8.81640625" style="39"/>
    <col min="1537" max="1537" width="24.54296875" style="39" customWidth="1"/>
    <col min="1538" max="1538" width="8.1796875" style="39" bestFit="1" customWidth="1"/>
    <col min="1539" max="1540" width="7.54296875" style="39" bestFit="1" customWidth="1"/>
    <col min="1541" max="1541" width="15.1796875" style="39" customWidth="1"/>
    <col min="1542" max="1542" width="8.1796875" style="39" bestFit="1" customWidth="1"/>
    <col min="1543" max="1543" width="13.453125" style="39" customWidth="1"/>
    <col min="1544" max="1544" width="12.453125" style="39" customWidth="1"/>
    <col min="1545" max="1545" width="8.81640625" style="39"/>
    <col min="1546" max="1546" width="20.54296875" style="39" customWidth="1"/>
    <col min="1547" max="1547" width="8.1796875" style="39" bestFit="1" customWidth="1"/>
    <col min="1548" max="1548" width="7.54296875" style="39" bestFit="1" customWidth="1"/>
    <col min="1549" max="1549" width="8.1796875" style="39" bestFit="1" customWidth="1"/>
    <col min="1550" max="1550" width="16.26953125" style="39" customWidth="1"/>
    <col min="1551" max="1551" width="8.1796875" style="39" bestFit="1" customWidth="1"/>
    <col min="1552" max="1552" width="12.54296875" style="39" customWidth="1"/>
    <col min="1553" max="1553" width="13.26953125" style="39" customWidth="1"/>
    <col min="1554" max="1772" width="8.81640625" style="39"/>
    <col min="1773" max="1773" width="27.26953125" style="39" bestFit="1" customWidth="1"/>
    <col min="1774" max="1774" width="12.54296875" style="39" bestFit="1" customWidth="1"/>
    <col min="1775" max="1776" width="12.54296875" style="39" customWidth="1"/>
    <col min="1777" max="1777" width="12.54296875" style="39" bestFit="1" customWidth="1"/>
    <col min="1778" max="1779" width="12.54296875" style="39" customWidth="1"/>
    <col min="1780" max="1781" width="12.1796875" style="39" bestFit="1" customWidth="1"/>
    <col min="1782" max="1782" width="8.81640625" style="39"/>
    <col min="1783" max="1783" width="22.81640625" style="39" bestFit="1" customWidth="1"/>
    <col min="1784" max="1784" width="12.54296875" style="39" bestFit="1" customWidth="1"/>
    <col min="1785" max="1785" width="13.54296875" style="39" customWidth="1"/>
    <col min="1786" max="1786" width="11.26953125" style="39" bestFit="1" customWidth="1"/>
    <col min="1787" max="1787" width="12.54296875" style="39" bestFit="1" customWidth="1"/>
    <col min="1788" max="1789" width="12.54296875" style="39" customWidth="1"/>
    <col min="1790" max="1790" width="12.1796875" style="39" bestFit="1" customWidth="1"/>
    <col min="1791" max="1791" width="12.1796875" style="39" customWidth="1"/>
    <col min="1792" max="1792" width="8.81640625" style="39"/>
    <col min="1793" max="1793" width="24.54296875" style="39" customWidth="1"/>
    <col min="1794" max="1794" width="8.1796875" style="39" bestFit="1" customWidth="1"/>
    <col min="1795" max="1796" width="7.54296875" style="39" bestFit="1" customWidth="1"/>
    <col min="1797" max="1797" width="15.1796875" style="39" customWidth="1"/>
    <col min="1798" max="1798" width="8.1796875" style="39" bestFit="1" customWidth="1"/>
    <col min="1799" max="1799" width="13.453125" style="39" customWidth="1"/>
    <col min="1800" max="1800" width="12.453125" style="39" customWidth="1"/>
    <col min="1801" max="1801" width="8.81640625" style="39"/>
    <col min="1802" max="1802" width="20.54296875" style="39" customWidth="1"/>
    <col min="1803" max="1803" width="8.1796875" style="39" bestFit="1" customWidth="1"/>
    <col min="1804" max="1804" width="7.54296875" style="39" bestFit="1" customWidth="1"/>
    <col min="1805" max="1805" width="8.1796875" style="39" bestFit="1" customWidth="1"/>
    <col min="1806" max="1806" width="16.26953125" style="39" customWidth="1"/>
    <col min="1807" max="1807" width="8.1796875" style="39" bestFit="1" customWidth="1"/>
    <col min="1808" max="1808" width="12.54296875" style="39" customWidth="1"/>
    <col min="1809" max="1809" width="13.26953125" style="39" customWidth="1"/>
    <col min="1810" max="2028" width="8.81640625" style="39"/>
    <col min="2029" max="2029" width="27.26953125" style="39" bestFit="1" customWidth="1"/>
    <col min="2030" max="2030" width="12.54296875" style="39" bestFit="1" customWidth="1"/>
    <col min="2031" max="2032" width="12.54296875" style="39" customWidth="1"/>
    <col min="2033" max="2033" width="12.54296875" style="39" bestFit="1" customWidth="1"/>
    <col min="2034" max="2035" width="12.54296875" style="39" customWidth="1"/>
    <col min="2036" max="2037" width="12.1796875" style="39" bestFit="1" customWidth="1"/>
    <col min="2038" max="2038" width="8.81640625" style="39"/>
    <col min="2039" max="2039" width="22.81640625" style="39" bestFit="1" customWidth="1"/>
    <col min="2040" max="2040" width="12.54296875" style="39" bestFit="1" customWidth="1"/>
    <col min="2041" max="2041" width="13.54296875" style="39" customWidth="1"/>
    <col min="2042" max="2042" width="11.26953125" style="39" bestFit="1" customWidth="1"/>
    <col min="2043" max="2043" width="12.54296875" style="39" bestFit="1" customWidth="1"/>
    <col min="2044" max="2045" width="12.54296875" style="39" customWidth="1"/>
    <col min="2046" max="2046" width="12.1796875" style="39" bestFit="1" customWidth="1"/>
    <col min="2047" max="2047" width="12.1796875" style="39" customWidth="1"/>
    <col min="2048" max="2048" width="8.81640625" style="39"/>
    <col min="2049" max="2049" width="24.54296875" style="39" customWidth="1"/>
    <col min="2050" max="2050" width="8.1796875" style="39" bestFit="1" customWidth="1"/>
    <col min="2051" max="2052" width="7.54296875" style="39" bestFit="1" customWidth="1"/>
    <col min="2053" max="2053" width="15.1796875" style="39" customWidth="1"/>
    <col min="2054" max="2054" width="8.1796875" style="39" bestFit="1" customWidth="1"/>
    <col min="2055" max="2055" width="13.453125" style="39" customWidth="1"/>
    <col min="2056" max="2056" width="12.453125" style="39" customWidth="1"/>
    <col min="2057" max="2057" width="8.81640625" style="39"/>
    <col min="2058" max="2058" width="20.54296875" style="39" customWidth="1"/>
    <col min="2059" max="2059" width="8.1796875" style="39" bestFit="1" customWidth="1"/>
    <col min="2060" max="2060" width="7.54296875" style="39" bestFit="1" customWidth="1"/>
    <col min="2061" max="2061" width="8.1796875" style="39" bestFit="1" customWidth="1"/>
    <col min="2062" max="2062" width="16.26953125" style="39" customWidth="1"/>
    <col min="2063" max="2063" width="8.1796875" style="39" bestFit="1" customWidth="1"/>
    <col min="2064" max="2064" width="12.54296875" style="39" customWidth="1"/>
    <col min="2065" max="2065" width="13.26953125" style="39" customWidth="1"/>
    <col min="2066" max="2284" width="8.81640625" style="39"/>
    <col min="2285" max="2285" width="27.26953125" style="39" bestFit="1" customWidth="1"/>
    <col min="2286" max="2286" width="12.54296875" style="39" bestFit="1" customWidth="1"/>
    <col min="2287" max="2288" width="12.54296875" style="39" customWidth="1"/>
    <col min="2289" max="2289" width="12.54296875" style="39" bestFit="1" customWidth="1"/>
    <col min="2290" max="2291" width="12.54296875" style="39" customWidth="1"/>
    <col min="2292" max="2293" width="12.1796875" style="39" bestFit="1" customWidth="1"/>
    <col min="2294" max="2294" width="8.81640625" style="39"/>
    <col min="2295" max="2295" width="22.81640625" style="39" bestFit="1" customWidth="1"/>
    <col min="2296" max="2296" width="12.54296875" style="39" bestFit="1" customWidth="1"/>
    <col min="2297" max="2297" width="13.54296875" style="39" customWidth="1"/>
    <col min="2298" max="2298" width="11.26953125" style="39" bestFit="1" customWidth="1"/>
    <col min="2299" max="2299" width="12.54296875" style="39" bestFit="1" customWidth="1"/>
    <col min="2300" max="2301" width="12.54296875" style="39" customWidth="1"/>
    <col min="2302" max="2302" width="12.1796875" style="39" bestFit="1" customWidth="1"/>
    <col min="2303" max="2303" width="12.1796875" style="39" customWidth="1"/>
    <col min="2304" max="2304" width="8.81640625" style="39"/>
    <col min="2305" max="2305" width="24.54296875" style="39" customWidth="1"/>
    <col min="2306" max="2306" width="8.1796875" style="39" bestFit="1" customWidth="1"/>
    <col min="2307" max="2308" width="7.54296875" style="39" bestFit="1" customWidth="1"/>
    <col min="2309" max="2309" width="15.1796875" style="39" customWidth="1"/>
    <col min="2310" max="2310" width="8.1796875" style="39" bestFit="1" customWidth="1"/>
    <col min="2311" max="2311" width="13.453125" style="39" customWidth="1"/>
    <col min="2312" max="2312" width="12.453125" style="39" customWidth="1"/>
    <col min="2313" max="2313" width="8.81640625" style="39"/>
    <col min="2314" max="2314" width="20.54296875" style="39" customWidth="1"/>
    <col min="2315" max="2315" width="8.1796875" style="39" bestFit="1" customWidth="1"/>
    <col min="2316" max="2316" width="7.54296875" style="39" bestFit="1" customWidth="1"/>
    <col min="2317" max="2317" width="8.1796875" style="39" bestFit="1" customWidth="1"/>
    <col min="2318" max="2318" width="16.26953125" style="39" customWidth="1"/>
    <col min="2319" max="2319" width="8.1796875" style="39" bestFit="1" customWidth="1"/>
    <col min="2320" max="2320" width="12.54296875" style="39" customWidth="1"/>
    <col min="2321" max="2321" width="13.26953125" style="39" customWidth="1"/>
    <col min="2322" max="2540" width="8.81640625" style="39"/>
    <col min="2541" max="2541" width="27.26953125" style="39" bestFit="1" customWidth="1"/>
    <col min="2542" max="2542" width="12.54296875" style="39" bestFit="1" customWidth="1"/>
    <col min="2543" max="2544" width="12.54296875" style="39" customWidth="1"/>
    <col min="2545" max="2545" width="12.54296875" style="39" bestFit="1" customWidth="1"/>
    <col min="2546" max="2547" width="12.54296875" style="39" customWidth="1"/>
    <col min="2548" max="2549" width="12.1796875" style="39" bestFit="1" customWidth="1"/>
    <col min="2550" max="2550" width="8.81640625" style="39"/>
    <col min="2551" max="2551" width="22.81640625" style="39" bestFit="1" customWidth="1"/>
    <col min="2552" max="2552" width="12.54296875" style="39" bestFit="1" customWidth="1"/>
    <col min="2553" max="2553" width="13.54296875" style="39" customWidth="1"/>
    <col min="2554" max="2554" width="11.26953125" style="39" bestFit="1" customWidth="1"/>
    <col min="2555" max="2555" width="12.54296875" style="39" bestFit="1" customWidth="1"/>
    <col min="2556" max="2557" width="12.54296875" style="39" customWidth="1"/>
    <col min="2558" max="2558" width="12.1796875" style="39" bestFit="1" customWidth="1"/>
    <col min="2559" max="2559" width="12.1796875" style="39" customWidth="1"/>
    <col min="2560" max="2560" width="8.81640625" style="39"/>
    <col min="2561" max="2561" width="24.54296875" style="39" customWidth="1"/>
    <col min="2562" max="2562" width="8.1796875" style="39" bestFit="1" customWidth="1"/>
    <col min="2563" max="2564" width="7.54296875" style="39" bestFit="1" customWidth="1"/>
    <col min="2565" max="2565" width="15.1796875" style="39" customWidth="1"/>
    <col min="2566" max="2566" width="8.1796875" style="39" bestFit="1" customWidth="1"/>
    <col min="2567" max="2567" width="13.453125" style="39" customWidth="1"/>
    <col min="2568" max="2568" width="12.453125" style="39" customWidth="1"/>
    <col min="2569" max="2569" width="8.81640625" style="39"/>
    <col min="2570" max="2570" width="20.54296875" style="39" customWidth="1"/>
    <col min="2571" max="2571" width="8.1796875" style="39" bestFit="1" customWidth="1"/>
    <col min="2572" max="2572" width="7.54296875" style="39" bestFit="1" customWidth="1"/>
    <col min="2573" max="2573" width="8.1796875" style="39" bestFit="1" customWidth="1"/>
    <col min="2574" max="2574" width="16.26953125" style="39" customWidth="1"/>
    <col min="2575" max="2575" width="8.1796875" style="39" bestFit="1" customWidth="1"/>
    <col min="2576" max="2576" width="12.54296875" style="39" customWidth="1"/>
    <col min="2577" max="2577" width="13.26953125" style="39" customWidth="1"/>
    <col min="2578" max="2796" width="8.81640625" style="39"/>
    <col min="2797" max="2797" width="27.26953125" style="39" bestFit="1" customWidth="1"/>
    <col min="2798" max="2798" width="12.54296875" style="39" bestFit="1" customWidth="1"/>
    <col min="2799" max="2800" width="12.54296875" style="39" customWidth="1"/>
    <col min="2801" max="2801" width="12.54296875" style="39" bestFit="1" customWidth="1"/>
    <col min="2802" max="2803" width="12.54296875" style="39" customWidth="1"/>
    <col min="2804" max="2805" width="12.1796875" style="39" bestFit="1" customWidth="1"/>
    <col min="2806" max="2806" width="8.81640625" style="39"/>
    <col min="2807" max="2807" width="22.81640625" style="39" bestFit="1" customWidth="1"/>
    <col min="2808" max="2808" width="12.54296875" style="39" bestFit="1" customWidth="1"/>
    <col min="2809" max="2809" width="13.54296875" style="39" customWidth="1"/>
    <col min="2810" max="2810" width="11.26953125" style="39" bestFit="1" customWidth="1"/>
    <col min="2811" max="2811" width="12.54296875" style="39" bestFit="1" customWidth="1"/>
    <col min="2812" max="2813" width="12.54296875" style="39" customWidth="1"/>
    <col min="2814" max="2814" width="12.1796875" style="39" bestFit="1" customWidth="1"/>
    <col min="2815" max="2815" width="12.1796875" style="39" customWidth="1"/>
    <col min="2816" max="2816" width="8.81640625" style="39"/>
    <col min="2817" max="2817" width="24.54296875" style="39" customWidth="1"/>
    <col min="2818" max="2818" width="8.1796875" style="39" bestFit="1" customWidth="1"/>
    <col min="2819" max="2820" width="7.54296875" style="39" bestFit="1" customWidth="1"/>
    <col min="2821" max="2821" width="15.1796875" style="39" customWidth="1"/>
    <col min="2822" max="2822" width="8.1796875" style="39" bestFit="1" customWidth="1"/>
    <col min="2823" max="2823" width="13.453125" style="39" customWidth="1"/>
    <col min="2824" max="2824" width="12.453125" style="39" customWidth="1"/>
    <col min="2825" max="2825" width="8.81640625" style="39"/>
    <col min="2826" max="2826" width="20.54296875" style="39" customWidth="1"/>
    <col min="2827" max="2827" width="8.1796875" style="39" bestFit="1" customWidth="1"/>
    <col min="2828" max="2828" width="7.54296875" style="39" bestFit="1" customWidth="1"/>
    <col min="2829" max="2829" width="8.1796875" style="39" bestFit="1" customWidth="1"/>
    <col min="2830" max="2830" width="16.26953125" style="39" customWidth="1"/>
    <col min="2831" max="2831" width="8.1796875" style="39" bestFit="1" customWidth="1"/>
    <col min="2832" max="2832" width="12.54296875" style="39" customWidth="1"/>
    <col min="2833" max="2833" width="13.26953125" style="39" customWidth="1"/>
    <col min="2834" max="3052" width="8.81640625" style="39"/>
    <col min="3053" max="3053" width="27.26953125" style="39" bestFit="1" customWidth="1"/>
    <col min="3054" max="3054" width="12.54296875" style="39" bestFit="1" customWidth="1"/>
    <col min="3055" max="3056" width="12.54296875" style="39" customWidth="1"/>
    <col min="3057" max="3057" width="12.54296875" style="39" bestFit="1" customWidth="1"/>
    <col min="3058" max="3059" width="12.54296875" style="39" customWidth="1"/>
    <col min="3060" max="3061" width="12.1796875" style="39" bestFit="1" customWidth="1"/>
    <col min="3062" max="3062" width="8.81640625" style="39"/>
    <col min="3063" max="3063" width="22.81640625" style="39" bestFit="1" customWidth="1"/>
    <col min="3064" max="3064" width="12.54296875" style="39" bestFit="1" customWidth="1"/>
    <col min="3065" max="3065" width="13.54296875" style="39" customWidth="1"/>
    <col min="3066" max="3066" width="11.26953125" style="39" bestFit="1" customWidth="1"/>
    <col min="3067" max="3067" width="12.54296875" style="39" bestFit="1" customWidth="1"/>
    <col min="3068" max="3069" width="12.54296875" style="39" customWidth="1"/>
    <col min="3070" max="3070" width="12.1796875" style="39" bestFit="1" customWidth="1"/>
    <col min="3071" max="3071" width="12.1796875" style="39" customWidth="1"/>
    <col min="3072" max="3072" width="8.81640625" style="39"/>
    <col min="3073" max="3073" width="24.54296875" style="39" customWidth="1"/>
    <col min="3074" max="3074" width="8.1796875" style="39" bestFit="1" customWidth="1"/>
    <col min="3075" max="3076" width="7.54296875" style="39" bestFit="1" customWidth="1"/>
    <col min="3077" max="3077" width="15.1796875" style="39" customWidth="1"/>
    <col min="3078" max="3078" width="8.1796875" style="39" bestFit="1" customWidth="1"/>
    <col min="3079" max="3079" width="13.453125" style="39" customWidth="1"/>
    <col min="3080" max="3080" width="12.453125" style="39" customWidth="1"/>
    <col min="3081" max="3081" width="8.81640625" style="39"/>
    <col min="3082" max="3082" width="20.54296875" style="39" customWidth="1"/>
    <col min="3083" max="3083" width="8.1796875" style="39" bestFit="1" customWidth="1"/>
    <col min="3084" max="3084" width="7.54296875" style="39" bestFit="1" customWidth="1"/>
    <col min="3085" max="3085" width="8.1796875" style="39" bestFit="1" customWidth="1"/>
    <col min="3086" max="3086" width="16.26953125" style="39" customWidth="1"/>
    <col min="3087" max="3087" width="8.1796875" style="39" bestFit="1" customWidth="1"/>
    <col min="3088" max="3088" width="12.54296875" style="39" customWidth="1"/>
    <col min="3089" max="3089" width="13.26953125" style="39" customWidth="1"/>
    <col min="3090" max="3308" width="8.81640625" style="39"/>
    <col min="3309" max="3309" width="27.26953125" style="39" bestFit="1" customWidth="1"/>
    <col min="3310" max="3310" width="12.54296875" style="39" bestFit="1" customWidth="1"/>
    <col min="3311" max="3312" width="12.54296875" style="39" customWidth="1"/>
    <col min="3313" max="3313" width="12.54296875" style="39" bestFit="1" customWidth="1"/>
    <col min="3314" max="3315" width="12.54296875" style="39" customWidth="1"/>
    <col min="3316" max="3317" width="12.1796875" style="39" bestFit="1" customWidth="1"/>
    <col min="3318" max="3318" width="8.81640625" style="39"/>
    <col min="3319" max="3319" width="22.81640625" style="39" bestFit="1" customWidth="1"/>
    <col min="3320" max="3320" width="12.54296875" style="39" bestFit="1" customWidth="1"/>
    <col min="3321" max="3321" width="13.54296875" style="39" customWidth="1"/>
    <col min="3322" max="3322" width="11.26953125" style="39" bestFit="1" customWidth="1"/>
    <col min="3323" max="3323" width="12.54296875" style="39" bestFit="1" customWidth="1"/>
    <col min="3324" max="3325" width="12.54296875" style="39" customWidth="1"/>
    <col min="3326" max="3326" width="12.1796875" style="39" bestFit="1" customWidth="1"/>
    <col min="3327" max="3327" width="12.1796875" style="39" customWidth="1"/>
    <col min="3328" max="3328" width="8.81640625" style="39"/>
    <col min="3329" max="3329" width="24.54296875" style="39" customWidth="1"/>
    <col min="3330" max="3330" width="8.1796875" style="39" bestFit="1" customWidth="1"/>
    <col min="3331" max="3332" width="7.54296875" style="39" bestFit="1" customWidth="1"/>
    <col min="3333" max="3333" width="15.1796875" style="39" customWidth="1"/>
    <col min="3334" max="3334" width="8.1796875" style="39" bestFit="1" customWidth="1"/>
    <col min="3335" max="3335" width="13.453125" style="39" customWidth="1"/>
    <col min="3336" max="3336" width="12.453125" style="39" customWidth="1"/>
    <col min="3337" max="3337" width="8.81640625" style="39"/>
    <col min="3338" max="3338" width="20.54296875" style="39" customWidth="1"/>
    <col min="3339" max="3339" width="8.1796875" style="39" bestFit="1" customWidth="1"/>
    <col min="3340" max="3340" width="7.54296875" style="39" bestFit="1" customWidth="1"/>
    <col min="3341" max="3341" width="8.1796875" style="39" bestFit="1" customWidth="1"/>
    <col min="3342" max="3342" width="16.26953125" style="39" customWidth="1"/>
    <col min="3343" max="3343" width="8.1796875" style="39" bestFit="1" customWidth="1"/>
    <col min="3344" max="3344" width="12.54296875" style="39" customWidth="1"/>
    <col min="3345" max="3345" width="13.26953125" style="39" customWidth="1"/>
    <col min="3346" max="3564" width="8.81640625" style="39"/>
    <col min="3565" max="3565" width="27.26953125" style="39" bestFit="1" customWidth="1"/>
    <col min="3566" max="3566" width="12.54296875" style="39" bestFit="1" customWidth="1"/>
    <col min="3567" max="3568" width="12.54296875" style="39" customWidth="1"/>
    <col min="3569" max="3569" width="12.54296875" style="39" bestFit="1" customWidth="1"/>
    <col min="3570" max="3571" width="12.54296875" style="39" customWidth="1"/>
    <col min="3572" max="3573" width="12.1796875" style="39" bestFit="1" customWidth="1"/>
    <col min="3574" max="3574" width="8.81640625" style="39"/>
    <col min="3575" max="3575" width="22.81640625" style="39" bestFit="1" customWidth="1"/>
    <col min="3576" max="3576" width="12.54296875" style="39" bestFit="1" customWidth="1"/>
    <col min="3577" max="3577" width="13.54296875" style="39" customWidth="1"/>
    <col min="3578" max="3578" width="11.26953125" style="39" bestFit="1" customWidth="1"/>
    <col min="3579" max="3579" width="12.54296875" style="39" bestFit="1" customWidth="1"/>
    <col min="3580" max="3581" width="12.54296875" style="39" customWidth="1"/>
    <col min="3582" max="3582" width="12.1796875" style="39" bestFit="1" customWidth="1"/>
    <col min="3583" max="3583" width="12.1796875" style="39" customWidth="1"/>
    <col min="3584" max="3584" width="8.81640625" style="39"/>
    <col min="3585" max="3585" width="24.54296875" style="39" customWidth="1"/>
    <col min="3586" max="3586" width="8.1796875" style="39" bestFit="1" customWidth="1"/>
    <col min="3587" max="3588" width="7.54296875" style="39" bestFit="1" customWidth="1"/>
    <col min="3589" max="3589" width="15.1796875" style="39" customWidth="1"/>
    <col min="3590" max="3590" width="8.1796875" style="39" bestFit="1" customWidth="1"/>
    <col min="3591" max="3591" width="13.453125" style="39" customWidth="1"/>
    <col min="3592" max="3592" width="12.453125" style="39" customWidth="1"/>
    <col min="3593" max="3593" width="8.81640625" style="39"/>
    <col min="3594" max="3594" width="20.54296875" style="39" customWidth="1"/>
    <col min="3595" max="3595" width="8.1796875" style="39" bestFit="1" customWidth="1"/>
    <col min="3596" max="3596" width="7.54296875" style="39" bestFit="1" customWidth="1"/>
    <col min="3597" max="3597" width="8.1796875" style="39" bestFit="1" customWidth="1"/>
    <col min="3598" max="3598" width="16.26953125" style="39" customWidth="1"/>
    <col min="3599" max="3599" width="8.1796875" style="39" bestFit="1" customWidth="1"/>
    <col min="3600" max="3600" width="12.54296875" style="39" customWidth="1"/>
    <col min="3601" max="3601" width="13.26953125" style="39" customWidth="1"/>
    <col min="3602" max="3820" width="8.81640625" style="39"/>
    <col min="3821" max="3821" width="27.26953125" style="39" bestFit="1" customWidth="1"/>
    <col min="3822" max="3822" width="12.54296875" style="39" bestFit="1" customWidth="1"/>
    <col min="3823" max="3824" width="12.54296875" style="39" customWidth="1"/>
    <col min="3825" max="3825" width="12.54296875" style="39" bestFit="1" customWidth="1"/>
    <col min="3826" max="3827" width="12.54296875" style="39" customWidth="1"/>
    <col min="3828" max="3829" width="12.1796875" style="39" bestFit="1" customWidth="1"/>
    <col min="3830" max="3830" width="8.81640625" style="39"/>
    <col min="3831" max="3831" width="22.81640625" style="39" bestFit="1" customWidth="1"/>
    <col min="3832" max="3832" width="12.54296875" style="39" bestFit="1" customWidth="1"/>
    <col min="3833" max="3833" width="13.54296875" style="39" customWidth="1"/>
    <col min="3834" max="3834" width="11.26953125" style="39" bestFit="1" customWidth="1"/>
    <col min="3835" max="3835" width="12.54296875" style="39" bestFit="1" customWidth="1"/>
    <col min="3836" max="3837" width="12.54296875" style="39" customWidth="1"/>
    <col min="3838" max="3838" width="12.1796875" style="39" bestFit="1" customWidth="1"/>
    <col min="3839" max="3839" width="12.1796875" style="39" customWidth="1"/>
    <col min="3840" max="3840" width="8.81640625" style="39"/>
    <col min="3841" max="3841" width="24.54296875" style="39" customWidth="1"/>
    <col min="3842" max="3842" width="8.1796875" style="39" bestFit="1" customWidth="1"/>
    <col min="3843" max="3844" width="7.54296875" style="39" bestFit="1" customWidth="1"/>
    <col min="3845" max="3845" width="15.1796875" style="39" customWidth="1"/>
    <col min="3846" max="3846" width="8.1796875" style="39" bestFit="1" customWidth="1"/>
    <col min="3847" max="3847" width="13.453125" style="39" customWidth="1"/>
    <col min="3848" max="3848" width="12.453125" style="39" customWidth="1"/>
    <col min="3849" max="3849" width="8.81640625" style="39"/>
    <col min="3850" max="3850" width="20.54296875" style="39" customWidth="1"/>
    <col min="3851" max="3851" width="8.1796875" style="39" bestFit="1" customWidth="1"/>
    <col min="3852" max="3852" width="7.54296875" style="39" bestFit="1" customWidth="1"/>
    <col min="3853" max="3853" width="8.1796875" style="39" bestFit="1" customWidth="1"/>
    <col min="3854" max="3854" width="16.26953125" style="39" customWidth="1"/>
    <col min="3855" max="3855" width="8.1796875" style="39" bestFit="1" customWidth="1"/>
    <col min="3856" max="3856" width="12.54296875" style="39" customWidth="1"/>
    <col min="3857" max="3857" width="13.26953125" style="39" customWidth="1"/>
    <col min="3858" max="4076" width="8.81640625" style="39"/>
    <col min="4077" max="4077" width="27.26953125" style="39" bestFit="1" customWidth="1"/>
    <col min="4078" max="4078" width="12.54296875" style="39" bestFit="1" customWidth="1"/>
    <col min="4079" max="4080" width="12.54296875" style="39" customWidth="1"/>
    <col min="4081" max="4081" width="12.54296875" style="39" bestFit="1" customWidth="1"/>
    <col min="4082" max="4083" width="12.54296875" style="39" customWidth="1"/>
    <col min="4084" max="4085" width="12.1796875" style="39" bestFit="1" customWidth="1"/>
    <col min="4086" max="4086" width="8.81640625" style="39"/>
    <col min="4087" max="4087" width="22.81640625" style="39" bestFit="1" customWidth="1"/>
    <col min="4088" max="4088" width="12.54296875" style="39" bestFit="1" customWidth="1"/>
    <col min="4089" max="4089" width="13.54296875" style="39" customWidth="1"/>
    <col min="4090" max="4090" width="11.26953125" style="39" bestFit="1" customWidth="1"/>
    <col min="4091" max="4091" width="12.54296875" style="39" bestFit="1" customWidth="1"/>
    <col min="4092" max="4093" width="12.54296875" style="39" customWidth="1"/>
    <col min="4094" max="4094" width="12.1796875" style="39" bestFit="1" customWidth="1"/>
    <col min="4095" max="4095" width="12.1796875" style="39" customWidth="1"/>
    <col min="4096" max="4096" width="8.81640625" style="39"/>
    <col min="4097" max="4097" width="24.54296875" style="39" customWidth="1"/>
    <col min="4098" max="4098" width="8.1796875" style="39" bestFit="1" customWidth="1"/>
    <col min="4099" max="4100" width="7.54296875" style="39" bestFit="1" customWidth="1"/>
    <col min="4101" max="4101" width="15.1796875" style="39" customWidth="1"/>
    <col min="4102" max="4102" width="8.1796875" style="39" bestFit="1" customWidth="1"/>
    <col min="4103" max="4103" width="13.453125" style="39" customWidth="1"/>
    <col min="4104" max="4104" width="12.453125" style="39" customWidth="1"/>
    <col min="4105" max="4105" width="8.81640625" style="39"/>
    <col min="4106" max="4106" width="20.54296875" style="39" customWidth="1"/>
    <col min="4107" max="4107" width="8.1796875" style="39" bestFit="1" customWidth="1"/>
    <col min="4108" max="4108" width="7.54296875" style="39" bestFit="1" customWidth="1"/>
    <col min="4109" max="4109" width="8.1796875" style="39" bestFit="1" customWidth="1"/>
    <col min="4110" max="4110" width="16.26953125" style="39" customWidth="1"/>
    <col min="4111" max="4111" width="8.1796875" style="39" bestFit="1" customWidth="1"/>
    <col min="4112" max="4112" width="12.54296875" style="39" customWidth="1"/>
    <col min="4113" max="4113" width="13.26953125" style="39" customWidth="1"/>
    <col min="4114" max="4332" width="8.81640625" style="39"/>
    <col min="4333" max="4333" width="27.26953125" style="39" bestFit="1" customWidth="1"/>
    <col min="4334" max="4334" width="12.54296875" style="39" bestFit="1" customWidth="1"/>
    <col min="4335" max="4336" width="12.54296875" style="39" customWidth="1"/>
    <col min="4337" max="4337" width="12.54296875" style="39" bestFit="1" customWidth="1"/>
    <col min="4338" max="4339" width="12.54296875" style="39" customWidth="1"/>
    <col min="4340" max="4341" width="12.1796875" style="39" bestFit="1" customWidth="1"/>
    <col min="4342" max="4342" width="8.81640625" style="39"/>
    <col min="4343" max="4343" width="22.81640625" style="39" bestFit="1" customWidth="1"/>
    <col min="4344" max="4344" width="12.54296875" style="39" bestFit="1" customWidth="1"/>
    <col min="4345" max="4345" width="13.54296875" style="39" customWidth="1"/>
    <col min="4346" max="4346" width="11.26953125" style="39" bestFit="1" customWidth="1"/>
    <col min="4347" max="4347" width="12.54296875" style="39" bestFit="1" customWidth="1"/>
    <col min="4348" max="4349" width="12.54296875" style="39" customWidth="1"/>
    <col min="4350" max="4350" width="12.1796875" style="39" bestFit="1" customWidth="1"/>
    <col min="4351" max="4351" width="12.1796875" style="39" customWidth="1"/>
    <col min="4352" max="4352" width="8.81640625" style="39"/>
    <col min="4353" max="4353" width="24.54296875" style="39" customWidth="1"/>
    <col min="4354" max="4354" width="8.1796875" style="39" bestFit="1" customWidth="1"/>
    <col min="4355" max="4356" width="7.54296875" style="39" bestFit="1" customWidth="1"/>
    <col min="4357" max="4357" width="15.1796875" style="39" customWidth="1"/>
    <col min="4358" max="4358" width="8.1796875" style="39" bestFit="1" customWidth="1"/>
    <col min="4359" max="4359" width="13.453125" style="39" customWidth="1"/>
    <col min="4360" max="4360" width="12.453125" style="39" customWidth="1"/>
    <col min="4361" max="4361" width="8.81640625" style="39"/>
    <col min="4362" max="4362" width="20.54296875" style="39" customWidth="1"/>
    <col min="4363" max="4363" width="8.1796875" style="39" bestFit="1" customWidth="1"/>
    <col min="4364" max="4364" width="7.54296875" style="39" bestFit="1" customWidth="1"/>
    <col min="4365" max="4365" width="8.1796875" style="39" bestFit="1" customWidth="1"/>
    <col min="4366" max="4366" width="16.26953125" style="39" customWidth="1"/>
    <col min="4367" max="4367" width="8.1796875" style="39" bestFit="1" customWidth="1"/>
    <col min="4368" max="4368" width="12.54296875" style="39" customWidth="1"/>
    <col min="4369" max="4369" width="13.26953125" style="39" customWidth="1"/>
    <col min="4370" max="4588" width="8.81640625" style="39"/>
    <col min="4589" max="4589" width="27.26953125" style="39" bestFit="1" customWidth="1"/>
    <col min="4590" max="4590" width="12.54296875" style="39" bestFit="1" customWidth="1"/>
    <col min="4591" max="4592" width="12.54296875" style="39" customWidth="1"/>
    <col min="4593" max="4593" width="12.54296875" style="39" bestFit="1" customWidth="1"/>
    <col min="4594" max="4595" width="12.54296875" style="39" customWidth="1"/>
    <col min="4596" max="4597" width="12.1796875" style="39" bestFit="1" customWidth="1"/>
    <col min="4598" max="4598" width="8.81640625" style="39"/>
    <col min="4599" max="4599" width="22.81640625" style="39" bestFit="1" customWidth="1"/>
    <col min="4600" max="4600" width="12.54296875" style="39" bestFit="1" customWidth="1"/>
    <col min="4601" max="4601" width="13.54296875" style="39" customWidth="1"/>
    <col min="4602" max="4602" width="11.26953125" style="39" bestFit="1" customWidth="1"/>
    <col min="4603" max="4603" width="12.54296875" style="39" bestFit="1" customWidth="1"/>
    <col min="4604" max="4605" width="12.54296875" style="39" customWidth="1"/>
    <col min="4606" max="4606" width="12.1796875" style="39" bestFit="1" customWidth="1"/>
    <col min="4607" max="4607" width="12.1796875" style="39" customWidth="1"/>
    <col min="4608" max="4608" width="8.81640625" style="39"/>
    <col min="4609" max="4609" width="24.54296875" style="39" customWidth="1"/>
    <col min="4610" max="4610" width="8.1796875" style="39" bestFit="1" customWidth="1"/>
    <col min="4611" max="4612" width="7.54296875" style="39" bestFit="1" customWidth="1"/>
    <col min="4613" max="4613" width="15.1796875" style="39" customWidth="1"/>
    <col min="4614" max="4614" width="8.1796875" style="39" bestFit="1" customWidth="1"/>
    <col min="4615" max="4615" width="13.453125" style="39" customWidth="1"/>
    <col min="4616" max="4616" width="12.453125" style="39" customWidth="1"/>
    <col min="4617" max="4617" width="8.81640625" style="39"/>
    <col min="4618" max="4618" width="20.54296875" style="39" customWidth="1"/>
    <col min="4619" max="4619" width="8.1796875" style="39" bestFit="1" customWidth="1"/>
    <col min="4620" max="4620" width="7.54296875" style="39" bestFit="1" customWidth="1"/>
    <col min="4621" max="4621" width="8.1796875" style="39" bestFit="1" customWidth="1"/>
    <col min="4622" max="4622" width="16.26953125" style="39" customWidth="1"/>
    <col min="4623" max="4623" width="8.1796875" style="39" bestFit="1" customWidth="1"/>
    <col min="4624" max="4624" width="12.54296875" style="39" customWidth="1"/>
    <col min="4625" max="4625" width="13.26953125" style="39" customWidth="1"/>
    <col min="4626" max="4844" width="8.81640625" style="39"/>
    <col min="4845" max="4845" width="27.26953125" style="39" bestFit="1" customWidth="1"/>
    <col min="4846" max="4846" width="12.54296875" style="39" bestFit="1" customWidth="1"/>
    <col min="4847" max="4848" width="12.54296875" style="39" customWidth="1"/>
    <col min="4849" max="4849" width="12.54296875" style="39" bestFit="1" customWidth="1"/>
    <col min="4850" max="4851" width="12.54296875" style="39" customWidth="1"/>
    <col min="4852" max="4853" width="12.1796875" style="39" bestFit="1" customWidth="1"/>
    <col min="4854" max="4854" width="8.81640625" style="39"/>
    <col min="4855" max="4855" width="22.81640625" style="39" bestFit="1" customWidth="1"/>
    <col min="4856" max="4856" width="12.54296875" style="39" bestFit="1" customWidth="1"/>
    <col min="4857" max="4857" width="13.54296875" style="39" customWidth="1"/>
    <col min="4858" max="4858" width="11.26953125" style="39" bestFit="1" customWidth="1"/>
    <col min="4859" max="4859" width="12.54296875" style="39" bestFit="1" customWidth="1"/>
    <col min="4860" max="4861" width="12.54296875" style="39" customWidth="1"/>
    <col min="4862" max="4862" width="12.1796875" style="39" bestFit="1" customWidth="1"/>
    <col min="4863" max="4863" width="12.1796875" style="39" customWidth="1"/>
    <col min="4864" max="4864" width="8.81640625" style="39"/>
    <col min="4865" max="4865" width="24.54296875" style="39" customWidth="1"/>
    <col min="4866" max="4866" width="8.1796875" style="39" bestFit="1" customWidth="1"/>
    <col min="4867" max="4868" width="7.54296875" style="39" bestFit="1" customWidth="1"/>
    <col min="4869" max="4869" width="15.1796875" style="39" customWidth="1"/>
    <col min="4870" max="4870" width="8.1796875" style="39" bestFit="1" customWidth="1"/>
    <col min="4871" max="4871" width="13.453125" style="39" customWidth="1"/>
    <col min="4872" max="4872" width="12.453125" style="39" customWidth="1"/>
    <col min="4873" max="4873" width="8.81640625" style="39"/>
    <col min="4874" max="4874" width="20.54296875" style="39" customWidth="1"/>
    <col min="4875" max="4875" width="8.1796875" style="39" bestFit="1" customWidth="1"/>
    <col min="4876" max="4876" width="7.54296875" style="39" bestFit="1" customWidth="1"/>
    <col min="4877" max="4877" width="8.1796875" style="39" bestFit="1" customWidth="1"/>
    <col min="4878" max="4878" width="16.26953125" style="39" customWidth="1"/>
    <col min="4879" max="4879" width="8.1796875" style="39" bestFit="1" customWidth="1"/>
    <col min="4880" max="4880" width="12.54296875" style="39" customWidth="1"/>
    <col min="4881" max="4881" width="13.26953125" style="39" customWidth="1"/>
    <col min="4882" max="5100" width="8.81640625" style="39"/>
    <col min="5101" max="5101" width="27.26953125" style="39" bestFit="1" customWidth="1"/>
    <col min="5102" max="5102" width="12.54296875" style="39" bestFit="1" customWidth="1"/>
    <col min="5103" max="5104" width="12.54296875" style="39" customWidth="1"/>
    <col min="5105" max="5105" width="12.54296875" style="39" bestFit="1" customWidth="1"/>
    <col min="5106" max="5107" width="12.54296875" style="39" customWidth="1"/>
    <col min="5108" max="5109" width="12.1796875" style="39" bestFit="1" customWidth="1"/>
    <col min="5110" max="5110" width="8.81640625" style="39"/>
    <col min="5111" max="5111" width="22.81640625" style="39" bestFit="1" customWidth="1"/>
    <col min="5112" max="5112" width="12.54296875" style="39" bestFit="1" customWidth="1"/>
    <col min="5113" max="5113" width="13.54296875" style="39" customWidth="1"/>
    <col min="5114" max="5114" width="11.26953125" style="39" bestFit="1" customWidth="1"/>
    <col min="5115" max="5115" width="12.54296875" style="39" bestFit="1" customWidth="1"/>
    <col min="5116" max="5117" width="12.54296875" style="39" customWidth="1"/>
    <col min="5118" max="5118" width="12.1796875" style="39" bestFit="1" customWidth="1"/>
    <col min="5119" max="5119" width="12.1796875" style="39" customWidth="1"/>
    <col min="5120" max="5120" width="8.81640625" style="39"/>
    <col min="5121" max="5121" width="24.54296875" style="39" customWidth="1"/>
    <col min="5122" max="5122" width="8.1796875" style="39" bestFit="1" customWidth="1"/>
    <col min="5123" max="5124" width="7.54296875" style="39" bestFit="1" customWidth="1"/>
    <col min="5125" max="5125" width="15.1796875" style="39" customWidth="1"/>
    <col min="5126" max="5126" width="8.1796875" style="39" bestFit="1" customWidth="1"/>
    <col min="5127" max="5127" width="13.453125" style="39" customWidth="1"/>
    <col min="5128" max="5128" width="12.453125" style="39" customWidth="1"/>
    <col min="5129" max="5129" width="8.81640625" style="39"/>
    <col min="5130" max="5130" width="20.54296875" style="39" customWidth="1"/>
    <col min="5131" max="5131" width="8.1796875" style="39" bestFit="1" customWidth="1"/>
    <col min="5132" max="5132" width="7.54296875" style="39" bestFit="1" customWidth="1"/>
    <col min="5133" max="5133" width="8.1796875" style="39" bestFit="1" customWidth="1"/>
    <col min="5134" max="5134" width="16.26953125" style="39" customWidth="1"/>
    <col min="5135" max="5135" width="8.1796875" style="39" bestFit="1" customWidth="1"/>
    <col min="5136" max="5136" width="12.54296875" style="39" customWidth="1"/>
    <col min="5137" max="5137" width="13.26953125" style="39" customWidth="1"/>
    <col min="5138" max="5356" width="8.81640625" style="39"/>
    <col min="5357" max="5357" width="27.26953125" style="39" bestFit="1" customWidth="1"/>
    <col min="5358" max="5358" width="12.54296875" style="39" bestFit="1" customWidth="1"/>
    <col min="5359" max="5360" width="12.54296875" style="39" customWidth="1"/>
    <col min="5361" max="5361" width="12.54296875" style="39" bestFit="1" customWidth="1"/>
    <col min="5362" max="5363" width="12.54296875" style="39" customWidth="1"/>
    <col min="5364" max="5365" width="12.1796875" style="39" bestFit="1" customWidth="1"/>
    <col min="5366" max="5366" width="8.81640625" style="39"/>
    <col min="5367" max="5367" width="22.81640625" style="39" bestFit="1" customWidth="1"/>
    <col min="5368" max="5368" width="12.54296875" style="39" bestFit="1" customWidth="1"/>
    <col min="5369" max="5369" width="13.54296875" style="39" customWidth="1"/>
    <col min="5370" max="5370" width="11.26953125" style="39" bestFit="1" customWidth="1"/>
    <col min="5371" max="5371" width="12.54296875" style="39" bestFit="1" customWidth="1"/>
    <col min="5372" max="5373" width="12.54296875" style="39" customWidth="1"/>
    <col min="5374" max="5374" width="12.1796875" style="39" bestFit="1" customWidth="1"/>
    <col min="5375" max="5375" width="12.1796875" style="39" customWidth="1"/>
    <col min="5376" max="5376" width="8.81640625" style="39"/>
    <col min="5377" max="5377" width="24.54296875" style="39" customWidth="1"/>
    <col min="5378" max="5378" width="8.1796875" style="39" bestFit="1" customWidth="1"/>
    <col min="5379" max="5380" width="7.54296875" style="39" bestFit="1" customWidth="1"/>
    <col min="5381" max="5381" width="15.1796875" style="39" customWidth="1"/>
    <col min="5382" max="5382" width="8.1796875" style="39" bestFit="1" customWidth="1"/>
    <col min="5383" max="5383" width="13.453125" style="39" customWidth="1"/>
    <col min="5384" max="5384" width="12.453125" style="39" customWidth="1"/>
    <col min="5385" max="5385" width="8.81640625" style="39"/>
    <col min="5386" max="5386" width="20.54296875" style="39" customWidth="1"/>
    <col min="5387" max="5387" width="8.1796875" style="39" bestFit="1" customWidth="1"/>
    <col min="5388" max="5388" width="7.54296875" style="39" bestFit="1" customWidth="1"/>
    <col min="5389" max="5389" width="8.1796875" style="39" bestFit="1" customWidth="1"/>
    <col min="5390" max="5390" width="16.26953125" style="39" customWidth="1"/>
    <col min="5391" max="5391" width="8.1796875" style="39" bestFit="1" customWidth="1"/>
    <col min="5392" max="5392" width="12.54296875" style="39" customWidth="1"/>
    <col min="5393" max="5393" width="13.26953125" style="39" customWidth="1"/>
    <col min="5394" max="5612" width="8.81640625" style="39"/>
    <col min="5613" max="5613" width="27.26953125" style="39" bestFit="1" customWidth="1"/>
    <col min="5614" max="5614" width="12.54296875" style="39" bestFit="1" customWidth="1"/>
    <col min="5615" max="5616" width="12.54296875" style="39" customWidth="1"/>
    <col min="5617" max="5617" width="12.54296875" style="39" bestFit="1" customWidth="1"/>
    <col min="5618" max="5619" width="12.54296875" style="39" customWidth="1"/>
    <col min="5620" max="5621" width="12.1796875" style="39" bestFit="1" customWidth="1"/>
    <col min="5622" max="5622" width="8.81640625" style="39"/>
    <col min="5623" max="5623" width="22.81640625" style="39" bestFit="1" customWidth="1"/>
    <col min="5624" max="5624" width="12.54296875" style="39" bestFit="1" customWidth="1"/>
    <col min="5625" max="5625" width="13.54296875" style="39" customWidth="1"/>
    <col min="5626" max="5626" width="11.26953125" style="39" bestFit="1" customWidth="1"/>
    <col min="5627" max="5627" width="12.54296875" style="39" bestFit="1" customWidth="1"/>
    <col min="5628" max="5629" width="12.54296875" style="39" customWidth="1"/>
    <col min="5630" max="5630" width="12.1796875" style="39" bestFit="1" customWidth="1"/>
    <col min="5631" max="5631" width="12.1796875" style="39" customWidth="1"/>
    <col min="5632" max="5632" width="8.81640625" style="39"/>
    <col min="5633" max="5633" width="24.54296875" style="39" customWidth="1"/>
    <col min="5634" max="5634" width="8.1796875" style="39" bestFit="1" customWidth="1"/>
    <col min="5635" max="5636" width="7.54296875" style="39" bestFit="1" customWidth="1"/>
    <col min="5637" max="5637" width="15.1796875" style="39" customWidth="1"/>
    <col min="5638" max="5638" width="8.1796875" style="39" bestFit="1" customWidth="1"/>
    <col min="5639" max="5639" width="13.453125" style="39" customWidth="1"/>
    <col min="5640" max="5640" width="12.453125" style="39" customWidth="1"/>
    <col min="5641" max="5641" width="8.81640625" style="39"/>
    <col min="5642" max="5642" width="20.54296875" style="39" customWidth="1"/>
    <col min="5643" max="5643" width="8.1796875" style="39" bestFit="1" customWidth="1"/>
    <col min="5644" max="5644" width="7.54296875" style="39" bestFit="1" customWidth="1"/>
    <col min="5645" max="5645" width="8.1796875" style="39" bestFit="1" customWidth="1"/>
    <col min="5646" max="5646" width="16.26953125" style="39" customWidth="1"/>
    <col min="5647" max="5647" width="8.1796875" style="39" bestFit="1" customWidth="1"/>
    <col min="5648" max="5648" width="12.54296875" style="39" customWidth="1"/>
    <col min="5649" max="5649" width="13.26953125" style="39" customWidth="1"/>
    <col min="5650" max="5868" width="8.81640625" style="39"/>
    <col min="5869" max="5869" width="27.26953125" style="39" bestFit="1" customWidth="1"/>
    <col min="5870" max="5870" width="12.54296875" style="39" bestFit="1" customWidth="1"/>
    <col min="5871" max="5872" width="12.54296875" style="39" customWidth="1"/>
    <col min="5873" max="5873" width="12.54296875" style="39" bestFit="1" customWidth="1"/>
    <col min="5874" max="5875" width="12.54296875" style="39" customWidth="1"/>
    <col min="5876" max="5877" width="12.1796875" style="39" bestFit="1" customWidth="1"/>
    <col min="5878" max="5878" width="8.81640625" style="39"/>
    <col min="5879" max="5879" width="22.81640625" style="39" bestFit="1" customWidth="1"/>
    <col min="5880" max="5880" width="12.54296875" style="39" bestFit="1" customWidth="1"/>
    <col min="5881" max="5881" width="13.54296875" style="39" customWidth="1"/>
    <col min="5882" max="5882" width="11.26953125" style="39" bestFit="1" customWidth="1"/>
    <col min="5883" max="5883" width="12.54296875" style="39" bestFit="1" customWidth="1"/>
    <col min="5884" max="5885" width="12.54296875" style="39" customWidth="1"/>
    <col min="5886" max="5886" width="12.1796875" style="39" bestFit="1" customWidth="1"/>
    <col min="5887" max="5887" width="12.1796875" style="39" customWidth="1"/>
    <col min="5888" max="5888" width="8.81640625" style="39"/>
    <col min="5889" max="5889" width="24.54296875" style="39" customWidth="1"/>
    <col min="5890" max="5890" width="8.1796875" style="39" bestFit="1" customWidth="1"/>
    <col min="5891" max="5892" width="7.54296875" style="39" bestFit="1" customWidth="1"/>
    <col min="5893" max="5893" width="15.1796875" style="39" customWidth="1"/>
    <col min="5894" max="5894" width="8.1796875" style="39" bestFit="1" customWidth="1"/>
    <col min="5895" max="5895" width="13.453125" style="39" customWidth="1"/>
    <col min="5896" max="5896" width="12.453125" style="39" customWidth="1"/>
    <col min="5897" max="5897" width="8.81640625" style="39"/>
    <col min="5898" max="5898" width="20.54296875" style="39" customWidth="1"/>
    <col min="5899" max="5899" width="8.1796875" style="39" bestFit="1" customWidth="1"/>
    <col min="5900" max="5900" width="7.54296875" style="39" bestFit="1" customWidth="1"/>
    <col min="5901" max="5901" width="8.1796875" style="39" bestFit="1" customWidth="1"/>
    <col min="5902" max="5902" width="16.26953125" style="39" customWidth="1"/>
    <col min="5903" max="5903" width="8.1796875" style="39" bestFit="1" customWidth="1"/>
    <col min="5904" max="5904" width="12.54296875" style="39" customWidth="1"/>
    <col min="5905" max="5905" width="13.26953125" style="39" customWidth="1"/>
    <col min="5906" max="6124" width="8.81640625" style="39"/>
    <col min="6125" max="6125" width="27.26953125" style="39" bestFit="1" customWidth="1"/>
    <col min="6126" max="6126" width="12.54296875" style="39" bestFit="1" customWidth="1"/>
    <col min="6127" max="6128" width="12.54296875" style="39" customWidth="1"/>
    <col min="6129" max="6129" width="12.54296875" style="39" bestFit="1" customWidth="1"/>
    <col min="6130" max="6131" width="12.54296875" style="39" customWidth="1"/>
    <col min="6132" max="6133" width="12.1796875" style="39" bestFit="1" customWidth="1"/>
    <col min="6134" max="6134" width="8.81640625" style="39"/>
    <col min="6135" max="6135" width="22.81640625" style="39" bestFit="1" customWidth="1"/>
    <col min="6136" max="6136" width="12.54296875" style="39" bestFit="1" customWidth="1"/>
    <col min="6137" max="6137" width="13.54296875" style="39" customWidth="1"/>
    <col min="6138" max="6138" width="11.26953125" style="39" bestFit="1" customWidth="1"/>
    <col min="6139" max="6139" width="12.54296875" style="39" bestFit="1" customWidth="1"/>
    <col min="6140" max="6141" width="12.54296875" style="39" customWidth="1"/>
    <col min="6142" max="6142" width="12.1796875" style="39" bestFit="1" customWidth="1"/>
    <col min="6143" max="6143" width="12.1796875" style="39" customWidth="1"/>
    <col min="6144" max="6144" width="8.81640625" style="39"/>
    <col min="6145" max="6145" width="24.54296875" style="39" customWidth="1"/>
    <col min="6146" max="6146" width="8.1796875" style="39" bestFit="1" customWidth="1"/>
    <col min="6147" max="6148" width="7.54296875" style="39" bestFit="1" customWidth="1"/>
    <col min="6149" max="6149" width="15.1796875" style="39" customWidth="1"/>
    <col min="6150" max="6150" width="8.1796875" style="39" bestFit="1" customWidth="1"/>
    <col min="6151" max="6151" width="13.453125" style="39" customWidth="1"/>
    <col min="6152" max="6152" width="12.453125" style="39" customWidth="1"/>
    <col min="6153" max="6153" width="8.81640625" style="39"/>
    <col min="6154" max="6154" width="20.54296875" style="39" customWidth="1"/>
    <col min="6155" max="6155" width="8.1796875" style="39" bestFit="1" customWidth="1"/>
    <col min="6156" max="6156" width="7.54296875" style="39" bestFit="1" customWidth="1"/>
    <col min="6157" max="6157" width="8.1796875" style="39" bestFit="1" customWidth="1"/>
    <col min="6158" max="6158" width="16.26953125" style="39" customWidth="1"/>
    <col min="6159" max="6159" width="8.1796875" style="39" bestFit="1" customWidth="1"/>
    <col min="6160" max="6160" width="12.54296875" style="39" customWidth="1"/>
    <col min="6161" max="6161" width="13.26953125" style="39" customWidth="1"/>
    <col min="6162" max="6380" width="8.81640625" style="39"/>
    <col min="6381" max="6381" width="27.26953125" style="39" bestFit="1" customWidth="1"/>
    <col min="6382" max="6382" width="12.54296875" style="39" bestFit="1" customWidth="1"/>
    <col min="6383" max="6384" width="12.54296875" style="39" customWidth="1"/>
    <col min="6385" max="6385" width="12.54296875" style="39" bestFit="1" customWidth="1"/>
    <col min="6386" max="6387" width="12.54296875" style="39" customWidth="1"/>
    <col min="6388" max="6389" width="12.1796875" style="39" bestFit="1" customWidth="1"/>
    <col min="6390" max="6390" width="8.81640625" style="39"/>
    <col min="6391" max="6391" width="22.81640625" style="39" bestFit="1" customWidth="1"/>
    <col min="6392" max="6392" width="12.54296875" style="39" bestFit="1" customWidth="1"/>
    <col min="6393" max="6393" width="13.54296875" style="39" customWidth="1"/>
    <col min="6394" max="6394" width="11.26953125" style="39" bestFit="1" customWidth="1"/>
    <col min="6395" max="6395" width="12.54296875" style="39" bestFit="1" customWidth="1"/>
    <col min="6396" max="6397" width="12.54296875" style="39" customWidth="1"/>
    <col min="6398" max="6398" width="12.1796875" style="39" bestFit="1" customWidth="1"/>
    <col min="6399" max="6399" width="12.1796875" style="39" customWidth="1"/>
    <col min="6400" max="6400" width="8.81640625" style="39"/>
    <col min="6401" max="6401" width="24.54296875" style="39" customWidth="1"/>
    <col min="6402" max="6402" width="8.1796875" style="39" bestFit="1" customWidth="1"/>
    <col min="6403" max="6404" width="7.54296875" style="39" bestFit="1" customWidth="1"/>
    <col min="6405" max="6405" width="15.1796875" style="39" customWidth="1"/>
    <col min="6406" max="6406" width="8.1796875" style="39" bestFit="1" customWidth="1"/>
    <col min="6407" max="6407" width="13.453125" style="39" customWidth="1"/>
    <col min="6408" max="6408" width="12.453125" style="39" customWidth="1"/>
    <col min="6409" max="6409" width="8.81640625" style="39"/>
    <col min="6410" max="6410" width="20.54296875" style="39" customWidth="1"/>
    <col min="6411" max="6411" width="8.1796875" style="39" bestFit="1" customWidth="1"/>
    <col min="6412" max="6412" width="7.54296875" style="39" bestFit="1" customWidth="1"/>
    <col min="6413" max="6413" width="8.1796875" style="39" bestFit="1" customWidth="1"/>
    <col min="6414" max="6414" width="16.26953125" style="39" customWidth="1"/>
    <col min="6415" max="6415" width="8.1796875" style="39" bestFit="1" customWidth="1"/>
    <col min="6416" max="6416" width="12.54296875" style="39" customWidth="1"/>
    <col min="6417" max="6417" width="13.26953125" style="39" customWidth="1"/>
    <col min="6418" max="6636" width="8.81640625" style="39"/>
    <col min="6637" max="6637" width="27.26953125" style="39" bestFit="1" customWidth="1"/>
    <col min="6638" max="6638" width="12.54296875" style="39" bestFit="1" customWidth="1"/>
    <col min="6639" max="6640" width="12.54296875" style="39" customWidth="1"/>
    <col min="6641" max="6641" width="12.54296875" style="39" bestFit="1" customWidth="1"/>
    <col min="6642" max="6643" width="12.54296875" style="39" customWidth="1"/>
    <col min="6644" max="6645" width="12.1796875" style="39" bestFit="1" customWidth="1"/>
    <col min="6646" max="6646" width="8.81640625" style="39"/>
    <col min="6647" max="6647" width="22.81640625" style="39" bestFit="1" customWidth="1"/>
    <col min="6648" max="6648" width="12.54296875" style="39" bestFit="1" customWidth="1"/>
    <col min="6649" max="6649" width="13.54296875" style="39" customWidth="1"/>
    <col min="6650" max="6650" width="11.26953125" style="39" bestFit="1" customWidth="1"/>
    <col min="6651" max="6651" width="12.54296875" style="39" bestFit="1" customWidth="1"/>
    <col min="6652" max="6653" width="12.54296875" style="39" customWidth="1"/>
    <col min="6654" max="6654" width="12.1796875" style="39" bestFit="1" customWidth="1"/>
    <col min="6655" max="6655" width="12.1796875" style="39" customWidth="1"/>
    <col min="6656" max="6656" width="8.81640625" style="39"/>
    <col min="6657" max="6657" width="24.54296875" style="39" customWidth="1"/>
    <col min="6658" max="6658" width="8.1796875" style="39" bestFit="1" customWidth="1"/>
    <col min="6659" max="6660" width="7.54296875" style="39" bestFit="1" customWidth="1"/>
    <col min="6661" max="6661" width="15.1796875" style="39" customWidth="1"/>
    <col min="6662" max="6662" width="8.1796875" style="39" bestFit="1" customWidth="1"/>
    <col min="6663" max="6663" width="13.453125" style="39" customWidth="1"/>
    <col min="6664" max="6664" width="12.453125" style="39" customWidth="1"/>
    <col min="6665" max="6665" width="8.81640625" style="39"/>
    <col min="6666" max="6666" width="20.54296875" style="39" customWidth="1"/>
    <col min="6667" max="6667" width="8.1796875" style="39" bestFit="1" customWidth="1"/>
    <col min="6668" max="6668" width="7.54296875" style="39" bestFit="1" customWidth="1"/>
    <col min="6669" max="6669" width="8.1796875" style="39" bestFit="1" customWidth="1"/>
    <col min="6670" max="6670" width="16.26953125" style="39" customWidth="1"/>
    <col min="6671" max="6671" width="8.1796875" style="39" bestFit="1" customWidth="1"/>
    <col min="6672" max="6672" width="12.54296875" style="39" customWidth="1"/>
    <col min="6673" max="6673" width="13.26953125" style="39" customWidth="1"/>
    <col min="6674" max="6892" width="8.81640625" style="39"/>
    <col min="6893" max="6893" width="27.26953125" style="39" bestFit="1" customWidth="1"/>
    <col min="6894" max="6894" width="12.54296875" style="39" bestFit="1" customWidth="1"/>
    <col min="6895" max="6896" width="12.54296875" style="39" customWidth="1"/>
    <col min="6897" max="6897" width="12.54296875" style="39" bestFit="1" customWidth="1"/>
    <col min="6898" max="6899" width="12.54296875" style="39" customWidth="1"/>
    <col min="6900" max="6901" width="12.1796875" style="39" bestFit="1" customWidth="1"/>
    <col min="6902" max="6902" width="8.81640625" style="39"/>
    <col min="6903" max="6903" width="22.81640625" style="39" bestFit="1" customWidth="1"/>
    <col min="6904" max="6904" width="12.54296875" style="39" bestFit="1" customWidth="1"/>
    <col min="6905" max="6905" width="13.54296875" style="39" customWidth="1"/>
    <col min="6906" max="6906" width="11.26953125" style="39" bestFit="1" customWidth="1"/>
    <col min="6907" max="6907" width="12.54296875" style="39" bestFit="1" customWidth="1"/>
    <col min="6908" max="6909" width="12.54296875" style="39" customWidth="1"/>
    <col min="6910" max="6910" width="12.1796875" style="39" bestFit="1" customWidth="1"/>
    <col min="6911" max="6911" width="12.1796875" style="39" customWidth="1"/>
    <col min="6912" max="6912" width="8.81640625" style="39"/>
    <col min="6913" max="6913" width="24.54296875" style="39" customWidth="1"/>
    <col min="6914" max="6914" width="8.1796875" style="39" bestFit="1" customWidth="1"/>
    <col min="6915" max="6916" width="7.54296875" style="39" bestFit="1" customWidth="1"/>
    <col min="6917" max="6917" width="15.1796875" style="39" customWidth="1"/>
    <col min="6918" max="6918" width="8.1796875" style="39" bestFit="1" customWidth="1"/>
    <col min="6919" max="6919" width="13.453125" style="39" customWidth="1"/>
    <col min="6920" max="6920" width="12.453125" style="39" customWidth="1"/>
    <col min="6921" max="6921" width="8.81640625" style="39"/>
    <col min="6922" max="6922" width="20.54296875" style="39" customWidth="1"/>
    <col min="6923" max="6923" width="8.1796875" style="39" bestFit="1" customWidth="1"/>
    <col min="6924" max="6924" width="7.54296875" style="39" bestFit="1" customWidth="1"/>
    <col min="6925" max="6925" width="8.1796875" style="39" bestFit="1" customWidth="1"/>
    <col min="6926" max="6926" width="16.26953125" style="39" customWidth="1"/>
    <col min="6927" max="6927" width="8.1796875" style="39" bestFit="1" customWidth="1"/>
    <col min="6928" max="6928" width="12.54296875" style="39" customWidth="1"/>
    <col min="6929" max="6929" width="13.26953125" style="39" customWidth="1"/>
    <col min="6930" max="7148" width="8.81640625" style="39"/>
    <col min="7149" max="7149" width="27.26953125" style="39" bestFit="1" customWidth="1"/>
    <col min="7150" max="7150" width="12.54296875" style="39" bestFit="1" customWidth="1"/>
    <col min="7151" max="7152" width="12.54296875" style="39" customWidth="1"/>
    <col min="7153" max="7153" width="12.54296875" style="39" bestFit="1" customWidth="1"/>
    <col min="7154" max="7155" width="12.54296875" style="39" customWidth="1"/>
    <col min="7156" max="7157" width="12.1796875" style="39" bestFit="1" customWidth="1"/>
    <col min="7158" max="7158" width="8.81640625" style="39"/>
    <col min="7159" max="7159" width="22.81640625" style="39" bestFit="1" customWidth="1"/>
    <col min="7160" max="7160" width="12.54296875" style="39" bestFit="1" customWidth="1"/>
    <col min="7161" max="7161" width="13.54296875" style="39" customWidth="1"/>
    <col min="7162" max="7162" width="11.26953125" style="39" bestFit="1" customWidth="1"/>
    <col min="7163" max="7163" width="12.54296875" style="39" bestFit="1" customWidth="1"/>
    <col min="7164" max="7165" width="12.54296875" style="39" customWidth="1"/>
    <col min="7166" max="7166" width="12.1796875" style="39" bestFit="1" customWidth="1"/>
    <col min="7167" max="7167" width="12.1796875" style="39" customWidth="1"/>
    <col min="7168" max="7168" width="8.81640625" style="39"/>
    <col min="7169" max="7169" width="24.54296875" style="39" customWidth="1"/>
    <col min="7170" max="7170" width="8.1796875" style="39" bestFit="1" customWidth="1"/>
    <col min="7171" max="7172" width="7.54296875" style="39" bestFit="1" customWidth="1"/>
    <col min="7173" max="7173" width="15.1796875" style="39" customWidth="1"/>
    <col min="7174" max="7174" width="8.1796875" style="39" bestFit="1" customWidth="1"/>
    <col min="7175" max="7175" width="13.453125" style="39" customWidth="1"/>
    <col min="7176" max="7176" width="12.453125" style="39" customWidth="1"/>
    <col min="7177" max="7177" width="8.81640625" style="39"/>
    <col min="7178" max="7178" width="20.54296875" style="39" customWidth="1"/>
    <col min="7179" max="7179" width="8.1796875" style="39" bestFit="1" customWidth="1"/>
    <col min="7180" max="7180" width="7.54296875" style="39" bestFit="1" customWidth="1"/>
    <col min="7181" max="7181" width="8.1796875" style="39" bestFit="1" customWidth="1"/>
    <col min="7182" max="7182" width="16.26953125" style="39" customWidth="1"/>
    <col min="7183" max="7183" width="8.1796875" style="39" bestFit="1" customWidth="1"/>
    <col min="7184" max="7184" width="12.54296875" style="39" customWidth="1"/>
    <col min="7185" max="7185" width="13.26953125" style="39" customWidth="1"/>
    <col min="7186" max="7404" width="8.81640625" style="39"/>
    <col min="7405" max="7405" width="27.26953125" style="39" bestFit="1" customWidth="1"/>
    <col min="7406" max="7406" width="12.54296875" style="39" bestFit="1" customWidth="1"/>
    <col min="7407" max="7408" width="12.54296875" style="39" customWidth="1"/>
    <col min="7409" max="7409" width="12.54296875" style="39" bestFit="1" customWidth="1"/>
    <col min="7410" max="7411" width="12.54296875" style="39" customWidth="1"/>
    <col min="7412" max="7413" width="12.1796875" style="39" bestFit="1" customWidth="1"/>
    <col min="7414" max="7414" width="8.81640625" style="39"/>
    <col min="7415" max="7415" width="22.81640625" style="39" bestFit="1" customWidth="1"/>
    <col min="7416" max="7416" width="12.54296875" style="39" bestFit="1" customWidth="1"/>
    <col min="7417" max="7417" width="13.54296875" style="39" customWidth="1"/>
    <col min="7418" max="7418" width="11.26953125" style="39" bestFit="1" customWidth="1"/>
    <col min="7419" max="7419" width="12.54296875" style="39" bestFit="1" customWidth="1"/>
    <col min="7420" max="7421" width="12.54296875" style="39" customWidth="1"/>
    <col min="7422" max="7422" width="12.1796875" style="39" bestFit="1" customWidth="1"/>
    <col min="7423" max="7423" width="12.1796875" style="39" customWidth="1"/>
    <col min="7424" max="7424" width="8.81640625" style="39"/>
    <col min="7425" max="7425" width="24.54296875" style="39" customWidth="1"/>
    <col min="7426" max="7426" width="8.1796875" style="39" bestFit="1" customWidth="1"/>
    <col min="7427" max="7428" width="7.54296875" style="39" bestFit="1" customWidth="1"/>
    <col min="7429" max="7429" width="15.1796875" style="39" customWidth="1"/>
    <col min="7430" max="7430" width="8.1796875" style="39" bestFit="1" customWidth="1"/>
    <col min="7431" max="7431" width="13.453125" style="39" customWidth="1"/>
    <col min="7432" max="7432" width="12.453125" style="39" customWidth="1"/>
    <col min="7433" max="7433" width="8.81640625" style="39"/>
    <col min="7434" max="7434" width="20.54296875" style="39" customWidth="1"/>
    <col min="7435" max="7435" width="8.1796875" style="39" bestFit="1" customWidth="1"/>
    <col min="7436" max="7436" width="7.54296875" style="39" bestFit="1" customWidth="1"/>
    <col min="7437" max="7437" width="8.1796875" style="39" bestFit="1" customWidth="1"/>
    <col min="7438" max="7438" width="16.26953125" style="39" customWidth="1"/>
    <col min="7439" max="7439" width="8.1796875" style="39" bestFit="1" customWidth="1"/>
    <col min="7440" max="7440" width="12.54296875" style="39" customWidth="1"/>
    <col min="7441" max="7441" width="13.26953125" style="39" customWidth="1"/>
    <col min="7442" max="7660" width="8.81640625" style="39"/>
    <col min="7661" max="7661" width="27.26953125" style="39" bestFit="1" customWidth="1"/>
    <col min="7662" max="7662" width="12.54296875" style="39" bestFit="1" customWidth="1"/>
    <col min="7663" max="7664" width="12.54296875" style="39" customWidth="1"/>
    <col min="7665" max="7665" width="12.54296875" style="39" bestFit="1" customWidth="1"/>
    <col min="7666" max="7667" width="12.54296875" style="39" customWidth="1"/>
    <col min="7668" max="7669" width="12.1796875" style="39" bestFit="1" customWidth="1"/>
    <col min="7670" max="7670" width="8.81640625" style="39"/>
    <col min="7671" max="7671" width="22.81640625" style="39" bestFit="1" customWidth="1"/>
    <col min="7672" max="7672" width="12.54296875" style="39" bestFit="1" customWidth="1"/>
    <col min="7673" max="7673" width="13.54296875" style="39" customWidth="1"/>
    <col min="7674" max="7674" width="11.26953125" style="39" bestFit="1" customWidth="1"/>
    <col min="7675" max="7675" width="12.54296875" style="39" bestFit="1" customWidth="1"/>
    <col min="7676" max="7677" width="12.54296875" style="39" customWidth="1"/>
    <col min="7678" max="7678" width="12.1796875" style="39" bestFit="1" customWidth="1"/>
    <col min="7679" max="7679" width="12.1796875" style="39" customWidth="1"/>
    <col min="7680" max="7680" width="8.81640625" style="39"/>
    <col min="7681" max="7681" width="24.54296875" style="39" customWidth="1"/>
    <col min="7682" max="7682" width="8.1796875" style="39" bestFit="1" customWidth="1"/>
    <col min="7683" max="7684" width="7.54296875" style="39" bestFit="1" customWidth="1"/>
    <col min="7685" max="7685" width="15.1796875" style="39" customWidth="1"/>
    <col min="7686" max="7686" width="8.1796875" style="39" bestFit="1" customWidth="1"/>
    <col min="7687" max="7687" width="13.453125" style="39" customWidth="1"/>
    <col min="7688" max="7688" width="12.453125" style="39" customWidth="1"/>
    <col min="7689" max="7689" width="8.81640625" style="39"/>
    <col min="7690" max="7690" width="20.54296875" style="39" customWidth="1"/>
    <col min="7691" max="7691" width="8.1796875" style="39" bestFit="1" customWidth="1"/>
    <col min="7692" max="7692" width="7.54296875" style="39" bestFit="1" customWidth="1"/>
    <col min="7693" max="7693" width="8.1796875" style="39" bestFit="1" customWidth="1"/>
    <col min="7694" max="7694" width="16.26953125" style="39" customWidth="1"/>
    <col min="7695" max="7695" width="8.1796875" style="39" bestFit="1" customWidth="1"/>
    <col min="7696" max="7696" width="12.54296875" style="39" customWidth="1"/>
    <col min="7697" max="7697" width="13.26953125" style="39" customWidth="1"/>
    <col min="7698" max="7916" width="8.81640625" style="39"/>
    <col min="7917" max="7917" width="27.26953125" style="39" bestFit="1" customWidth="1"/>
    <col min="7918" max="7918" width="12.54296875" style="39" bestFit="1" customWidth="1"/>
    <col min="7919" max="7920" width="12.54296875" style="39" customWidth="1"/>
    <col min="7921" max="7921" width="12.54296875" style="39" bestFit="1" customWidth="1"/>
    <col min="7922" max="7923" width="12.54296875" style="39" customWidth="1"/>
    <col min="7924" max="7925" width="12.1796875" style="39" bestFit="1" customWidth="1"/>
    <col min="7926" max="7926" width="8.81640625" style="39"/>
    <col min="7927" max="7927" width="22.81640625" style="39" bestFit="1" customWidth="1"/>
    <col min="7928" max="7928" width="12.54296875" style="39" bestFit="1" customWidth="1"/>
    <col min="7929" max="7929" width="13.54296875" style="39" customWidth="1"/>
    <col min="7930" max="7930" width="11.26953125" style="39" bestFit="1" customWidth="1"/>
    <col min="7931" max="7931" width="12.54296875" style="39" bestFit="1" customWidth="1"/>
    <col min="7932" max="7933" width="12.54296875" style="39" customWidth="1"/>
    <col min="7934" max="7934" width="12.1796875" style="39" bestFit="1" customWidth="1"/>
    <col min="7935" max="7935" width="12.1796875" style="39" customWidth="1"/>
    <col min="7936" max="7936" width="8.81640625" style="39"/>
    <col min="7937" max="7937" width="24.54296875" style="39" customWidth="1"/>
    <col min="7938" max="7938" width="8.1796875" style="39" bestFit="1" customWidth="1"/>
    <col min="7939" max="7940" width="7.54296875" style="39" bestFit="1" customWidth="1"/>
    <col min="7941" max="7941" width="15.1796875" style="39" customWidth="1"/>
    <col min="7942" max="7942" width="8.1796875" style="39" bestFit="1" customWidth="1"/>
    <col min="7943" max="7943" width="13.453125" style="39" customWidth="1"/>
    <col min="7944" max="7944" width="12.453125" style="39" customWidth="1"/>
    <col min="7945" max="7945" width="8.81640625" style="39"/>
    <col min="7946" max="7946" width="20.54296875" style="39" customWidth="1"/>
    <col min="7947" max="7947" width="8.1796875" style="39" bestFit="1" customWidth="1"/>
    <col min="7948" max="7948" width="7.54296875" style="39" bestFit="1" customWidth="1"/>
    <col min="7949" max="7949" width="8.1796875" style="39" bestFit="1" customWidth="1"/>
    <col min="7950" max="7950" width="16.26953125" style="39" customWidth="1"/>
    <col min="7951" max="7951" width="8.1796875" style="39" bestFit="1" customWidth="1"/>
    <col min="7952" max="7952" width="12.54296875" style="39" customWidth="1"/>
    <col min="7953" max="7953" width="13.26953125" style="39" customWidth="1"/>
    <col min="7954" max="8172" width="8.81640625" style="39"/>
    <col min="8173" max="8173" width="27.26953125" style="39" bestFit="1" customWidth="1"/>
    <col min="8174" max="8174" width="12.54296875" style="39" bestFit="1" customWidth="1"/>
    <col min="8175" max="8176" width="12.54296875" style="39" customWidth="1"/>
    <col min="8177" max="8177" width="12.54296875" style="39" bestFit="1" customWidth="1"/>
    <col min="8178" max="8179" width="12.54296875" style="39" customWidth="1"/>
    <col min="8180" max="8181" width="12.1796875" style="39" bestFit="1" customWidth="1"/>
    <col min="8182" max="8182" width="8.81640625" style="39"/>
    <col min="8183" max="8183" width="22.81640625" style="39" bestFit="1" customWidth="1"/>
    <col min="8184" max="8184" width="12.54296875" style="39" bestFit="1" customWidth="1"/>
    <col min="8185" max="8185" width="13.54296875" style="39" customWidth="1"/>
    <col min="8186" max="8186" width="11.26953125" style="39" bestFit="1" customWidth="1"/>
    <col min="8187" max="8187" width="12.54296875" style="39" bestFit="1" customWidth="1"/>
    <col min="8188" max="8189" width="12.54296875" style="39" customWidth="1"/>
    <col min="8190" max="8190" width="12.1796875" style="39" bestFit="1" customWidth="1"/>
    <col min="8191" max="8191" width="12.1796875" style="39" customWidth="1"/>
    <col min="8192" max="8192" width="8.81640625" style="39"/>
    <col min="8193" max="8193" width="24.54296875" style="39" customWidth="1"/>
    <col min="8194" max="8194" width="8.1796875" style="39" bestFit="1" customWidth="1"/>
    <col min="8195" max="8196" width="7.54296875" style="39" bestFit="1" customWidth="1"/>
    <col min="8197" max="8197" width="15.1796875" style="39" customWidth="1"/>
    <col min="8198" max="8198" width="8.1796875" style="39" bestFit="1" customWidth="1"/>
    <col min="8199" max="8199" width="13.453125" style="39" customWidth="1"/>
    <col min="8200" max="8200" width="12.453125" style="39" customWidth="1"/>
    <col min="8201" max="8201" width="8.81640625" style="39"/>
    <col min="8202" max="8202" width="20.54296875" style="39" customWidth="1"/>
    <col min="8203" max="8203" width="8.1796875" style="39" bestFit="1" customWidth="1"/>
    <col min="8204" max="8204" width="7.54296875" style="39" bestFit="1" customWidth="1"/>
    <col min="8205" max="8205" width="8.1796875" style="39" bestFit="1" customWidth="1"/>
    <col min="8206" max="8206" width="16.26953125" style="39" customWidth="1"/>
    <col min="8207" max="8207" width="8.1796875" style="39" bestFit="1" customWidth="1"/>
    <col min="8208" max="8208" width="12.54296875" style="39" customWidth="1"/>
    <col min="8209" max="8209" width="13.26953125" style="39" customWidth="1"/>
    <col min="8210" max="8428" width="8.81640625" style="39"/>
    <col min="8429" max="8429" width="27.26953125" style="39" bestFit="1" customWidth="1"/>
    <col min="8430" max="8430" width="12.54296875" style="39" bestFit="1" customWidth="1"/>
    <col min="8431" max="8432" width="12.54296875" style="39" customWidth="1"/>
    <col min="8433" max="8433" width="12.54296875" style="39" bestFit="1" customWidth="1"/>
    <col min="8434" max="8435" width="12.54296875" style="39" customWidth="1"/>
    <col min="8436" max="8437" width="12.1796875" style="39" bestFit="1" customWidth="1"/>
    <col min="8438" max="8438" width="8.81640625" style="39"/>
    <col min="8439" max="8439" width="22.81640625" style="39" bestFit="1" customWidth="1"/>
    <col min="8440" max="8440" width="12.54296875" style="39" bestFit="1" customWidth="1"/>
    <col min="8441" max="8441" width="13.54296875" style="39" customWidth="1"/>
    <col min="8442" max="8442" width="11.26953125" style="39" bestFit="1" customWidth="1"/>
    <col min="8443" max="8443" width="12.54296875" style="39" bestFit="1" customWidth="1"/>
    <col min="8444" max="8445" width="12.54296875" style="39" customWidth="1"/>
    <col min="8446" max="8446" width="12.1796875" style="39" bestFit="1" customWidth="1"/>
    <col min="8447" max="8447" width="12.1796875" style="39" customWidth="1"/>
    <col min="8448" max="8448" width="8.81640625" style="39"/>
    <col min="8449" max="8449" width="24.54296875" style="39" customWidth="1"/>
    <col min="8450" max="8450" width="8.1796875" style="39" bestFit="1" customWidth="1"/>
    <col min="8451" max="8452" width="7.54296875" style="39" bestFit="1" customWidth="1"/>
    <col min="8453" max="8453" width="15.1796875" style="39" customWidth="1"/>
    <col min="8454" max="8454" width="8.1796875" style="39" bestFit="1" customWidth="1"/>
    <col min="8455" max="8455" width="13.453125" style="39" customWidth="1"/>
    <col min="8456" max="8456" width="12.453125" style="39" customWidth="1"/>
    <col min="8457" max="8457" width="8.81640625" style="39"/>
    <col min="8458" max="8458" width="20.54296875" style="39" customWidth="1"/>
    <col min="8459" max="8459" width="8.1796875" style="39" bestFit="1" customWidth="1"/>
    <col min="8460" max="8460" width="7.54296875" style="39" bestFit="1" customWidth="1"/>
    <col min="8461" max="8461" width="8.1796875" style="39" bestFit="1" customWidth="1"/>
    <col min="8462" max="8462" width="16.26953125" style="39" customWidth="1"/>
    <col min="8463" max="8463" width="8.1796875" style="39" bestFit="1" customWidth="1"/>
    <col min="8464" max="8464" width="12.54296875" style="39" customWidth="1"/>
    <col min="8465" max="8465" width="13.26953125" style="39" customWidth="1"/>
    <col min="8466" max="8684" width="8.81640625" style="39"/>
    <col min="8685" max="8685" width="27.26953125" style="39" bestFit="1" customWidth="1"/>
    <col min="8686" max="8686" width="12.54296875" style="39" bestFit="1" customWidth="1"/>
    <col min="8687" max="8688" width="12.54296875" style="39" customWidth="1"/>
    <col min="8689" max="8689" width="12.54296875" style="39" bestFit="1" customWidth="1"/>
    <col min="8690" max="8691" width="12.54296875" style="39" customWidth="1"/>
    <col min="8692" max="8693" width="12.1796875" style="39" bestFit="1" customWidth="1"/>
    <col min="8694" max="8694" width="8.81640625" style="39"/>
    <col min="8695" max="8695" width="22.81640625" style="39" bestFit="1" customWidth="1"/>
    <col min="8696" max="8696" width="12.54296875" style="39" bestFit="1" customWidth="1"/>
    <col min="8697" max="8697" width="13.54296875" style="39" customWidth="1"/>
    <col min="8698" max="8698" width="11.26953125" style="39" bestFit="1" customWidth="1"/>
    <col min="8699" max="8699" width="12.54296875" style="39" bestFit="1" customWidth="1"/>
    <col min="8700" max="8701" width="12.54296875" style="39" customWidth="1"/>
    <col min="8702" max="8702" width="12.1796875" style="39" bestFit="1" customWidth="1"/>
    <col min="8703" max="8703" width="12.1796875" style="39" customWidth="1"/>
    <col min="8704" max="8704" width="8.81640625" style="39"/>
    <col min="8705" max="8705" width="24.54296875" style="39" customWidth="1"/>
    <col min="8706" max="8706" width="8.1796875" style="39" bestFit="1" customWidth="1"/>
    <col min="8707" max="8708" width="7.54296875" style="39" bestFit="1" customWidth="1"/>
    <col min="8709" max="8709" width="15.1796875" style="39" customWidth="1"/>
    <col min="8710" max="8710" width="8.1796875" style="39" bestFit="1" customWidth="1"/>
    <col min="8711" max="8711" width="13.453125" style="39" customWidth="1"/>
    <col min="8712" max="8712" width="12.453125" style="39" customWidth="1"/>
    <col min="8713" max="8713" width="8.81640625" style="39"/>
    <col min="8714" max="8714" width="20.54296875" style="39" customWidth="1"/>
    <col min="8715" max="8715" width="8.1796875" style="39" bestFit="1" customWidth="1"/>
    <col min="8716" max="8716" width="7.54296875" style="39" bestFit="1" customWidth="1"/>
    <col min="8717" max="8717" width="8.1796875" style="39" bestFit="1" customWidth="1"/>
    <col min="8718" max="8718" width="16.26953125" style="39" customWidth="1"/>
    <col min="8719" max="8719" width="8.1796875" style="39" bestFit="1" customWidth="1"/>
    <col min="8720" max="8720" width="12.54296875" style="39" customWidth="1"/>
    <col min="8721" max="8721" width="13.26953125" style="39" customWidth="1"/>
    <col min="8722" max="8940" width="8.81640625" style="39"/>
    <col min="8941" max="8941" width="27.26953125" style="39" bestFit="1" customWidth="1"/>
    <col min="8942" max="8942" width="12.54296875" style="39" bestFit="1" customWidth="1"/>
    <col min="8943" max="8944" width="12.54296875" style="39" customWidth="1"/>
    <col min="8945" max="8945" width="12.54296875" style="39" bestFit="1" customWidth="1"/>
    <col min="8946" max="8947" width="12.54296875" style="39" customWidth="1"/>
    <col min="8948" max="8949" width="12.1796875" style="39" bestFit="1" customWidth="1"/>
    <col min="8950" max="8950" width="8.81640625" style="39"/>
    <col min="8951" max="8951" width="22.81640625" style="39" bestFit="1" customWidth="1"/>
    <col min="8952" max="8952" width="12.54296875" style="39" bestFit="1" customWidth="1"/>
    <col min="8953" max="8953" width="13.54296875" style="39" customWidth="1"/>
    <col min="8954" max="8954" width="11.26953125" style="39" bestFit="1" customWidth="1"/>
    <col min="8955" max="8955" width="12.54296875" style="39" bestFit="1" customWidth="1"/>
    <col min="8956" max="8957" width="12.54296875" style="39" customWidth="1"/>
    <col min="8958" max="8958" width="12.1796875" style="39" bestFit="1" customWidth="1"/>
    <col min="8959" max="8959" width="12.1796875" style="39" customWidth="1"/>
    <col min="8960" max="8960" width="8.81640625" style="39"/>
    <col min="8961" max="8961" width="24.54296875" style="39" customWidth="1"/>
    <col min="8962" max="8962" width="8.1796875" style="39" bestFit="1" customWidth="1"/>
    <col min="8963" max="8964" width="7.54296875" style="39" bestFit="1" customWidth="1"/>
    <col min="8965" max="8965" width="15.1796875" style="39" customWidth="1"/>
    <col min="8966" max="8966" width="8.1796875" style="39" bestFit="1" customWidth="1"/>
    <col min="8967" max="8967" width="13.453125" style="39" customWidth="1"/>
    <col min="8968" max="8968" width="12.453125" style="39" customWidth="1"/>
    <col min="8969" max="8969" width="8.81640625" style="39"/>
    <col min="8970" max="8970" width="20.54296875" style="39" customWidth="1"/>
    <col min="8971" max="8971" width="8.1796875" style="39" bestFit="1" customWidth="1"/>
    <col min="8972" max="8972" width="7.54296875" style="39" bestFit="1" customWidth="1"/>
    <col min="8973" max="8973" width="8.1796875" style="39" bestFit="1" customWidth="1"/>
    <col min="8974" max="8974" width="16.26953125" style="39" customWidth="1"/>
    <col min="8975" max="8975" width="8.1796875" style="39" bestFit="1" customWidth="1"/>
    <col min="8976" max="8976" width="12.54296875" style="39" customWidth="1"/>
    <col min="8977" max="8977" width="13.26953125" style="39" customWidth="1"/>
    <col min="8978" max="9196" width="8.81640625" style="39"/>
    <col min="9197" max="9197" width="27.26953125" style="39" bestFit="1" customWidth="1"/>
    <col min="9198" max="9198" width="12.54296875" style="39" bestFit="1" customWidth="1"/>
    <col min="9199" max="9200" width="12.54296875" style="39" customWidth="1"/>
    <col min="9201" max="9201" width="12.54296875" style="39" bestFit="1" customWidth="1"/>
    <col min="9202" max="9203" width="12.54296875" style="39" customWidth="1"/>
    <col min="9204" max="9205" width="12.1796875" style="39" bestFit="1" customWidth="1"/>
    <col min="9206" max="9206" width="8.81640625" style="39"/>
    <col min="9207" max="9207" width="22.81640625" style="39" bestFit="1" customWidth="1"/>
    <col min="9208" max="9208" width="12.54296875" style="39" bestFit="1" customWidth="1"/>
    <col min="9209" max="9209" width="13.54296875" style="39" customWidth="1"/>
    <col min="9210" max="9210" width="11.26953125" style="39" bestFit="1" customWidth="1"/>
    <col min="9211" max="9211" width="12.54296875" style="39" bestFit="1" customWidth="1"/>
    <col min="9212" max="9213" width="12.54296875" style="39" customWidth="1"/>
    <col min="9214" max="9214" width="12.1796875" style="39" bestFit="1" customWidth="1"/>
    <col min="9215" max="9215" width="12.1796875" style="39" customWidth="1"/>
    <col min="9216" max="9216" width="8.81640625" style="39"/>
    <col min="9217" max="9217" width="24.54296875" style="39" customWidth="1"/>
    <col min="9218" max="9218" width="8.1796875" style="39" bestFit="1" customWidth="1"/>
    <col min="9219" max="9220" width="7.54296875" style="39" bestFit="1" customWidth="1"/>
    <col min="9221" max="9221" width="15.1796875" style="39" customWidth="1"/>
    <col min="9222" max="9222" width="8.1796875" style="39" bestFit="1" customWidth="1"/>
    <col min="9223" max="9223" width="13.453125" style="39" customWidth="1"/>
    <col min="9224" max="9224" width="12.453125" style="39" customWidth="1"/>
    <col min="9225" max="9225" width="8.81640625" style="39"/>
    <col min="9226" max="9226" width="20.54296875" style="39" customWidth="1"/>
    <col min="9227" max="9227" width="8.1796875" style="39" bestFit="1" customWidth="1"/>
    <col min="9228" max="9228" width="7.54296875" style="39" bestFit="1" customWidth="1"/>
    <col min="9229" max="9229" width="8.1796875" style="39" bestFit="1" customWidth="1"/>
    <col min="9230" max="9230" width="16.26953125" style="39" customWidth="1"/>
    <col min="9231" max="9231" width="8.1796875" style="39" bestFit="1" customWidth="1"/>
    <col min="9232" max="9232" width="12.54296875" style="39" customWidth="1"/>
    <col min="9233" max="9233" width="13.26953125" style="39" customWidth="1"/>
    <col min="9234" max="9452" width="8.81640625" style="39"/>
    <col min="9453" max="9453" width="27.26953125" style="39" bestFit="1" customWidth="1"/>
    <col min="9454" max="9454" width="12.54296875" style="39" bestFit="1" customWidth="1"/>
    <col min="9455" max="9456" width="12.54296875" style="39" customWidth="1"/>
    <col min="9457" max="9457" width="12.54296875" style="39" bestFit="1" customWidth="1"/>
    <col min="9458" max="9459" width="12.54296875" style="39" customWidth="1"/>
    <col min="9460" max="9461" width="12.1796875" style="39" bestFit="1" customWidth="1"/>
    <col min="9462" max="9462" width="8.81640625" style="39"/>
    <col min="9463" max="9463" width="22.81640625" style="39" bestFit="1" customWidth="1"/>
    <col min="9464" max="9464" width="12.54296875" style="39" bestFit="1" customWidth="1"/>
    <col min="9465" max="9465" width="13.54296875" style="39" customWidth="1"/>
    <col min="9466" max="9466" width="11.26953125" style="39" bestFit="1" customWidth="1"/>
    <col min="9467" max="9467" width="12.54296875" style="39" bestFit="1" customWidth="1"/>
    <col min="9468" max="9469" width="12.54296875" style="39" customWidth="1"/>
    <col min="9470" max="9470" width="12.1796875" style="39" bestFit="1" customWidth="1"/>
    <col min="9471" max="9471" width="12.1796875" style="39" customWidth="1"/>
    <col min="9472" max="9472" width="8.81640625" style="39"/>
    <col min="9473" max="9473" width="24.54296875" style="39" customWidth="1"/>
    <col min="9474" max="9474" width="8.1796875" style="39" bestFit="1" customWidth="1"/>
    <col min="9475" max="9476" width="7.54296875" style="39" bestFit="1" customWidth="1"/>
    <col min="9477" max="9477" width="15.1796875" style="39" customWidth="1"/>
    <col min="9478" max="9478" width="8.1796875" style="39" bestFit="1" customWidth="1"/>
    <col min="9479" max="9479" width="13.453125" style="39" customWidth="1"/>
    <col min="9480" max="9480" width="12.453125" style="39" customWidth="1"/>
    <col min="9481" max="9481" width="8.81640625" style="39"/>
    <col min="9482" max="9482" width="20.54296875" style="39" customWidth="1"/>
    <col min="9483" max="9483" width="8.1796875" style="39" bestFit="1" customWidth="1"/>
    <col min="9484" max="9484" width="7.54296875" style="39" bestFit="1" customWidth="1"/>
    <col min="9485" max="9485" width="8.1796875" style="39" bestFit="1" customWidth="1"/>
    <col min="9486" max="9486" width="16.26953125" style="39" customWidth="1"/>
    <col min="9487" max="9487" width="8.1796875" style="39" bestFit="1" customWidth="1"/>
    <col min="9488" max="9488" width="12.54296875" style="39" customWidth="1"/>
    <col min="9489" max="9489" width="13.26953125" style="39" customWidth="1"/>
    <col min="9490" max="9708" width="8.81640625" style="39"/>
    <col min="9709" max="9709" width="27.26953125" style="39" bestFit="1" customWidth="1"/>
    <col min="9710" max="9710" width="12.54296875" style="39" bestFit="1" customWidth="1"/>
    <col min="9711" max="9712" width="12.54296875" style="39" customWidth="1"/>
    <col min="9713" max="9713" width="12.54296875" style="39" bestFit="1" customWidth="1"/>
    <col min="9714" max="9715" width="12.54296875" style="39" customWidth="1"/>
    <col min="9716" max="9717" width="12.1796875" style="39" bestFit="1" customWidth="1"/>
    <col min="9718" max="9718" width="8.81640625" style="39"/>
    <col min="9719" max="9719" width="22.81640625" style="39" bestFit="1" customWidth="1"/>
    <col min="9720" max="9720" width="12.54296875" style="39" bestFit="1" customWidth="1"/>
    <col min="9721" max="9721" width="13.54296875" style="39" customWidth="1"/>
    <col min="9722" max="9722" width="11.26953125" style="39" bestFit="1" customWidth="1"/>
    <col min="9723" max="9723" width="12.54296875" style="39" bestFit="1" customWidth="1"/>
    <col min="9724" max="9725" width="12.54296875" style="39" customWidth="1"/>
    <col min="9726" max="9726" width="12.1796875" style="39" bestFit="1" customWidth="1"/>
    <col min="9727" max="9727" width="12.1796875" style="39" customWidth="1"/>
    <col min="9728" max="9728" width="8.81640625" style="39"/>
    <col min="9729" max="9729" width="24.54296875" style="39" customWidth="1"/>
    <col min="9730" max="9730" width="8.1796875" style="39" bestFit="1" customWidth="1"/>
    <col min="9731" max="9732" width="7.54296875" style="39" bestFit="1" customWidth="1"/>
    <col min="9733" max="9733" width="15.1796875" style="39" customWidth="1"/>
    <col min="9734" max="9734" width="8.1796875" style="39" bestFit="1" customWidth="1"/>
    <col min="9735" max="9735" width="13.453125" style="39" customWidth="1"/>
    <col min="9736" max="9736" width="12.453125" style="39" customWidth="1"/>
    <col min="9737" max="9737" width="8.81640625" style="39"/>
    <col min="9738" max="9738" width="20.54296875" style="39" customWidth="1"/>
    <col min="9739" max="9739" width="8.1796875" style="39" bestFit="1" customWidth="1"/>
    <col min="9740" max="9740" width="7.54296875" style="39" bestFit="1" customWidth="1"/>
    <col min="9741" max="9741" width="8.1796875" style="39" bestFit="1" customWidth="1"/>
    <col min="9742" max="9742" width="16.26953125" style="39" customWidth="1"/>
    <col min="9743" max="9743" width="8.1796875" style="39" bestFit="1" customWidth="1"/>
    <col min="9744" max="9744" width="12.54296875" style="39" customWidth="1"/>
    <col min="9745" max="9745" width="13.26953125" style="39" customWidth="1"/>
    <col min="9746" max="9964" width="8.81640625" style="39"/>
    <col min="9965" max="9965" width="27.26953125" style="39" bestFit="1" customWidth="1"/>
    <col min="9966" max="9966" width="12.54296875" style="39" bestFit="1" customWidth="1"/>
    <col min="9967" max="9968" width="12.54296875" style="39" customWidth="1"/>
    <col min="9969" max="9969" width="12.54296875" style="39" bestFit="1" customWidth="1"/>
    <col min="9970" max="9971" width="12.54296875" style="39" customWidth="1"/>
    <col min="9972" max="9973" width="12.1796875" style="39" bestFit="1" customWidth="1"/>
    <col min="9974" max="9974" width="8.81640625" style="39"/>
    <col min="9975" max="9975" width="22.81640625" style="39" bestFit="1" customWidth="1"/>
    <col min="9976" max="9976" width="12.54296875" style="39" bestFit="1" customWidth="1"/>
    <col min="9977" max="9977" width="13.54296875" style="39" customWidth="1"/>
    <col min="9978" max="9978" width="11.26953125" style="39" bestFit="1" customWidth="1"/>
    <col min="9979" max="9979" width="12.54296875" style="39" bestFit="1" customWidth="1"/>
    <col min="9980" max="9981" width="12.54296875" style="39" customWidth="1"/>
    <col min="9982" max="9982" width="12.1796875" style="39" bestFit="1" customWidth="1"/>
    <col min="9983" max="9983" width="12.1796875" style="39" customWidth="1"/>
    <col min="9984" max="9984" width="8.81640625" style="39"/>
    <col min="9985" max="9985" width="24.54296875" style="39" customWidth="1"/>
    <col min="9986" max="9986" width="8.1796875" style="39" bestFit="1" customWidth="1"/>
    <col min="9987" max="9988" width="7.54296875" style="39" bestFit="1" customWidth="1"/>
    <col min="9989" max="9989" width="15.1796875" style="39" customWidth="1"/>
    <col min="9990" max="9990" width="8.1796875" style="39" bestFit="1" customWidth="1"/>
    <col min="9991" max="9991" width="13.453125" style="39" customWidth="1"/>
    <col min="9992" max="9992" width="12.453125" style="39" customWidth="1"/>
    <col min="9993" max="9993" width="8.81640625" style="39"/>
    <col min="9994" max="9994" width="20.54296875" style="39" customWidth="1"/>
    <col min="9995" max="9995" width="8.1796875" style="39" bestFit="1" customWidth="1"/>
    <col min="9996" max="9996" width="7.54296875" style="39" bestFit="1" customWidth="1"/>
    <col min="9997" max="9997" width="8.1796875" style="39" bestFit="1" customWidth="1"/>
    <col min="9998" max="9998" width="16.26953125" style="39" customWidth="1"/>
    <col min="9999" max="9999" width="8.1796875" style="39" bestFit="1" customWidth="1"/>
    <col min="10000" max="10000" width="12.54296875" style="39" customWidth="1"/>
    <col min="10001" max="10001" width="13.26953125" style="39" customWidth="1"/>
    <col min="10002" max="10220" width="8.81640625" style="39"/>
    <col min="10221" max="10221" width="27.26953125" style="39" bestFit="1" customWidth="1"/>
    <col min="10222" max="10222" width="12.54296875" style="39" bestFit="1" customWidth="1"/>
    <col min="10223" max="10224" width="12.54296875" style="39" customWidth="1"/>
    <col min="10225" max="10225" width="12.54296875" style="39" bestFit="1" customWidth="1"/>
    <col min="10226" max="10227" width="12.54296875" style="39" customWidth="1"/>
    <col min="10228" max="10229" width="12.1796875" style="39" bestFit="1" customWidth="1"/>
    <col min="10230" max="10230" width="8.81640625" style="39"/>
    <col min="10231" max="10231" width="22.81640625" style="39" bestFit="1" customWidth="1"/>
    <col min="10232" max="10232" width="12.54296875" style="39" bestFit="1" customWidth="1"/>
    <col min="10233" max="10233" width="13.54296875" style="39" customWidth="1"/>
    <col min="10234" max="10234" width="11.26953125" style="39" bestFit="1" customWidth="1"/>
    <col min="10235" max="10235" width="12.54296875" style="39" bestFit="1" customWidth="1"/>
    <col min="10236" max="10237" width="12.54296875" style="39" customWidth="1"/>
    <col min="10238" max="10238" width="12.1796875" style="39" bestFit="1" customWidth="1"/>
    <col min="10239" max="10239" width="12.1796875" style="39" customWidth="1"/>
    <col min="10240" max="10240" width="8.81640625" style="39"/>
    <col min="10241" max="10241" width="24.54296875" style="39" customWidth="1"/>
    <col min="10242" max="10242" width="8.1796875" style="39" bestFit="1" customWidth="1"/>
    <col min="10243" max="10244" width="7.54296875" style="39" bestFit="1" customWidth="1"/>
    <col min="10245" max="10245" width="15.1796875" style="39" customWidth="1"/>
    <col min="10246" max="10246" width="8.1796875" style="39" bestFit="1" customWidth="1"/>
    <col min="10247" max="10247" width="13.453125" style="39" customWidth="1"/>
    <col min="10248" max="10248" width="12.453125" style="39" customWidth="1"/>
    <col min="10249" max="10249" width="8.81640625" style="39"/>
    <col min="10250" max="10250" width="20.54296875" style="39" customWidth="1"/>
    <col min="10251" max="10251" width="8.1796875" style="39" bestFit="1" customWidth="1"/>
    <col min="10252" max="10252" width="7.54296875" style="39" bestFit="1" customWidth="1"/>
    <col min="10253" max="10253" width="8.1796875" style="39" bestFit="1" customWidth="1"/>
    <col min="10254" max="10254" width="16.26953125" style="39" customWidth="1"/>
    <col min="10255" max="10255" width="8.1796875" style="39" bestFit="1" customWidth="1"/>
    <col min="10256" max="10256" width="12.54296875" style="39" customWidth="1"/>
    <col min="10257" max="10257" width="13.26953125" style="39" customWidth="1"/>
    <col min="10258" max="10476" width="8.81640625" style="39"/>
    <col min="10477" max="10477" width="27.26953125" style="39" bestFit="1" customWidth="1"/>
    <col min="10478" max="10478" width="12.54296875" style="39" bestFit="1" customWidth="1"/>
    <col min="10479" max="10480" width="12.54296875" style="39" customWidth="1"/>
    <col min="10481" max="10481" width="12.54296875" style="39" bestFit="1" customWidth="1"/>
    <col min="10482" max="10483" width="12.54296875" style="39" customWidth="1"/>
    <col min="10484" max="10485" width="12.1796875" style="39" bestFit="1" customWidth="1"/>
    <col min="10486" max="10486" width="8.81640625" style="39"/>
    <col min="10487" max="10487" width="22.81640625" style="39" bestFit="1" customWidth="1"/>
    <col min="10488" max="10488" width="12.54296875" style="39" bestFit="1" customWidth="1"/>
    <col min="10489" max="10489" width="13.54296875" style="39" customWidth="1"/>
    <col min="10490" max="10490" width="11.26953125" style="39" bestFit="1" customWidth="1"/>
    <col min="10491" max="10491" width="12.54296875" style="39" bestFit="1" customWidth="1"/>
    <col min="10492" max="10493" width="12.54296875" style="39" customWidth="1"/>
    <col min="10494" max="10494" width="12.1796875" style="39" bestFit="1" customWidth="1"/>
    <col min="10495" max="10495" width="12.1796875" style="39" customWidth="1"/>
    <col min="10496" max="10496" width="8.81640625" style="39"/>
    <col min="10497" max="10497" width="24.54296875" style="39" customWidth="1"/>
    <col min="10498" max="10498" width="8.1796875" style="39" bestFit="1" customWidth="1"/>
    <col min="10499" max="10500" width="7.54296875" style="39" bestFit="1" customWidth="1"/>
    <col min="10501" max="10501" width="15.1796875" style="39" customWidth="1"/>
    <col min="10502" max="10502" width="8.1796875" style="39" bestFit="1" customWidth="1"/>
    <col min="10503" max="10503" width="13.453125" style="39" customWidth="1"/>
    <col min="10504" max="10504" width="12.453125" style="39" customWidth="1"/>
    <col min="10505" max="10505" width="8.81640625" style="39"/>
    <col min="10506" max="10506" width="20.54296875" style="39" customWidth="1"/>
    <col min="10507" max="10507" width="8.1796875" style="39" bestFit="1" customWidth="1"/>
    <col min="10508" max="10508" width="7.54296875" style="39" bestFit="1" customWidth="1"/>
    <col min="10509" max="10509" width="8.1796875" style="39" bestFit="1" customWidth="1"/>
    <col min="10510" max="10510" width="16.26953125" style="39" customWidth="1"/>
    <col min="10511" max="10511" width="8.1796875" style="39" bestFit="1" customWidth="1"/>
    <col min="10512" max="10512" width="12.54296875" style="39" customWidth="1"/>
    <col min="10513" max="10513" width="13.26953125" style="39" customWidth="1"/>
    <col min="10514" max="10732" width="8.81640625" style="39"/>
    <col min="10733" max="10733" width="27.26953125" style="39" bestFit="1" customWidth="1"/>
    <col min="10734" max="10734" width="12.54296875" style="39" bestFit="1" customWidth="1"/>
    <col min="10735" max="10736" width="12.54296875" style="39" customWidth="1"/>
    <col min="10737" max="10737" width="12.54296875" style="39" bestFit="1" customWidth="1"/>
    <col min="10738" max="10739" width="12.54296875" style="39" customWidth="1"/>
    <col min="10740" max="10741" width="12.1796875" style="39" bestFit="1" customWidth="1"/>
    <col min="10742" max="10742" width="8.81640625" style="39"/>
    <col min="10743" max="10743" width="22.81640625" style="39" bestFit="1" customWidth="1"/>
    <col min="10744" max="10744" width="12.54296875" style="39" bestFit="1" customWidth="1"/>
    <col min="10745" max="10745" width="13.54296875" style="39" customWidth="1"/>
    <col min="10746" max="10746" width="11.26953125" style="39" bestFit="1" customWidth="1"/>
    <col min="10747" max="10747" width="12.54296875" style="39" bestFit="1" customWidth="1"/>
    <col min="10748" max="10749" width="12.54296875" style="39" customWidth="1"/>
    <col min="10750" max="10750" width="12.1796875" style="39" bestFit="1" customWidth="1"/>
    <col min="10751" max="10751" width="12.1796875" style="39" customWidth="1"/>
    <col min="10752" max="10752" width="8.81640625" style="39"/>
    <col min="10753" max="10753" width="24.54296875" style="39" customWidth="1"/>
    <col min="10754" max="10754" width="8.1796875" style="39" bestFit="1" customWidth="1"/>
    <col min="10755" max="10756" width="7.54296875" style="39" bestFit="1" customWidth="1"/>
    <col min="10757" max="10757" width="15.1796875" style="39" customWidth="1"/>
    <col min="10758" max="10758" width="8.1796875" style="39" bestFit="1" customWidth="1"/>
    <col min="10759" max="10759" width="13.453125" style="39" customWidth="1"/>
    <col min="10760" max="10760" width="12.453125" style="39" customWidth="1"/>
    <col min="10761" max="10761" width="8.81640625" style="39"/>
    <col min="10762" max="10762" width="20.54296875" style="39" customWidth="1"/>
    <col min="10763" max="10763" width="8.1796875" style="39" bestFit="1" customWidth="1"/>
    <col min="10764" max="10764" width="7.54296875" style="39" bestFit="1" customWidth="1"/>
    <col min="10765" max="10765" width="8.1796875" style="39" bestFit="1" customWidth="1"/>
    <col min="10766" max="10766" width="16.26953125" style="39" customWidth="1"/>
    <col min="10767" max="10767" width="8.1796875" style="39" bestFit="1" customWidth="1"/>
    <col min="10768" max="10768" width="12.54296875" style="39" customWidth="1"/>
    <col min="10769" max="10769" width="13.26953125" style="39" customWidth="1"/>
    <col min="10770" max="10988" width="8.81640625" style="39"/>
    <col min="10989" max="10989" width="27.26953125" style="39" bestFit="1" customWidth="1"/>
    <col min="10990" max="10990" width="12.54296875" style="39" bestFit="1" customWidth="1"/>
    <col min="10991" max="10992" width="12.54296875" style="39" customWidth="1"/>
    <col min="10993" max="10993" width="12.54296875" style="39" bestFit="1" customWidth="1"/>
    <col min="10994" max="10995" width="12.54296875" style="39" customWidth="1"/>
    <col min="10996" max="10997" width="12.1796875" style="39" bestFit="1" customWidth="1"/>
    <col min="10998" max="10998" width="8.81640625" style="39"/>
    <col min="10999" max="10999" width="22.81640625" style="39" bestFit="1" customWidth="1"/>
    <col min="11000" max="11000" width="12.54296875" style="39" bestFit="1" customWidth="1"/>
    <col min="11001" max="11001" width="13.54296875" style="39" customWidth="1"/>
    <col min="11002" max="11002" width="11.26953125" style="39" bestFit="1" customWidth="1"/>
    <col min="11003" max="11003" width="12.54296875" style="39" bestFit="1" customWidth="1"/>
    <col min="11004" max="11005" width="12.54296875" style="39" customWidth="1"/>
    <col min="11006" max="11006" width="12.1796875" style="39" bestFit="1" customWidth="1"/>
    <col min="11007" max="11007" width="12.1796875" style="39" customWidth="1"/>
    <col min="11008" max="11008" width="8.81640625" style="39"/>
    <col min="11009" max="11009" width="24.54296875" style="39" customWidth="1"/>
    <col min="11010" max="11010" width="8.1796875" style="39" bestFit="1" customWidth="1"/>
    <col min="11011" max="11012" width="7.54296875" style="39" bestFit="1" customWidth="1"/>
    <col min="11013" max="11013" width="15.1796875" style="39" customWidth="1"/>
    <col min="11014" max="11014" width="8.1796875" style="39" bestFit="1" customWidth="1"/>
    <col min="11015" max="11015" width="13.453125" style="39" customWidth="1"/>
    <col min="11016" max="11016" width="12.453125" style="39" customWidth="1"/>
    <col min="11017" max="11017" width="8.81640625" style="39"/>
    <col min="11018" max="11018" width="20.54296875" style="39" customWidth="1"/>
    <col min="11019" max="11019" width="8.1796875" style="39" bestFit="1" customWidth="1"/>
    <col min="11020" max="11020" width="7.54296875" style="39" bestFit="1" customWidth="1"/>
    <col min="11021" max="11021" width="8.1796875" style="39" bestFit="1" customWidth="1"/>
    <col min="11022" max="11022" width="16.26953125" style="39" customWidth="1"/>
    <col min="11023" max="11023" width="8.1796875" style="39" bestFit="1" customWidth="1"/>
    <col min="11024" max="11024" width="12.54296875" style="39" customWidth="1"/>
    <col min="11025" max="11025" width="13.26953125" style="39" customWidth="1"/>
    <col min="11026" max="11244" width="8.81640625" style="39"/>
    <col min="11245" max="11245" width="27.26953125" style="39" bestFit="1" customWidth="1"/>
    <col min="11246" max="11246" width="12.54296875" style="39" bestFit="1" customWidth="1"/>
    <col min="11247" max="11248" width="12.54296875" style="39" customWidth="1"/>
    <col min="11249" max="11249" width="12.54296875" style="39" bestFit="1" customWidth="1"/>
    <col min="11250" max="11251" width="12.54296875" style="39" customWidth="1"/>
    <col min="11252" max="11253" width="12.1796875" style="39" bestFit="1" customWidth="1"/>
    <col min="11254" max="11254" width="8.81640625" style="39"/>
    <col min="11255" max="11255" width="22.81640625" style="39" bestFit="1" customWidth="1"/>
    <col min="11256" max="11256" width="12.54296875" style="39" bestFit="1" customWidth="1"/>
    <col min="11257" max="11257" width="13.54296875" style="39" customWidth="1"/>
    <col min="11258" max="11258" width="11.26953125" style="39" bestFit="1" customWidth="1"/>
    <col min="11259" max="11259" width="12.54296875" style="39" bestFit="1" customWidth="1"/>
    <col min="11260" max="11261" width="12.54296875" style="39" customWidth="1"/>
    <col min="11262" max="11262" width="12.1796875" style="39" bestFit="1" customWidth="1"/>
    <col min="11263" max="11263" width="12.1796875" style="39" customWidth="1"/>
    <col min="11264" max="11264" width="8.81640625" style="39"/>
    <col min="11265" max="11265" width="24.54296875" style="39" customWidth="1"/>
    <col min="11266" max="11266" width="8.1796875" style="39" bestFit="1" customWidth="1"/>
    <col min="11267" max="11268" width="7.54296875" style="39" bestFit="1" customWidth="1"/>
    <col min="11269" max="11269" width="15.1796875" style="39" customWidth="1"/>
    <col min="11270" max="11270" width="8.1796875" style="39" bestFit="1" customWidth="1"/>
    <col min="11271" max="11271" width="13.453125" style="39" customWidth="1"/>
    <col min="11272" max="11272" width="12.453125" style="39" customWidth="1"/>
    <col min="11273" max="11273" width="8.81640625" style="39"/>
    <col min="11274" max="11274" width="20.54296875" style="39" customWidth="1"/>
    <col min="11275" max="11275" width="8.1796875" style="39" bestFit="1" customWidth="1"/>
    <col min="11276" max="11276" width="7.54296875" style="39" bestFit="1" customWidth="1"/>
    <col min="11277" max="11277" width="8.1796875" style="39" bestFit="1" customWidth="1"/>
    <col min="11278" max="11278" width="16.26953125" style="39" customWidth="1"/>
    <col min="11279" max="11279" width="8.1796875" style="39" bestFit="1" customWidth="1"/>
    <col min="11280" max="11280" width="12.54296875" style="39" customWidth="1"/>
    <col min="11281" max="11281" width="13.26953125" style="39" customWidth="1"/>
    <col min="11282" max="11500" width="8.81640625" style="39"/>
    <col min="11501" max="11501" width="27.26953125" style="39" bestFit="1" customWidth="1"/>
    <col min="11502" max="11502" width="12.54296875" style="39" bestFit="1" customWidth="1"/>
    <col min="11503" max="11504" width="12.54296875" style="39" customWidth="1"/>
    <col min="11505" max="11505" width="12.54296875" style="39" bestFit="1" customWidth="1"/>
    <col min="11506" max="11507" width="12.54296875" style="39" customWidth="1"/>
    <col min="11508" max="11509" width="12.1796875" style="39" bestFit="1" customWidth="1"/>
    <col min="11510" max="11510" width="8.81640625" style="39"/>
    <col min="11511" max="11511" width="22.81640625" style="39" bestFit="1" customWidth="1"/>
    <col min="11512" max="11512" width="12.54296875" style="39" bestFit="1" customWidth="1"/>
    <col min="11513" max="11513" width="13.54296875" style="39" customWidth="1"/>
    <col min="11514" max="11514" width="11.26953125" style="39" bestFit="1" customWidth="1"/>
    <col min="11515" max="11515" width="12.54296875" style="39" bestFit="1" customWidth="1"/>
    <col min="11516" max="11517" width="12.54296875" style="39" customWidth="1"/>
    <col min="11518" max="11518" width="12.1796875" style="39" bestFit="1" customWidth="1"/>
    <col min="11519" max="11519" width="12.1796875" style="39" customWidth="1"/>
    <col min="11520" max="11520" width="8.81640625" style="39"/>
    <col min="11521" max="11521" width="24.54296875" style="39" customWidth="1"/>
    <col min="11522" max="11522" width="8.1796875" style="39" bestFit="1" customWidth="1"/>
    <col min="11523" max="11524" width="7.54296875" style="39" bestFit="1" customWidth="1"/>
    <col min="11525" max="11525" width="15.1796875" style="39" customWidth="1"/>
    <col min="11526" max="11526" width="8.1796875" style="39" bestFit="1" customWidth="1"/>
    <col min="11527" max="11527" width="13.453125" style="39" customWidth="1"/>
    <col min="11528" max="11528" width="12.453125" style="39" customWidth="1"/>
    <col min="11529" max="11529" width="8.81640625" style="39"/>
    <col min="11530" max="11530" width="20.54296875" style="39" customWidth="1"/>
    <col min="11531" max="11531" width="8.1796875" style="39" bestFit="1" customWidth="1"/>
    <col min="11532" max="11532" width="7.54296875" style="39" bestFit="1" customWidth="1"/>
    <col min="11533" max="11533" width="8.1796875" style="39" bestFit="1" customWidth="1"/>
    <col min="11534" max="11534" width="16.26953125" style="39" customWidth="1"/>
    <col min="11535" max="11535" width="8.1796875" style="39" bestFit="1" customWidth="1"/>
    <col min="11536" max="11536" width="12.54296875" style="39" customWidth="1"/>
    <col min="11537" max="11537" width="13.26953125" style="39" customWidth="1"/>
    <col min="11538" max="11756" width="8.81640625" style="39"/>
    <col min="11757" max="11757" width="27.26953125" style="39" bestFit="1" customWidth="1"/>
    <col min="11758" max="11758" width="12.54296875" style="39" bestFit="1" customWidth="1"/>
    <col min="11759" max="11760" width="12.54296875" style="39" customWidth="1"/>
    <col min="11761" max="11761" width="12.54296875" style="39" bestFit="1" customWidth="1"/>
    <col min="11762" max="11763" width="12.54296875" style="39" customWidth="1"/>
    <col min="11764" max="11765" width="12.1796875" style="39" bestFit="1" customWidth="1"/>
    <col min="11766" max="11766" width="8.81640625" style="39"/>
    <col min="11767" max="11767" width="22.81640625" style="39" bestFit="1" customWidth="1"/>
    <col min="11768" max="11768" width="12.54296875" style="39" bestFit="1" customWidth="1"/>
    <col min="11769" max="11769" width="13.54296875" style="39" customWidth="1"/>
    <col min="11770" max="11770" width="11.26953125" style="39" bestFit="1" customWidth="1"/>
    <col min="11771" max="11771" width="12.54296875" style="39" bestFit="1" customWidth="1"/>
    <col min="11772" max="11773" width="12.54296875" style="39" customWidth="1"/>
    <col min="11774" max="11774" width="12.1796875" style="39" bestFit="1" customWidth="1"/>
    <col min="11775" max="11775" width="12.1796875" style="39" customWidth="1"/>
    <col min="11776" max="11776" width="8.81640625" style="39"/>
    <col min="11777" max="11777" width="24.54296875" style="39" customWidth="1"/>
    <col min="11778" max="11778" width="8.1796875" style="39" bestFit="1" customWidth="1"/>
    <col min="11779" max="11780" width="7.54296875" style="39" bestFit="1" customWidth="1"/>
    <col min="11781" max="11781" width="15.1796875" style="39" customWidth="1"/>
    <col min="11782" max="11782" width="8.1796875" style="39" bestFit="1" customWidth="1"/>
    <col min="11783" max="11783" width="13.453125" style="39" customWidth="1"/>
    <col min="11784" max="11784" width="12.453125" style="39" customWidth="1"/>
    <col min="11785" max="11785" width="8.81640625" style="39"/>
    <col min="11786" max="11786" width="20.54296875" style="39" customWidth="1"/>
    <col min="11787" max="11787" width="8.1796875" style="39" bestFit="1" customWidth="1"/>
    <col min="11788" max="11788" width="7.54296875" style="39" bestFit="1" customWidth="1"/>
    <col min="11789" max="11789" width="8.1796875" style="39" bestFit="1" customWidth="1"/>
    <col min="11790" max="11790" width="16.26953125" style="39" customWidth="1"/>
    <col min="11791" max="11791" width="8.1796875" style="39" bestFit="1" customWidth="1"/>
    <col min="11792" max="11792" width="12.54296875" style="39" customWidth="1"/>
    <col min="11793" max="11793" width="13.26953125" style="39" customWidth="1"/>
    <col min="11794" max="12012" width="8.81640625" style="39"/>
    <col min="12013" max="12013" width="27.26953125" style="39" bestFit="1" customWidth="1"/>
    <col min="12014" max="12014" width="12.54296875" style="39" bestFit="1" customWidth="1"/>
    <col min="12015" max="12016" width="12.54296875" style="39" customWidth="1"/>
    <col min="12017" max="12017" width="12.54296875" style="39" bestFit="1" customWidth="1"/>
    <col min="12018" max="12019" width="12.54296875" style="39" customWidth="1"/>
    <col min="12020" max="12021" width="12.1796875" style="39" bestFit="1" customWidth="1"/>
    <col min="12022" max="12022" width="8.81640625" style="39"/>
    <col min="12023" max="12023" width="22.81640625" style="39" bestFit="1" customWidth="1"/>
    <col min="12024" max="12024" width="12.54296875" style="39" bestFit="1" customWidth="1"/>
    <col min="12025" max="12025" width="13.54296875" style="39" customWidth="1"/>
    <col min="12026" max="12026" width="11.26953125" style="39" bestFit="1" customWidth="1"/>
    <col min="12027" max="12027" width="12.54296875" style="39" bestFit="1" customWidth="1"/>
    <col min="12028" max="12029" width="12.54296875" style="39" customWidth="1"/>
    <col min="12030" max="12030" width="12.1796875" style="39" bestFit="1" customWidth="1"/>
    <col min="12031" max="12031" width="12.1796875" style="39" customWidth="1"/>
    <col min="12032" max="12032" width="8.81640625" style="39"/>
    <col min="12033" max="12033" width="24.54296875" style="39" customWidth="1"/>
    <col min="12034" max="12034" width="8.1796875" style="39" bestFit="1" customWidth="1"/>
    <col min="12035" max="12036" width="7.54296875" style="39" bestFit="1" customWidth="1"/>
    <col min="12037" max="12037" width="15.1796875" style="39" customWidth="1"/>
    <col min="12038" max="12038" width="8.1796875" style="39" bestFit="1" customWidth="1"/>
    <col min="12039" max="12039" width="13.453125" style="39" customWidth="1"/>
    <col min="12040" max="12040" width="12.453125" style="39" customWidth="1"/>
    <col min="12041" max="12041" width="8.81640625" style="39"/>
    <col min="12042" max="12042" width="20.54296875" style="39" customWidth="1"/>
    <col min="12043" max="12043" width="8.1796875" style="39" bestFit="1" customWidth="1"/>
    <col min="12044" max="12044" width="7.54296875" style="39" bestFit="1" customWidth="1"/>
    <col min="12045" max="12045" width="8.1796875" style="39" bestFit="1" customWidth="1"/>
    <col min="12046" max="12046" width="16.26953125" style="39" customWidth="1"/>
    <col min="12047" max="12047" width="8.1796875" style="39" bestFit="1" customWidth="1"/>
    <col min="12048" max="12048" width="12.54296875" style="39" customWidth="1"/>
    <col min="12049" max="12049" width="13.26953125" style="39" customWidth="1"/>
    <col min="12050" max="12268" width="8.81640625" style="39"/>
    <col min="12269" max="12269" width="27.26953125" style="39" bestFit="1" customWidth="1"/>
    <col min="12270" max="12270" width="12.54296875" style="39" bestFit="1" customWidth="1"/>
    <col min="12271" max="12272" width="12.54296875" style="39" customWidth="1"/>
    <col min="12273" max="12273" width="12.54296875" style="39" bestFit="1" customWidth="1"/>
    <col min="12274" max="12275" width="12.54296875" style="39" customWidth="1"/>
    <col min="12276" max="12277" width="12.1796875" style="39" bestFit="1" customWidth="1"/>
    <col min="12278" max="12278" width="8.81640625" style="39"/>
    <col min="12279" max="12279" width="22.81640625" style="39" bestFit="1" customWidth="1"/>
    <col min="12280" max="12280" width="12.54296875" style="39" bestFit="1" customWidth="1"/>
    <col min="12281" max="12281" width="13.54296875" style="39" customWidth="1"/>
    <col min="12282" max="12282" width="11.26953125" style="39" bestFit="1" customWidth="1"/>
    <col min="12283" max="12283" width="12.54296875" style="39" bestFit="1" customWidth="1"/>
    <col min="12284" max="12285" width="12.54296875" style="39" customWidth="1"/>
    <col min="12286" max="12286" width="12.1796875" style="39" bestFit="1" customWidth="1"/>
    <col min="12287" max="12287" width="12.1796875" style="39" customWidth="1"/>
    <col min="12288" max="12288" width="8.81640625" style="39"/>
    <col min="12289" max="12289" width="24.54296875" style="39" customWidth="1"/>
    <col min="12290" max="12290" width="8.1796875" style="39" bestFit="1" customWidth="1"/>
    <col min="12291" max="12292" width="7.54296875" style="39" bestFit="1" customWidth="1"/>
    <col min="12293" max="12293" width="15.1796875" style="39" customWidth="1"/>
    <col min="12294" max="12294" width="8.1796875" style="39" bestFit="1" customWidth="1"/>
    <col min="12295" max="12295" width="13.453125" style="39" customWidth="1"/>
    <col min="12296" max="12296" width="12.453125" style="39" customWidth="1"/>
    <col min="12297" max="12297" width="8.81640625" style="39"/>
    <col min="12298" max="12298" width="20.54296875" style="39" customWidth="1"/>
    <col min="12299" max="12299" width="8.1796875" style="39" bestFit="1" customWidth="1"/>
    <col min="12300" max="12300" width="7.54296875" style="39" bestFit="1" customWidth="1"/>
    <col min="12301" max="12301" width="8.1796875" style="39" bestFit="1" customWidth="1"/>
    <col min="12302" max="12302" width="16.26953125" style="39" customWidth="1"/>
    <col min="12303" max="12303" width="8.1796875" style="39" bestFit="1" customWidth="1"/>
    <col min="12304" max="12304" width="12.54296875" style="39" customWidth="1"/>
    <col min="12305" max="12305" width="13.26953125" style="39" customWidth="1"/>
    <col min="12306" max="12524" width="8.81640625" style="39"/>
    <col min="12525" max="12525" width="27.26953125" style="39" bestFit="1" customWidth="1"/>
    <col min="12526" max="12526" width="12.54296875" style="39" bestFit="1" customWidth="1"/>
    <col min="12527" max="12528" width="12.54296875" style="39" customWidth="1"/>
    <col min="12529" max="12529" width="12.54296875" style="39" bestFit="1" customWidth="1"/>
    <col min="12530" max="12531" width="12.54296875" style="39" customWidth="1"/>
    <col min="12532" max="12533" width="12.1796875" style="39" bestFit="1" customWidth="1"/>
    <col min="12534" max="12534" width="8.81640625" style="39"/>
    <col min="12535" max="12535" width="22.81640625" style="39" bestFit="1" customWidth="1"/>
    <col min="12536" max="12536" width="12.54296875" style="39" bestFit="1" customWidth="1"/>
    <col min="12537" max="12537" width="13.54296875" style="39" customWidth="1"/>
    <col min="12538" max="12538" width="11.26953125" style="39" bestFit="1" customWidth="1"/>
    <col min="12539" max="12539" width="12.54296875" style="39" bestFit="1" customWidth="1"/>
    <col min="12540" max="12541" width="12.54296875" style="39" customWidth="1"/>
    <col min="12542" max="12542" width="12.1796875" style="39" bestFit="1" customWidth="1"/>
    <col min="12543" max="12543" width="12.1796875" style="39" customWidth="1"/>
    <col min="12544" max="12544" width="8.81640625" style="39"/>
    <col min="12545" max="12545" width="24.54296875" style="39" customWidth="1"/>
    <col min="12546" max="12546" width="8.1796875" style="39" bestFit="1" customWidth="1"/>
    <col min="12547" max="12548" width="7.54296875" style="39" bestFit="1" customWidth="1"/>
    <col min="12549" max="12549" width="15.1796875" style="39" customWidth="1"/>
    <col min="12550" max="12550" width="8.1796875" style="39" bestFit="1" customWidth="1"/>
    <col min="12551" max="12551" width="13.453125" style="39" customWidth="1"/>
    <col min="12552" max="12552" width="12.453125" style="39" customWidth="1"/>
    <col min="12553" max="12553" width="8.81640625" style="39"/>
    <col min="12554" max="12554" width="20.54296875" style="39" customWidth="1"/>
    <col min="12555" max="12555" width="8.1796875" style="39" bestFit="1" customWidth="1"/>
    <col min="12556" max="12556" width="7.54296875" style="39" bestFit="1" customWidth="1"/>
    <col min="12557" max="12557" width="8.1796875" style="39" bestFit="1" customWidth="1"/>
    <col min="12558" max="12558" width="16.26953125" style="39" customWidth="1"/>
    <col min="12559" max="12559" width="8.1796875" style="39" bestFit="1" customWidth="1"/>
    <col min="12560" max="12560" width="12.54296875" style="39" customWidth="1"/>
    <col min="12561" max="12561" width="13.26953125" style="39" customWidth="1"/>
    <col min="12562" max="12780" width="8.81640625" style="39"/>
    <col min="12781" max="12781" width="27.26953125" style="39" bestFit="1" customWidth="1"/>
    <col min="12782" max="12782" width="12.54296875" style="39" bestFit="1" customWidth="1"/>
    <col min="12783" max="12784" width="12.54296875" style="39" customWidth="1"/>
    <col min="12785" max="12785" width="12.54296875" style="39" bestFit="1" customWidth="1"/>
    <col min="12786" max="12787" width="12.54296875" style="39" customWidth="1"/>
    <col min="12788" max="12789" width="12.1796875" style="39" bestFit="1" customWidth="1"/>
    <col min="12790" max="12790" width="8.81640625" style="39"/>
    <col min="12791" max="12791" width="22.81640625" style="39" bestFit="1" customWidth="1"/>
    <col min="12792" max="12792" width="12.54296875" style="39" bestFit="1" customWidth="1"/>
    <col min="12793" max="12793" width="13.54296875" style="39" customWidth="1"/>
    <col min="12794" max="12794" width="11.26953125" style="39" bestFit="1" customWidth="1"/>
    <col min="12795" max="12795" width="12.54296875" style="39" bestFit="1" customWidth="1"/>
    <col min="12796" max="12797" width="12.54296875" style="39" customWidth="1"/>
    <col min="12798" max="12798" width="12.1796875" style="39" bestFit="1" customWidth="1"/>
    <col min="12799" max="12799" width="12.1796875" style="39" customWidth="1"/>
    <col min="12800" max="12800" width="8.81640625" style="39"/>
    <col min="12801" max="12801" width="24.54296875" style="39" customWidth="1"/>
    <col min="12802" max="12802" width="8.1796875" style="39" bestFit="1" customWidth="1"/>
    <col min="12803" max="12804" width="7.54296875" style="39" bestFit="1" customWidth="1"/>
    <col min="12805" max="12805" width="15.1796875" style="39" customWidth="1"/>
    <col min="12806" max="12806" width="8.1796875" style="39" bestFit="1" customWidth="1"/>
    <col min="12807" max="12807" width="13.453125" style="39" customWidth="1"/>
    <col min="12808" max="12808" width="12.453125" style="39" customWidth="1"/>
    <col min="12809" max="12809" width="8.81640625" style="39"/>
    <col min="12810" max="12810" width="20.54296875" style="39" customWidth="1"/>
    <col min="12811" max="12811" width="8.1796875" style="39" bestFit="1" customWidth="1"/>
    <col min="12812" max="12812" width="7.54296875" style="39" bestFit="1" customWidth="1"/>
    <col min="12813" max="12813" width="8.1796875" style="39" bestFit="1" customWidth="1"/>
    <col min="12814" max="12814" width="16.26953125" style="39" customWidth="1"/>
    <col min="12815" max="12815" width="8.1796875" style="39" bestFit="1" customWidth="1"/>
    <col min="12816" max="12816" width="12.54296875" style="39" customWidth="1"/>
    <col min="12817" max="12817" width="13.26953125" style="39" customWidth="1"/>
    <col min="12818" max="13036" width="8.81640625" style="39"/>
    <col min="13037" max="13037" width="27.26953125" style="39" bestFit="1" customWidth="1"/>
    <col min="13038" max="13038" width="12.54296875" style="39" bestFit="1" customWidth="1"/>
    <col min="13039" max="13040" width="12.54296875" style="39" customWidth="1"/>
    <col min="13041" max="13041" width="12.54296875" style="39" bestFit="1" customWidth="1"/>
    <col min="13042" max="13043" width="12.54296875" style="39" customWidth="1"/>
    <col min="13044" max="13045" width="12.1796875" style="39" bestFit="1" customWidth="1"/>
    <col min="13046" max="13046" width="8.81640625" style="39"/>
    <col min="13047" max="13047" width="22.81640625" style="39" bestFit="1" customWidth="1"/>
    <col min="13048" max="13048" width="12.54296875" style="39" bestFit="1" customWidth="1"/>
    <col min="13049" max="13049" width="13.54296875" style="39" customWidth="1"/>
    <col min="13050" max="13050" width="11.26953125" style="39" bestFit="1" customWidth="1"/>
    <col min="13051" max="13051" width="12.54296875" style="39" bestFit="1" customWidth="1"/>
    <col min="13052" max="13053" width="12.54296875" style="39" customWidth="1"/>
    <col min="13054" max="13054" width="12.1796875" style="39" bestFit="1" customWidth="1"/>
    <col min="13055" max="13055" width="12.1796875" style="39" customWidth="1"/>
    <col min="13056" max="13056" width="8.81640625" style="39"/>
    <col min="13057" max="13057" width="24.54296875" style="39" customWidth="1"/>
    <col min="13058" max="13058" width="8.1796875" style="39" bestFit="1" customWidth="1"/>
    <col min="13059" max="13060" width="7.54296875" style="39" bestFit="1" customWidth="1"/>
    <col min="13061" max="13061" width="15.1796875" style="39" customWidth="1"/>
    <col min="13062" max="13062" width="8.1796875" style="39" bestFit="1" customWidth="1"/>
    <col min="13063" max="13063" width="13.453125" style="39" customWidth="1"/>
    <col min="13064" max="13064" width="12.453125" style="39" customWidth="1"/>
    <col min="13065" max="13065" width="8.81640625" style="39"/>
    <col min="13066" max="13066" width="20.54296875" style="39" customWidth="1"/>
    <col min="13067" max="13067" width="8.1796875" style="39" bestFit="1" customWidth="1"/>
    <col min="13068" max="13068" width="7.54296875" style="39" bestFit="1" customWidth="1"/>
    <col min="13069" max="13069" width="8.1796875" style="39" bestFit="1" customWidth="1"/>
    <col min="13070" max="13070" width="16.26953125" style="39" customWidth="1"/>
    <col min="13071" max="13071" width="8.1796875" style="39" bestFit="1" customWidth="1"/>
    <col min="13072" max="13072" width="12.54296875" style="39" customWidth="1"/>
    <col min="13073" max="13073" width="13.26953125" style="39" customWidth="1"/>
    <col min="13074" max="13292" width="8.81640625" style="39"/>
    <col min="13293" max="13293" width="27.26953125" style="39" bestFit="1" customWidth="1"/>
    <col min="13294" max="13294" width="12.54296875" style="39" bestFit="1" customWidth="1"/>
    <col min="13295" max="13296" width="12.54296875" style="39" customWidth="1"/>
    <col min="13297" max="13297" width="12.54296875" style="39" bestFit="1" customWidth="1"/>
    <col min="13298" max="13299" width="12.54296875" style="39" customWidth="1"/>
    <col min="13300" max="13301" width="12.1796875" style="39" bestFit="1" customWidth="1"/>
    <col min="13302" max="13302" width="8.81640625" style="39"/>
    <col min="13303" max="13303" width="22.81640625" style="39" bestFit="1" customWidth="1"/>
    <col min="13304" max="13304" width="12.54296875" style="39" bestFit="1" customWidth="1"/>
    <col min="13305" max="13305" width="13.54296875" style="39" customWidth="1"/>
    <col min="13306" max="13306" width="11.26953125" style="39" bestFit="1" customWidth="1"/>
    <col min="13307" max="13307" width="12.54296875" style="39" bestFit="1" customWidth="1"/>
    <col min="13308" max="13309" width="12.54296875" style="39" customWidth="1"/>
    <col min="13310" max="13310" width="12.1796875" style="39" bestFit="1" customWidth="1"/>
    <col min="13311" max="13311" width="12.1796875" style="39" customWidth="1"/>
    <col min="13312" max="13312" width="8.81640625" style="39"/>
    <col min="13313" max="13313" width="24.54296875" style="39" customWidth="1"/>
    <col min="13314" max="13314" width="8.1796875" style="39" bestFit="1" customWidth="1"/>
    <col min="13315" max="13316" width="7.54296875" style="39" bestFit="1" customWidth="1"/>
    <col min="13317" max="13317" width="15.1796875" style="39" customWidth="1"/>
    <col min="13318" max="13318" width="8.1796875" style="39" bestFit="1" customWidth="1"/>
    <col min="13319" max="13319" width="13.453125" style="39" customWidth="1"/>
    <col min="13320" max="13320" width="12.453125" style="39" customWidth="1"/>
    <col min="13321" max="13321" width="8.81640625" style="39"/>
    <col min="13322" max="13322" width="20.54296875" style="39" customWidth="1"/>
    <col min="13323" max="13323" width="8.1796875" style="39" bestFit="1" customWidth="1"/>
    <col min="13324" max="13324" width="7.54296875" style="39" bestFit="1" customWidth="1"/>
    <col min="13325" max="13325" width="8.1796875" style="39" bestFit="1" customWidth="1"/>
    <col min="13326" max="13326" width="16.26953125" style="39" customWidth="1"/>
    <col min="13327" max="13327" width="8.1796875" style="39" bestFit="1" customWidth="1"/>
    <col min="13328" max="13328" width="12.54296875" style="39" customWidth="1"/>
    <col min="13329" max="13329" width="13.26953125" style="39" customWidth="1"/>
    <col min="13330" max="13548" width="8.81640625" style="39"/>
    <col min="13549" max="13549" width="27.26953125" style="39" bestFit="1" customWidth="1"/>
    <col min="13550" max="13550" width="12.54296875" style="39" bestFit="1" customWidth="1"/>
    <col min="13551" max="13552" width="12.54296875" style="39" customWidth="1"/>
    <col min="13553" max="13553" width="12.54296875" style="39" bestFit="1" customWidth="1"/>
    <col min="13554" max="13555" width="12.54296875" style="39" customWidth="1"/>
    <col min="13556" max="13557" width="12.1796875" style="39" bestFit="1" customWidth="1"/>
    <col min="13558" max="13558" width="8.81640625" style="39"/>
    <col min="13559" max="13559" width="22.81640625" style="39" bestFit="1" customWidth="1"/>
    <col min="13560" max="13560" width="12.54296875" style="39" bestFit="1" customWidth="1"/>
    <col min="13561" max="13561" width="13.54296875" style="39" customWidth="1"/>
    <col min="13562" max="13562" width="11.26953125" style="39" bestFit="1" customWidth="1"/>
    <col min="13563" max="13563" width="12.54296875" style="39" bestFit="1" customWidth="1"/>
    <col min="13564" max="13565" width="12.54296875" style="39" customWidth="1"/>
    <col min="13566" max="13566" width="12.1796875" style="39" bestFit="1" customWidth="1"/>
    <col min="13567" max="13567" width="12.1796875" style="39" customWidth="1"/>
    <col min="13568" max="13568" width="8.81640625" style="39"/>
    <col min="13569" max="13569" width="24.54296875" style="39" customWidth="1"/>
    <col min="13570" max="13570" width="8.1796875" style="39" bestFit="1" customWidth="1"/>
    <col min="13571" max="13572" width="7.54296875" style="39" bestFit="1" customWidth="1"/>
    <col min="13573" max="13573" width="15.1796875" style="39" customWidth="1"/>
    <col min="13574" max="13574" width="8.1796875" style="39" bestFit="1" customWidth="1"/>
    <col min="13575" max="13575" width="13.453125" style="39" customWidth="1"/>
    <col min="13576" max="13576" width="12.453125" style="39" customWidth="1"/>
    <col min="13577" max="13577" width="8.81640625" style="39"/>
    <col min="13578" max="13578" width="20.54296875" style="39" customWidth="1"/>
    <col min="13579" max="13579" width="8.1796875" style="39" bestFit="1" customWidth="1"/>
    <col min="13580" max="13580" width="7.54296875" style="39" bestFit="1" customWidth="1"/>
    <col min="13581" max="13581" width="8.1796875" style="39" bestFit="1" customWidth="1"/>
    <col min="13582" max="13582" width="16.26953125" style="39" customWidth="1"/>
    <col min="13583" max="13583" width="8.1796875" style="39" bestFit="1" customWidth="1"/>
    <col min="13584" max="13584" width="12.54296875" style="39" customWidth="1"/>
    <col min="13585" max="13585" width="13.26953125" style="39" customWidth="1"/>
    <col min="13586" max="13804" width="8.81640625" style="39"/>
    <col min="13805" max="13805" width="27.26953125" style="39" bestFit="1" customWidth="1"/>
    <col min="13806" max="13806" width="12.54296875" style="39" bestFit="1" customWidth="1"/>
    <col min="13807" max="13808" width="12.54296875" style="39" customWidth="1"/>
    <col min="13809" max="13809" width="12.54296875" style="39" bestFit="1" customWidth="1"/>
    <col min="13810" max="13811" width="12.54296875" style="39" customWidth="1"/>
    <col min="13812" max="13813" width="12.1796875" style="39" bestFit="1" customWidth="1"/>
    <col min="13814" max="13814" width="8.81640625" style="39"/>
    <col min="13815" max="13815" width="22.81640625" style="39" bestFit="1" customWidth="1"/>
    <col min="13816" max="13816" width="12.54296875" style="39" bestFit="1" customWidth="1"/>
    <col min="13817" max="13817" width="13.54296875" style="39" customWidth="1"/>
    <col min="13818" max="13818" width="11.26953125" style="39" bestFit="1" customWidth="1"/>
    <col min="13819" max="13819" width="12.54296875" style="39" bestFit="1" customWidth="1"/>
    <col min="13820" max="13821" width="12.54296875" style="39" customWidth="1"/>
    <col min="13822" max="13822" width="12.1796875" style="39" bestFit="1" customWidth="1"/>
    <col min="13823" max="13823" width="12.1796875" style="39" customWidth="1"/>
    <col min="13824" max="13824" width="8.81640625" style="39"/>
    <col min="13825" max="13825" width="24.54296875" style="39" customWidth="1"/>
    <col min="13826" max="13826" width="8.1796875" style="39" bestFit="1" customWidth="1"/>
    <col min="13827" max="13828" width="7.54296875" style="39" bestFit="1" customWidth="1"/>
    <col min="13829" max="13829" width="15.1796875" style="39" customWidth="1"/>
    <col min="13830" max="13830" width="8.1796875" style="39" bestFit="1" customWidth="1"/>
    <col min="13831" max="13831" width="13.453125" style="39" customWidth="1"/>
    <col min="13832" max="13832" width="12.453125" style="39" customWidth="1"/>
    <col min="13833" max="13833" width="8.81640625" style="39"/>
    <col min="13834" max="13834" width="20.54296875" style="39" customWidth="1"/>
    <col min="13835" max="13835" width="8.1796875" style="39" bestFit="1" customWidth="1"/>
    <col min="13836" max="13836" width="7.54296875" style="39" bestFit="1" customWidth="1"/>
    <col min="13837" max="13837" width="8.1796875" style="39" bestFit="1" customWidth="1"/>
    <col min="13838" max="13838" width="16.26953125" style="39" customWidth="1"/>
    <col min="13839" max="13839" width="8.1796875" style="39" bestFit="1" customWidth="1"/>
    <col min="13840" max="13840" width="12.54296875" style="39" customWidth="1"/>
    <col min="13841" max="13841" width="13.26953125" style="39" customWidth="1"/>
    <col min="13842" max="14060" width="8.81640625" style="39"/>
    <col min="14061" max="14061" width="27.26953125" style="39" bestFit="1" customWidth="1"/>
    <col min="14062" max="14062" width="12.54296875" style="39" bestFit="1" customWidth="1"/>
    <col min="14063" max="14064" width="12.54296875" style="39" customWidth="1"/>
    <col min="14065" max="14065" width="12.54296875" style="39" bestFit="1" customWidth="1"/>
    <col min="14066" max="14067" width="12.54296875" style="39" customWidth="1"/>
    <col min="14068" max="14069" width="12.1796875" style="39" bestFit="1" customWidth="1"/>
    <col min="14070" max="14070" width="8.81640625" style="39"/>
    <col min="14071" max="14071" width="22.81640625" style="39" bestFit="1" customWidth="1"/>
    <col min="14072" max="14072" width="12.54296875" style="39" bestFit="1" customWidth="1"/>
    <col min="14073" max="14073" width="13.54296875" style="39" customWidth="1"/>
    <col min="14074" max="14074" width="11.26953125" style="39" bestFit="1" customWidth="1"/>
    <col min="14075" max="14075" width="12.54296875" style="39" bestFit="1" customWidth="1"/>
    <col min="14076" max="14077" width="12.54296875" style="39" customWidth="1"/>
    <col min="14078" max="14078" width="12.1796875" style="39" bestFit="1" customWidth="1"/>
    <col min="14079" max="14079" width="12.1796875" style="39" customWidth="1"/>
    <col min="14080" max="14080" width="8.81640625" style="39"/>
    <col min="14081" max="14081" width="24.54296875" style="39" customWidth="1"/>
    <col min="14082" max="14082" width="8.1796875" style="39" bestFit="1" customWidth="1"/>
    <col min="14083" max="14084" width="7.54296875" style="39" bestFit="1" customWidth="1"/>
    <col min="14085" max="14085" width="15.1796875" style="39" customWidth="1"/>
    <col min="14086" max="14086" width="8.1796875" style="39" bestFit="1" customWidth="1"/>
    <col min="14087" max="14087" width="13.453125" style="39" customWidth="1"/>
    <col min="14088" max="14088" width="12.453125" style="39" customWidth="1"/>
    <col min="14089" max="14089" width="8.81640625" style="39"/>
    <col min="14090" max="14090" width="20.54296875" style="39" customWidth="1"/>
    <col min="14091" max="14091" width="8.1796875" style="39" bestFit="1" customWidth="1"/>
    <col min="14092" max="14092" width="7.54296875" style="39" bestFit="1" customWidth="1"/>
    <col min="14093" max="14093" width="8.1796875" style="39" bestFit="1" customWidth="1"/>
    <col min="14094" max="14094" width="16.26953125" style="39" customWidth="1"/>
    <col min="14095" max="14095" width="8.1796875" style="39" bestFit="1" customWidth="1"/>
    <col min="14096" max="14096" width="12.54296875" style="39" customWidth="1"/>
    <col min="14097" max="14097" width="13.26953125" style="39" customWidth="1"/>
    <col min="14098" max="14316" width="8.81640625" style="39"/>
    <col min="14317" max="14317" width="27.26953125" style="39" bestFit="1" customWidth="1"/>
    <col min="14318" max="14318" width="12.54296875" style="39" bestFit="1" customWidth="1"/>
    <col min="14319" max="14320" width="12.54296875" style="39" customWidth="1"/>
    <col min="14321" max="14321" width="12.54296875" style="39" bestFit="1" customWidth="1"/>
    <col min="14322" max="14323" width="12.54296875" style="39" customWidth="1"/>
    <col min="14324" max="14325" width="12.1796875" style="39" bestFit="1" customWidth="1"/>
    <col min="14326" max="14326" width="8.81640625" style="39"/>
    <col min="14327" max="14327" width="22.81640625" style="39" bestFit="1" customWidth="1"/>
    <col min="14328" max="14328" width="12.54296875" style="39" bestFit="1" customWidth="1"/>
    <col min="14329" max="14329" width="13.54296875" style="39" customWidth="1"/>
    <col min="14330" max="14330" width="11.26953125" style="39" bestFit="1" customWidth="1"/>
    <col min="14331" max="14331" width="12.54296875" style="39" bestFit="1" customWidth="1"/>
    <col min="14332" max="14333" width="12.54296875" style="39" customWidth="1"/>
    <col min="14334" max="14334" width="12.1796875" style="39" bestFit="1" customWidth="1"/>
    <col min="14335" max="14335" width="12.1796875" style="39" customWidth="1"/>
    <col min="14336" max="14336" width="8.81640625" style="39"/>
    <col min="14337" max="14337" width="24.54296875" style="39" customWidth="1"/>
    <col min="14338" max="14338" width="8.1796875" style="39" bestFit="1" customWidth="1"/>
    <col min="14339" max="14340" width="7.54296875" style="39" bestFit="1" customWidth="1"/>
    <col min="14341" max="14341" width="15.1796875" style="39" customWidth="1"/>
    <col min="14342" max="14342" width="8.1796875" style="39" bestFit="1" customWidth="1"/>
    <col min="14343" max="14343" width="13.453125" style="39" customWidth="1"/>
    <col min="14344" max="14344" width="12.453125" style="39" customWidth="1"/>
    <col min="14345" max="14345" width="8.81640625" style="39"/>
    <col min="14346" max="14346" width="20.54296875" style="39" customWidth="1"/>
    <col min="14347" max="14347" width="8.1796875" style="39" bestFit="1" customWidth="1"/>
    <col min="14348" max="14348" width="7.54296875" style="39" bestFit="1" customWidth="1"/>
    <col min="14349" max="14349" width="8.1796875" style="39" bestFit="1" customWidth="1"/>
    <col min="14350" max="14350" width="16.26953125" style="39" customWidth="1"/>
    <col min="14351" max="14351" width="8.1796875" style="39" bestFit="1" customWidth="1"/>
    <col min="14352" max="14352" width="12.54296875" style="39" customWidth="1"/>
    <col min="14353" max="14353" width="13.26953125" style="39" customWidth="1"/>
    <col min="14354" max="14572" width="8.81640625" style="39"/>
    <col min="14573" max="14573" width="27.26953125" style="39" bestFit="1" customWidth="1"/>
    <col min="14574" max="14574" width="12.54296875" style="39" bestFit="1" customWidth="1"/>
    <col min="14575" max="14576" width="12.54296875" style="39" customWidth="1"/>
    <col min="14577" max="14577" width="12.54296875" style="39" bestFit="1" customWidth="1"/>
    <col min="14578" max="14579" width="12.54296875" style="39" customWidth="1"/>
    <col min="14580" max="14581" width="12.1796875" style="39" bestFit="1" customWidth="1"/>
    <col min="14582" max="14582" width="8.81640625" style="39"/>
    <col min="14583" max="14583" width="22.81640625" style="39" bestFit="1" customWidth="1"/>
    <col min="14584" max="14584" width="12.54296875" style="39" bestFit="1" customWidth="1"/>
    <col min="14585" max="14585" width="13.54296875" style="39" customWidth="1"/>
    <col min="14586" max="14586" width="11.26953125" style="39" bestFit="1" customWidth="1"/>
    <col min="14587" max="14587" width="12.54296875" style="39" bestFit="1" customWidth="1"/>
    <col min="14588" max="14589" width="12.54296875" style="39" customWidth="1"/>
    <col min="14590" max="14590" width="12.1796875" style="39" bestFit="1" customWidth="1"/>
    <col min="14591" max="14591" width="12.1796875" style="39" customWidth="1"/>
    <col min="14592" max="14592" width="8.81640625" style="39"/>
    <col min="14593" max="14593" width="24.54296875" style="39" customWidth="1"/>
    <col min="14594" max="14594" width="8.1796875" style="39" bestFit="1" customWidth="1"/>
    <col min="14595" max="14596" width="7.54296875" style="39" bestFit="1" customWidth="1"/>
    <col min="14597" max="14597" width="15.1796875" style="39" customWidth="1"/>
    <col min="14598" max="14598" width="8.1796875" style="39" bestFit="1" customWidth="1"/>
    <col min="14599" max="14599" width="13.453125" style="39" customWidth="1"/>
    <col min="14600" max="14600" width="12.453125" style="39" customWidth="1"/>
    <col min="14601" max="14601" width="8.81640625" style="39"/>
    <col min="14602" max="14602" width="20.54296875" style="39" customWidth="1"/>
    <col min="14603" max="14603" width="8.1796875" style="39" bestFit="1" customWidth="1"/>
    <col min="14604" max="14604" width="7.54296875" style="39" bestFit="1" customWidth="1"/>
    <col min="14605" max="14605" width="8.1796875" style="39" bestFit="1" customWidth="1"/>
    <col min="14606" max="14606" width="16.26953125" style="39" customWidth="1"/>
    <col min="14607" max="14607" width="8.1796875" style="39" bestFit="1" customWidth="1"/>
    <col min="14608" max="14608" width="12.54296875" style="39" customWidth="1"/>
    <col min="14609" max="14609" width="13.26953125" style="39" customWidth="1"/>
    <col min="14610" max="14828" width="8.81640625" style="39"/>
    <col min="14829" max="14829" width="27.26953125" style="39" bestFit="1" customWidth="1"/>
    <col min="14830" max="14830" width="12.54296875" style="39" bestFit="1" customWidth="1"/>
    <col min="14831" max="14832" width="12.54296875" style="39" customWidth="1"/>
    <col min="14833" max="14833" width="12.54296875" style="39" bestFit="1" customWidth="1"/>
    <col min="14834" max="14835" width="12.54296875" style="39" customWidth="1"/>
    <col min="14836" max="14837" width="12.1796875" style="39" bestFit="1" customWidth="1"/>
    <col min="14838" max="14838" width="8.81640625" style="39"/>
    <col min="14839" max="14839" width="22.81640625" style="39" bestFit="1" customWidth="1"/>
    <col min="14840" max="14840" width="12.54296875" style="39" bestFit="1" customWidth="1"/>
    <col min="14841" max="14841" width="13.54296875" style="39" customWidth="1"/>
    <col min="14842" max="14842" width="11.26953125" style="39" bestFit="1" customWidth="1"/>
    <col min="14843" max="14843" width="12.54296875" style="39" bestFit="1" customWidth="1"/>
    <col min="14844" max="14845" width="12.54296875" style="39" customWidth="1"/>
    <col min="14846" max="14846" width="12.1796875" style="39" bestFit="1" customWidth="1"/>
    <col min="14847" max="14847" width="12.1796875" style="39" customWidth="1"/>
    <col min="14848" max="14848" width="8.81640625" style="39"/>
    <col min="14849" max="14849" width="24.54296875" style="39" customWidth="1"/>
    <col min="14850" max="14850" width="8.1796875" style="39" bestFit="1" customWidth="1"/>
    <col min="14851" max="14852" width="7.54296875" style="39" bestFit="1" customWidth="1"/>
    <col min="14853" max="14853" width="15.1796875" style="39" customWidth="1"/>
    <col min="14854" max="14854" width="8.1796875" style="39" bestFit="1" customWidth="1"/>
    <col min="14855" max="14855" width="13.453125" style="39" customWidth="1"/>
    <col min="14856" max="14856" width="12.453125" style="39" customWidth="1"/>
    <col min="14857" max="14857" width="8.81640625" style="39"/>
    <col min="14858" max="14858" width="20.54296875" style="39" customWidth="1"/>
    <col min="14859" max="14859" width="8.1796875" style="39" bestFit="1" customWidth="1"/>
    <col min="14860" max="14860" width="7.54296875" style="39" bestFit="1" customWidth="1"/>
    <col min="14861" max="14861" width="8.1796875" style="39" bestFit="1" customWidth="1"/>
    <col min="14862" max="14862" width="16.26953125" style="39" customWidth="1"/>
    <col min="14863" max="14863" width="8.1796875" style="39" bestFit="1" customWidth="1"/>
    <col min="14864" max="14864" width="12.54296875" style="39" customWidth="1"/>
    <col min="14865" max="14865" width="13.26953125" style="39" customWidth="1"/>
    <col min="14866" max="15084" width="8.81640625" style="39"/>
    <col min="15085" max="15085" width="27.26953125" style="39" bestFit="1" customWidth="1"/>
    <col min="15086" max="15086" width="12.54296875" style="39" bestFit="1" customWidth="1"/>
    <col min="15087" max="15088" width="12.54296875" style="39" customWidth="1"/>
    <col min="15089" max="15089" width="12.54296875" style="39" bestFit="1" customWidth="1"/>
    <col min="15090" max="15091" width="12.54296875" style="39" customWidth="1"/>
    <col min="15092" max="15093" width="12.1796875" style="39" bestFit="1" customWidth="1"/>
    <col min="15094" max="15094" width="8.81640625" style="39"/>
    <col min="15095" max="15095" width="22.81640625" style="39" bestFit="1" customWidth="1"/>
    <col min="15096" max="15096" width="12.54296875" style="39" bestFit="1" customWidth="1"/>
    <col min="15097" max="15097" width="13.54296875" style="39" customWidth="1"/>
    <col min="15098" max="15098" width="11.26953125" style="39" bestFit="1" customWidth="1"/>
    <col min="15099" max="15099" width="12.54296875" style="39" bestFit="1" customWidth="1"/>
    <col min="15100" max="15101" width="12.54296875" style="39" customWidth="1"/>
    <col min="15102" max="15102" width="12.1796875" style="39" bestFit="1" customWidth="1"/>
    <col min="15103" max="15103" width="12.1796875" style="39" customWidth="1"/>
    <col min="15104" max="15104" width="8.81640625" style="39"/>
    <col min="15105" max="15105" width="24.54296875" style="39" customWidth="1"/>
    <col min="15106" max="15106" width="8.1796875" style="39" bestFit="1" customWidth="1"/>
    <col min="15107" max="15108" width="7.54296875" style="39" bestFit="1" customWidth="1"/>
    <col min="15109" max="15109" width="15.1796875" style="39" customWidth="1"/>
    <col min="15110" max="15110" width="8.1796875" style="39" bestFit="1" customWidth="1"/>
    <col min="15111" max="15111" width="13.453125" style="39" customWidth="1"/>
    <col min="15112" max="15112" width="12.453125" style="39" customWidth="1"/>
    <col min="15113" max="15113" width="8.81640625" style="39"/>
    <col min="15114" max="15114" width="20.54296875" style="39" customWidth="1"/>
    <col min="15115" max="15115" width="8.1796875" style="39" bestFit="1" customWidth="1"/>
    <col min="15116" max="15116" width="7.54296875" style="39" bestFit="1" customWidth="1"/>
    <col min="15117" max="15117" width="8.1796875" style="39" bestFit="1" customWidth="1"/>
    <col min="15118" max="15118" width="16.26953125" style="39" customWidth="1"/>
    <col min="15119" max="15119" width="8.1796875" style="39" bestFit="1" customWidth="1"/>
    <col min="15120" max="15120" width="12.54296875" style="39" customWidth="1"/>
    <col min="15121" max="15121" width="13.26953125" style="39" customWidth="1"/>
    <col min="15122" max="15340" width="8.81640625" style="39"/>
    <col min="15341" max="15341" width="27.26953125" style="39" bestFit="1" customWidth="1"/>
    <col min="15342" max="15342" width="12.54296875" style="39" bestFit="1" customWidth="1"/>
    <col min="15343" max="15344" width="12.54296875" style="39" customWidth="1"/>
    <col min="15345" max="15345" width="12.54296875" style="39" bestFit="1" customWidth="1"/>
    <col min="15346" max="15347" width="12.54296875" style="39" customWidth="1"/>
    <col min="15348" max="15349" width="12.1796875" style="39" bestFit="1" customWidth="1"/>
    <col min="15350" max="15350" width="8.81640625" style="39"/>
    <col min="15351" max="15351" width="22.81640625" style="39" bestFit="1" customWidth="1"/>
    <col min="15352" max="15352" width="12.54296875" style="39" bestFit="1" customWidth="1"/>
    <col min="15353" max="15353" width="13.54296875" style="39" customWidth="1"/>
    <col min="15354" max="15354" width="11.26953125" style="39" bestFit="1" customWidth="1"/>
    <col min="15355" max="15355" width="12.54296875" style="39" bestFit="1" customWidth="1"/>
    <col min="15356" max="15357" width="12.54296875" style="39" customWidth="1"/>
    <col min="15358" max="15358" width="12.1796875" style="39" bestFit="1" customWidth="1"/>
    <col min="15359" max="15359" width="12.1796875" style="39" customWidth="1"/>
    <col min="15360" max="15360" width="8.81640625" style="39"/>
    <col min="15361" max="15361" width="24.54296875" style="39" customWidth="1"/>
    <col min="15362" max="15362" width="8.1796875" style="39" bestFit="1" customWidth="1"/>
    <col min="15363" max="15364" width="7.54296875" style="39" bestFit="1" customWidth="1"/>
    <col min="15365" max="15365" width="15.1796875" style="39" customWidth="1"/>
    <col min="15366" max="15366" width="8.1796875" style="39" bestFit="1" customWidth="1"/>
    <col min="15367" max="15367" width="13.453125" style="39" customWidth="1"/>
    <col min="15368" max="15368" width="12.453125" style="39" customWidth="1"/>
    <col min="15369" max="15369" width="8.81640625" style="39"/>
    <col min="15370" max="15370" width="20.54296875" style="39" customWidth="1"/>
    <col min="15371" max="15371" width="8.1796875" style="39" bestFit="1" customWidth="1"/>
    <col min="15372" max="15372" width="7.54296875" style="39" bestFit="1" customWidth="1"/>
    <col min="15373" max="15373" width="8.1796875" style="39" bestFit="1" customWidth="1"/>
    <col min="15374" max="15374" width="16.26953125" style="39" customWidth="1"/>
    <col min="15375" max="15375" width="8.1796875" style="39" bestFit="1" customWidth="1"/>
    <col min="15376" max="15376" width="12.54296875" style="39" customWidth="1"/>
    <col min="15377" max="15377" width="13.26953125" style="39" customWidth="1"/>
    <col min="15378" max="15596" width="8.81640625" style="39"/>
    <col min="15597" max="15597" width="27.26953125" style="39" bestFit="1" customWidth="1"/>
    <col min="15598" max="15598" width="12.54296875" style="39" bestFit="1" customWidth="1"/>
    <col min="15599" max="15600" width="12.54296875" style="39" customWidth="1"/>
    <col min="15601" max="15601" width="12.54296875" style="39" bestFit="1" customWidth="1"/>
    <col min="15602" max="15603" width="12.54296875" style="39" customWidth="1"/>
    <col min="15604" max="15605" width="12.1796875" style="39" bestFit="1" customWidth="1"/>
    <col min="15606" max="15606" width="8.81640625" style="39"/>
    <col min="15607" max="15607" width="22.81640625" style="39" bestFit="1" customWidth="1"/>
    <col min="15608" max="15608" width="12.54296875" style="39" bestFit="1" customWidth="1"/>
    <col min="15609" max="15609" width="13.54296875" style="39" customWidth="1"/>
    <col min="15610" max="15610" width="11.26953125" style="39" bestFit="1" customWidth="1"/>
    <col min="15611" max="15611" width="12.54296875" style="39" bestFit="1" customWidth="1"/>
    <col min="15612" max="15613" width="12.54296875" style="39" customWidth="1"/>
    <col min="15614" max="15614" width="12.1796875" style="39" bestFit="1" customWidth="1"/>
    <col min="15615" max="15615" width="12.1796875" style="39" customWidth="1"/>
    <col min="15616" max="15616" width="8.81640625" style="39"/>
    <col min="15617" max="15617" width="24.54296875" style="39" customWidth="1"/>
    <col min="15618" max="15618" width="8.1796875" style="39" bestFit="1" customWidth="1"/>
    <col min="15619" max="15620" width="7.54296875" style="39" bestFit="1" customWidth="1"/>
    <col min="15621" max="15621" width="15.1796875" style="39" customWidth="1"/>
    <col min="15622" max="15622" width="8.1796875" style="39" bestFit="1" customWidth="1"/>
    <col min="15623" max="15623" width="13.453125" style="39" customWidth="1"/>
    <col min="15624" max="15624" width="12.453125" style="39" customWidth="1"/>
    <col min="15625" max="15625" width="8.81640625" style="39"/>
    <col min="15626" max="15626" width="20.54296875" style="39" customWidth="1"/>
    <col min="15627" max="15627" width="8.1796875" style="39" bestFit="1" customWidth="1"/>
    <col min="15628" max="15628" width="7.54296875" style="39" bestFit="1" customWidth="1"/>
    <col min="15629" max="15629" width="8.1796875" style="39" bestFit="1" customWidth="1"/>
    <col min="15630" max="15630" width="16.26953125" style="39" customWidth="1"/>
    <col min="15631" max="15631" width="8.1796875" style="39" bestFit="1" customWidth="1"/>
    <col min="15632" max="15632" width="12.54296875" style="39" customWidth="1"/>
    <col min="15633" max="15633" width="13.26953125" style="39" customWidth="1"/>
    <col min="15634" max="15852" width="8.81640625" style="39"/>
    <col min="15853" max="15853" width="27.26953125" style="39" bestFit="1" customWidth="1"/>
    <col min="15854" max="15854" width="12.54296875" style="39" bestFit="1" customWidth="1"/>
    <col min="15855" max="15856" width="12.54296875" style="39" customWidth="1"/>
    <col min="15857" max="15857" width="12.54296875" style="39" bestFit="1" customWidth="1"/>
    <col min="15858" max="15859" width="12.54296875" style="39" customWidth="1"/>
    <col min="15860" max="15861" width="12.1796875" style="39" bestFit="1" customWidth="1"/>
    <col min="15862" max="15862" width="8.81640625" style="39"/>
    <col min="15863" max="15863" width="22.81640625" style="39" bestFit="1" customWidth="1"/>
    <col min="15864" max="15864" width="12.54296875" style="39" bestFit="1" customWidth="1"/>
    <col min="15865" max="15865" width="13.54296875" style="39" customWidth="1"/>
    <col min="15866" max="15866" width="11.26953125" style="39" bestFit="1" customWidth="1"/>
    <col min="15867" max="15867" width="12.54296875" style="39" bestFit="1" customWidth="1"/>
    <col min="15868" max="15869" width="12.54296875" style="39" customWidth="1"/>
    <col min="15870" max="15870" width="12.1796875" style="39" bestFit="1" customWidth="1"/>
    <col min="15871" max="15871" width="12.1796875" style="39" customWidth="1"/>
    <col min="15872" max="15872" width="8.81640625" style="39"/>
    <col min="15873" max="15873" width="24.54296875" style="39" customWidth="1"/>
    <col min="15874" max="15874" width="8.1796875" style="39" bestFit="1" customWidth="1"/>
    <col min="15875" max="15876" width="7.54296875" style="39" bestFit="1" customWidth="1"/>
    <col min="15877" max="15877" width="15.1796875" style="39" customWidth="1"/>
    <col min="15878" max="15878" width="8.1796875" style="39" bestFit="1" customWidth="1"/>
    <col min="15879" max="15879" width="13.453125" style="39" customWidth="1"/>
    <col min="15880" max="15880" width="12.453125" style="39" customWidth="1"/>
    <col min="15881" max="15881" width="8.81640625" style="39"/>
    <col min="15882" max="15882" width="20.54296875" style="39" customWidth="1"/>
    <col min="15883" max="15883" width="8.1796875" style="39" bestFit="1" customWidth="1"/>
    <col min="15884" max="15884" width="7.54296875" style="39" bestFit="1" customWidth="1"/>
    <col min="15885" max="15885" width="8.1796875" style="39" bestFit="1" customWidth="1"/>
    <col min="15886" max="15886" width="16.26953125" style="39" customWidth="1"/>
    <col min="15887" max="15887" width="8.1796875" style="39" bestFit="1" customWidth="1"/>
    <col min="15888" max="15888" width="12.54296875" style="39" customWidth="1"/>
    <col min="15889" max="15889" width="13.26953125" style="39" customWidth="1"/>
    <col min="15890" max="16108" width="8.81640625" style="39"/>
    <col min="16109" max="16109" width="27.26953125" style="39" bestFit="1" customWidth="1"/>
    <col min="16110" max="16110" width="12.54296875" style="39" bestFit="1" customWidth="1"/>
    <col min="16111" max="16112" width="12.54296875" style="39" customWidth="1"/>
    <col min="16113" max="16113" width="12.54296875" style="39" bestFit="1" customWidth="1"/>
    <col min="16114" max="16115" width="12.54296875" style="39" customWidth="1"/>
    <col min="16116" max="16117" width="12.1796875" style="39" bestFit="1" customWidth="1"/>
    <col min="16118" max="16118" width="8.81640625" style="39"/>
    <col min="16119" max="16119" width="22.81640625" style="39" bestFit="1" customWidth="1"/>
    <col min="16120" max="16120" width="12.54296875" style="39" bestFit="1" customWidth="1"/>
    <col min="16121" max="16121" width="13.54296875" style="39" customWidth="1"/>
    <col min="16122" max="16122" width="11.26953125" style="39" bestFit="1" customWidth="1"/>
    <col min="16123" max="16123" width="12.54296875" style="39" bestFit="1" customWidth="1"/>
    <col min="16124" max="16125" width="12.54296875" style="39" customWidth="1"/>
    <col min="16126" max="16126" width="12.1796875" style="39" bestFit="1" customWidth="1"/>
    <col min="16127" max="16127" width="12.1796875" style="39" customWidth="1"/>
    <col min="16128" max="16128" width="8.81640625" style="39"/>
    <col min="16129" max="16129" width="24.54296875" style="39" customWidth="1"/>
    <col min="16130" max="16130" width="8.1796875" style="39" bestFit="1" customWidth="1"/>
    <col min="16131" max="16132" width="7.54296875" style="39" bestFit="1" customWidth="1"/>
    <col min="16133" max="16133" width="15.1796875" style="39" customWidth="1"/>
    <col min="16134" max="16134" width="8.1796875" style="39" bestFit="1" customWidth="1"/>
    <col min="16135" max="16135" width="13.453125" style="39" customWidth="1"/>
    <col min="16136" max="16136" width="12.453125" style="39" customWidth="1"/>
    <col min="16137" max="16137" width="8.81640625" style="39"/>
    <col min="16138" max="16138" width="20.54296875" style="39" customWidth="1"/>
    <col min="16139" max="16139" width="8.1796875" style="39" bestFit="1" customWidth="1"/>
    <col min="16140" max="16140" width="7.54296875" style="39" bestFit="1" customWidth="1"/>
    <col min="16141" max="16141" width="8.1796875" style="39" bestFit="1" customWidth="1"/>
    <col min="16142" max="16142" width="16.26953125" style="39" customWidth="1"/>
    <col min="16143" max="16143" width="8.1796875" style="39" bestFit="1" customWidth="1"/>
    <col min="16144" max="16144" width="12.54296875" style="39" customWidth="1"/>
    <col min="16145" max="16145" width="13.26953125" style="39" customWidth="1"/>
    <col min="16146" max="16384" width="8.81640625" style="39"/>
  </cols>
  <sheetData>
    <row r="1" spans="1:16" ht="28.5" x14ac:dyDescent="0.35">
      <c r="A1" s="38" t="s">
        <v>443</v>
      </c>
    </row>
    <row r="2" spans="1:16" x14ac:dyDescent="0.35">
      <c r="A2" s="3" t="s">
        <v>15</v>
      </c>
    </row>
    <row r="3" spans="1:16" x14ac:dyDescent="0.35">
      <c r="A3" s="44" t="s">
        <v>158</v>
      </c>
    </row>
    <row r="4" spans="1:16" x14ac:dyDescent="0.35">
      <c r="A4" s="3" t="s">
        <v>159</v>
      </c>
    </row>
    <row r="5" spans="1:16" ht="31" x14ac:dyDescent="0.35">
      <c r="A5" s="57" t="s">
        <v>88</v>
      </c>
      <c r="B5" s="86" t="s">
        <v>92</v>
      </c>
      <c r="C5" s="87" t="s">
        <v>93</v>
      </c>
      <c r="D5" s="87" t="s">
        <v>94</v>
      </c>
      <c r="E5" s="87" t="s">
        <v>95</v>
      </c>
      <c r="F5" s="87" t="s">
        <v>96</v>
      </c>
      <c r="G5" s="87" t="s">
        <v>97</v>
      </c>
      <c r="H5" s="87" t="s">
        <v>440</v>
      </c>
      <c r="I5" s="88" t="s">
        <v>441</v>
      </c>
      <c r="J5" s="87" t="s">
        <v>36</v>
      </c>
      <c r="K5" s="87" t="s">
        <v>70</v>
      </c>
      <c r="L5" s="87" t="s">
        <v>71</v>
      </c>
      <c r="M5" s="87" t="s">
        <v>98</v>
      </c>
      <c r="N5" s="87" t="s">
        <v>72</v>
      </c>
      <c r="O5" s="87" t="s">
        <v>99</v>
      </c>
      <c r="P5" s="88" t="s">
        <v>442</v>
      </c>
    </row>
    <row r="6" spans="1:16" x14ac:dyDescent="0.35">
      <c r="A6" s="60" t="s">
        <v>171</v>
      </c>
      <c r="B6" s="80">
        <f>SUM('Quarter supply'!AG6-'Quarter final consumption'!CB6)</f>
        <v>63706.850000000013</v>
      </c>
      <c r="C6" s="80">
        <f>SUM('Quarter supply'!AH6:AL6)</f>
        <v>59732.58</v>
      </c>
      <c r="D6" s="80">
        <f>SUM('Quarter final consumption'!CB6)</f>
        <v>3240.76</v>
      </c>
      <c r="E6" s="80">
        <f>SUM(C6-D6)</f>
        <v>56491.82</v>
      </c>
      <c r="F6" s="80">
        <f>'Quarter supply'!O6+'Quarter supply'!W6</f>
        <v>362.35</v>
      </c>
      <c r="G6" s="80">
        <v>88.1</v>
      </c>
      <c r="H6" s="81">
        <f>SUM(E6/B6)</f>
        <v>0.88674640168207952</v>
      </c>
      <c r="I6" s="84">
        <f>IF((F6+G6)&gt;0,1-(E6+F6+G6)/B6,1-H6)</f>
        <v>0.106182930093075</v>
      </c>
      <c r="J6" s="80">
        <f>SUM('Quarter supply'!AG6)</f>
        <v>66947.610000000015</v>
      </c>
      <c r="K6" s="80">
        <f>SUM('Quarter supply'!H6)</f>
        <v>19918.400000000001</v>
      </c>
      <c r="L6" s="80">
        <f>SUM('Quarter supply'!P6)</f>
        <v>-30606.929999999997</v>
      </c>
      <c r="M6" s="83">
        <f>SUM(L6+K6)</f>
        <v>-10688.529999999995</v>
      </c>
      <c r="N6" s="80">
        <f>SUM('Quarter supply'!X6)</f>
        <v>-768.76</v>
      </c>
      <c r="O6" s="80">
        <f>SUM(J6-N6)</f>
        <v>67716.37000000001</v>
      </c>
      <c r="P6" s="84">
        <f>SUM(M6/O6)</f>
        <v>-0.15784263096205531</v>
      </c>
    </row>
    <row r="7" spans="1:16" x14ac:dyDescent="0.35">
      <c r="A7" s="50" t="s">
        <v>172</v>
      </c>
      <c r="B7" s="80">
        <f>SUM('Quarter supply'!AG7-'Quarter final consumption'!CB7)</f>
        <v>54524.330000000009</v>
      </c>
      <c r="C7" s="80">
        <f>SUM('Quarter supply'!AH7:AL7)</f>
        <v>51137.250000000007</v>
      </c>
      <c r="D7" s="80">
        <f>SUM('Quarter final consumption'!CB7)</f>
        <v>3107.39</v>
      </c>
      <c r="E7" s="80">
        <f t="shared" ref="E7:E71" si="0">SUM(C7-D7)</f>
        <v>48029.860000000008</v>
      </c>
      <c r="F7" s="80">
        <f>'Quarter supply'!O7+'Quarter supply'!W7</f>
        <v>342.08</v>
      </c>
      <c r="G7" s="80">
        <v>88.1</v>
      </c>
      <c r="H7" s="81">
        <f t="shared" ref="H7:H71" si="1">SUM(E7/B7)</f>
        <v>0.88088858680152515</v>
      </c>
      <c r="I7" s="85">
        <f t="shared" ref="I7:I71" si="2">IF((F7+G7)&gt;0,1-(E7+F7+G7)/B7,1-H7)</f>
        <v>0.11122172432013377</v>
      </c>
      <c r="J7" s="80">
        <f>SUM('Quarter supply'!AG7)</f>
        <v>57631.720000000008</v>
      </c>
      <c r="K7" s="80">
        <f>SUM('Quarter supply'!H7)</f>
        <v>22100.43</v>
      </c>
      <c r="L7" s="80">
        <f>SUM('Quarter supply'!P7)</f>
        <v>-30763.66</v>
      </c>
      <c r="M7" s="83">
        <f t="shared" ref="M7:M71" si="3">SUM(L7+K7)</f>
        <v>-8663.23</v>
      </c>
      <c r="N7" s="80">
        <f>SUM('Quarter supply'!X7)</f>
        <v>-861.8</v>
      </c>
      <c r="O7" s="80">
        <f t="shared" ref="O7:O71" si="4">SUM(J7-N7)</f>
        <v>58493.520000000011</v>
      </c>
      <c r="P7" s="85">
        <f t="shared" ref="P7:P71" si="5">SUM(M7/O7)</f>
        <v>-0.14810580727574607</v>
      </c>
    </row>
    <row r="8" spans="1:16" x14ac:dyDescent="0.35">
      <c r="A8" s="50" t="s">
        <v>173</v>
      </c>
      <c r="B8" s="80">
        <f>SUM('Quarter supply'!AG8-'Quarter final consumption'!CB8)</f>
        <v>48762.640000000014</v>
      </c>
      <c r="C8" s="80">
        <f>SUM('Quarter supply'!AH8:AL8)</f>
        <v>45916.73000000001</v>
      </c>
      <c r="D8" s="80">
        <f>SUM('Quarter final consumption'!CB8)</f>
        <v>3187.45</v>
      </c>
      <c r="E8" s="80">
        <f t="shared" si="0"/>
        <v>42729.280000000013</v>
      </c>
      <c r="F8" s="80">
        <f>'Quarter supply'!O8+'Quarter supply'!W8</f>
        <v>72.81</v>
      </c>
      <c r="G8" s="80">
        <v>88.1</v>
      </c>
      <c r="H8" s="81">
        <f t="shared" si="1"/>
        <v>0.87627084997859017</v>
      </c>
      <c r="I8" s="85">
        <f t="shared" si="2"/>
        <v>0.12042928766777194</v>
      </c>
      <c r="J8" s="80">
        <f>SUM('Quarter supply'!AG8)</f>
        <v>51950.090000000011</v>
      </c>
      <c r="K8" s="80">
        <f>SUM('Quarter supply'!H8)</f>
        <v>19663.82</v>
      </c>
      <c r="L8" s="80">
        <f>SUM('Quarter supply'!P8)</f>
        <v>-29405.169999999995</v>
      </c>
      <c r="M8" s="83">
        <f t="shared" si="3"/>
        <v>-9741.3499999999949</v>
      </c>
      <c r="N8" s="80">
        <f>SUM('Quarter supply'!X8)</f>
        <v>-815.16</v>
      </c>
      <c r="O8" s="80">
        <f t="shared" si="4"/>
        <v>52765.250000000015</v>
      </c>
      <c r="P8" s="85">
        <f t="shared" si="5"/>
        <v>-0.18461676955951109</v>
      </c>
    </row>
    <row r="9" spans="1:16" x14ac:dyDescent="0.35">
      <c r="A9" s="50" t="s">
        <v>174</v>
      </c>
      <c r="B9" s="80">
        <f>SUM('Quarter supply'!AG9-'Quarter final consumption'!CB9)</f>
        <v>63748.69</v>
      </c>
      <c r="C9" s="80">
        <f>SUM('Quarter supply'!AH9:AL9)</f>
        <v>59593.61</v>
      </c>
      <c r="D9" s="80">
        <f>SUM('Quarter final consumption'!CB9)</f>
        <v>3201.61</v>
      </c>
      <c r="E9" s="80">
        <f t="shared" si="0"/>
        <v>56392</v>
      </c>
      <c r="F9" s="80">
        <f>'Quarter supply'!O9+'Quarter supply'!W9</f>
        <v>294.8</v>
      </c>
      <c r="G9" s="80">
        <v>88.1</v>
      </c>
      <c r="H9" s="81">
        <f t="shared" si="1"/>
        <v>0.88459856979021845</v>
      </c>
      <c r="I9" s="85">
        <f t="shared" si="2"/>
        <v>0.10939503227438874</v>
      </c>
      <c r="J9" s="80">
        <f>SUM('Quarter supply'!AG9)</f>
        <v>66950.3</v>
      </c>
      <c r="K9" s="80">
        <f>SUM('Quarter supply'!H9)</f>
        <v>20377.87</v>
      </c>
      <c r="L9" s="80">
        <f>SUM('Quarter supply'!P9)</f>
        <v>-31780.22</v>
      </c>
      <c r="M9" s="83">
        <f t="shared" si="3"/>
        <v>-11402.350000000002</v>
      </c>
      <c r="N9" s="80">
        <f>SUM('Quarter supply'!X9)</f>
        <v>-811.65</v>
      </c>
      <c r="O9" s="80">
        <f t="shared" si="4"/>
        <v>67761.95</v>
      </c>
      <c r="P9" s="85">
        <f t="shared" si="5"/>
        <v>-0.16827068878625839</v>
      </c>
    </row>
    <row r="10" spans="1:16" x14ac:dyDescent="0.35">
      <c r="A10" s="50" t="s">
        <v>175</v>
      </c>
      <c r="B10" s="80">
        <f>SUM('Quarter supply'!AG10-'Quarter final consumption'!CB10)</f>
        <v>67315.240000000005</v>
      </c>
      <c r="C10" s="80">
        <f>SUM('Quarter supply'!AH10:AL10)</f>
        <v>63315.89</v>
      </c>
      <c r="D10" s="80">
        <f>SUM('Quarter final consumption'!CB10)</f>
        <v>3272.9</v>
      </c>
      <c r="E10" s="80">
        <f t="shared" si="0"/>
        <v>60042.99</v>
      </c>
      <c r="F10" s="80">
        <f>'Quarter supply'!O10+'Quarter supply'!W10</f>
        <v>311.39000000000004</v>
      </c>
      <c r="G10" s="80">
        <v>80.459999999999994</v>
      </c>
      <c r="H10" s="81">
        <f t="shared" si="1"/>
        <v>0.89196725734023963</v>
      </c>
      <c r="I10" s="85">
        <f t="shared" si="2"/>
        <v>0.10221162399480432</v>
      </c>
      <c r="J10" s="80">
        <f>SUM('Quarter supply'!AG10)</f>
        <v>70588.14</v>
      </c>
      <c r="K10" s="80">
        <f>SUM('Quarter supply'!H10)</f>
        <v>19628.32</v>
      </c>
      <c r="L10" s="80">
        <f>SUM('Quarter supply'!P10)</f>
        <v>-30087.93</v>
      </c>
      <c r="M10" s="83">
        <f t="shared" si="3"/>
        <v>-10459.61</v>
      </c>
      <c r="N10" s="80">
        <f>SUM('Quarter supply'!X10)</f>
        <v>-670.73</v>
      </c>
      <c r="O10" s="80">
        <f t="shared" si="4"/>
        <v>71258.87</v>
      </c>
      <c r="P10" s="85">
        <f t="shared" si="5"/>
        <v>-0.14678327063002825</v>
      </c>
    </row>
    <row r="11" spans="1:16" x14ac:dyDescent="0.35">
      <c r="A11" s="50" t="s">
        <v>176</v>
      </c>
      <c r="B11" s="80">
        <f>SUM('Quarter supply'!AG11-'Quarter final consumption'!CB11)</f>
        <v>52611.149999999987</v>
      </c>
      <c r="C11" s="80">
        <f>SUM('Quarter supply'!AH11:AL11)</f>
        <v>48950.919999999991</v>
      </c>
      <c r="D11" s="80">
        <f>SUM('Quarter final consumption'!CB11)</f>
        <v>3107.58</v>
      </c>
      <c r="E11" s="80">
        <f t="shared" si="0"/>
        <v>45843.339999999989</v>
      </c>
      <c r="F11" s="80">
        <f>'Quarter supply'!O11+'Quarter supply'!W11</f>
        <v>318.85999999999996</v>
      </c>
      <c r="G11" s="80">
        <v>80.459999999999994</v>
      </c>
      <c r="H11" s="81">
        <f t="shared" si="1"/>
        <v>0.87136167903571771</v>
      </c>
      <c r="I11" s="85">
        <f t="shared" si="2"/>
        <v>0.12104829489566371</v>
      </c>
      <c r="J11" s="80">
        <f>SUM('Quarter supply'!AG11)</f>
        <v>55718.729999999989</v>
      </c>
      <c r="K11" s="80">
        <f>SUM('Quarter supply'!H11)</f>
        <v>19009.95</v>
      </c>
      <c r="L11" s="80">
        <f>SUM('Quarter supply'!P11)</f>
        <v>-32278.849999999995</v>
      </c>
      <c r="M11" s="83">
        <f t="shared" si="3"/>
        <v>-13268.899999999994</v>
      </c>
      <c r="N11" s="80">
        <f>SUM('Quarter supply'!X11)</f>
        <v>-599.72</v>
      </c>
      <c r="O11" s="80">
        <f t="shared" si="4"/>
        <v>56318.44999999999</v>
      </c>
      <c r="P11" s="85">
        <f t="shared" si="5"/>
        <v>-0.23560485063065473</v>
      </c>
    </row>
    <row r="12" spans="1:16" x14ac:dyDescent="0.35">
      <c r="A12" s="50" t="s">
        <v>177</v>
      </c>
      <c r="B12" s="80">
        <f>SUM('Quarter supply'!AG12-'Quarter final consumption'!CB12)</f>
        <v>47354.810000000005</v>
      </c>
      <c r="C12" s="80">
        <f>SUM('Quarter supply'!AH12:AL12)</f>
        <v>44750.130000000005</v>
      </c>
      <c r="D12" s="80">
        <f>SUM('Quarter final consumption'!CB12)</f>
        <v>3331.39</v>
      </c>
      <c r="E12" s="80">
        <f t="shared" si="0"/>
        <v>41418.740000000005</v>
      </c>
      <c r="F12" s="80">
        <f>'Quarter supply'!O12+'Quarter supply'!W12</f>
        <v>283.26</v>
      </c>
      <c r="G12" s="80">
        <v>80.459999999999994</v>
      </c>
      <c r="H12" s="81">
        <f t="shared" si="1"/>
        <v>0.87464694716333991</v>
      </c>
      <c r="I12" s="85">
        <f t="shared" si="2"/>
        <v>0.11767231248525756</v>
      </c>
      <c r="J12" s="80">
        <f>SUM('Quarter supply'!AG12)</f>
        <v>50686.200000000004</v>
      </c>
      <c r="K12" s="80">
        <f>SUM('Quarter supply'!H12)</f>
        <v>20655.46</v>
      </c>
      <c r="L12" s="80">
        <f>SUM('Quarter supply'!P12)</f>
        <v>-34199.35</v>
      </c>
      <c r="M12" s="83">
        <f t="shared" si="3"/>
        <v>-13543.89</v>
      </c>
      <c r="N12" s="80">
        <f>SUM('Quarter supply'!X12)</f>
        <v>-647</v>
      </c>
      <c r="O12" s="80">
        <f t="shared" si="4"/>
        <v>51333.200000000004</v>
      </c>
      <c r="P12" s="85">
        <f t="shared" si="5"/>
        <v>-0.26384269829272278</v>
      </c>
    </row>
    <row r="13" spans="1:16" x14ac:dyDescent="0.35">
      <c r="A13" s="50" t="s">
        <v>178</v>
      </c>
      <c r="B13" s="80">
        <f>SUM('Quarter supply'!AG13-'Quarter final consumption'!CB13)</f>
        <v>64047.06</v>
      </c>
      <c r="C13" s="80">
        <f>SUM('Quarter supply'!AH13:AL13)</f>
        <v>60882.47</v>
      </c>
      <c r="D13" s="80">
        <f>SUM('Quarter final consumption'!CB13)</f>
        <v>3251</v>
      </c>
      <c r="E13" s="80">
        <f t="shared" si="0"/>
        <v>57631.47</v>
      </c>
      <c r="F13" s="80">
        <f>'Quarter supply'!O13+'Quarter supply'!W13</f>
        <v>311.25</v>
      </c>
      <c r="G13" s="80">
        <v>80.459999999999994</v>
      </c>
      <c r="H13" s="81">
        <f t="shared" si="1"/>
        <v>0.89983006245719954</v>
      </c>
      <c r="I13" s="85">
        <f t="shared" si="2"/>
        <v>9.4053965943167395E-2</v>
      </c>
      <c r="J13" s="80">
        <f>SUM('Quarter supply'!AG13)</f>
        <v>67298.06</v>
      </c>
      <c r="K13" s="80">
        <f>SUM('Quarter supply'!H13)</f>
        <v>21182.720000000001</v>
      </c>
      <c r="L13" s="80">
        <f>SUM('Quarter supply'!P13)</f>
        <v>-35409.96</v>
      </c>
      <c r="M13" s="83">
        <f t="shared" si="3"/>
        <v>-14227.239999999998</v>
      </c>
      <c r="N13" s="80">
        <f>SUM('Quarter supply'!X13)</f>
        <v>-553.36</v>
      </c>
      <c r="O13" s="80">
        <f t="shared" si="4"/>
        <v>67851.42</v>
      </c>
      <c r="P13" s="85">
        <f t="shared" si="5"/>
        <v>-0.20968227341446941</v>
      </c>
    </row>
    <row r="14" spans="1:16" x14ac:dyDescent="0.35">
      <c r="A14" s="50" t="s">
        <v>179</v>
      </c>
      <c r="B14" s="80">
        <f>SUM('Quarter supply'!AG14-'Quarter final consumption'!CB14)</f>
        <v>67985.229999999981</v>
      </c>
      <c r="C14" s="80">
        <f>SUM('Quarter supply'!AH14:AL14)</f>
        <v>64892.45</v>
      </c>
      <c r="D14" s="80">
        <f>SUM('Quarter final consumption'!CB14)</f>
        <v>3307.41</v>
      </c>
      <c r="E14" s="80">
        <f t="shared" si="0"/>
        <v>61585.039999999994</v>
      </c>
      <c r="F14" s="80">
        <f>'Quarter supply'!O14+'Quarter supply'!W14</f>
        <v>278.34000000000003</v>
      </c>
      <c r="G14" s="80">
        <v>82.43</v>
      </c>
      <c r="H14" s="81">
        <f t="shared" si="1"/>
        <v>0.90585911086864035</v>
      </c>
      <c r="I14" s="85">
        <f t="shared" si="2"/>
        <v>8.8834295331500557E-2</v>
      </c>
      <c r="J14" s="80">
        <f>SUM('Quarter supply'!AG14)</f>
        <v>71292.639999999985</v>
      </c>
      <c r="K14" s="80">
        <f>SUM('Quarter supply'!H14)</f>
        <v>22703.490000000005</v>
      </c>
      <c r="L14" s="80">
        <f>SUM('Quarter supply'!P14)</f>
        <v>-35336.92</v>
      </c>
      <c r="M14" s="83">
        <f t="shared" si="3"/>
        <v>-12633.429999999993</v>
      </c>
      <c r="N14" s="80">
        <f>SUM('Quarter supply'!X14)</f>
        <v>-541.11</v>
      </c>
      <c r="O14" s="80">
        <f t="shared" si="4"/>
        <v>71833.749999999985</v>
      </c>
      <c r="P14" s="85">
        <f t="shared" si="5"/>
        <v>-0.17587039518332254</v>
      </c>
    </row>
    <row r="15" spans="1:16" x14ac:dyDescent="0.35">
      <c r="A15" s="50" t="s">
        <v>180</v>
      </c>
      <c r="B15" s="80">
        <f>SUM('Quarter supply'!AG15-'Quarter final consumption'!CB15)</f>
        <v>53350.91</v>
      </c>
      <c r="C15" s="80">
        <f>SUM('Quarter supply'!AH15:AL15)</f>
        <v>50415.97</v>
      </c>
      <c r="D15" s="80">
        <f>SUM('Quarter final consumption'!CB15)</f>
        <v>2882.41</v>
      </c>
      <c r="E15" s="80">
        <f t="shared" si="0"/>
        <v>47533.56</v>
      </c>
      <c r="F15" s="80">
        <f>'Quarter supply'!O15+'Quarter supply'!W15</f>
        <v>324.98</v>
      </c>
      <c r="G15" s="80">
        <v>82.43</v>
      </c>
      <c r="H15" s="81">
        <f t="shared" si="1"/>
        <v>0.89096062278975174</v>
      </c>
      <c r="I15" s="85">
        <f t="shared" si="2"/>
        <v>0.10140295638818531</v>
      </c>
      <c r="J15" s="80">
        <f>SUM('Quarter supply'!AG15)</f>
        <v>56233.320000000007</v>
      </c>
      <c r="K15" s="80">
        <f>SUM('Quarter supply'!H15)</f>
        <v>23148.74</v>
      </c>
      <c r="L15" s="80">
        <f>SUM('Quarter supply'!P15)</f>
        <v>-35987.440000000002</v>
      </c>
      <c r="M15" s="83">
        <f t="shared" si="3"/>
        <v>-12838.7</v>
      </c>
      <c r="N15" s="80">
        <f>SUM('Quarter supply'!X15)</f>
        <v>-693.97</v>
      </c>
      <c r="O15" s="80">
        <f t="shared" si="4"/>
        <v>56927.290000000008</v>
      </c>
      <c r="P15" s="85">
        <f t="shared" si="5"/>
        <v>-0.22552803760727058</v>
      </c>
    </row>
    <row r="16" spans="1:16" x14ac:dyDescent="0.35">
      <c r="A16" s="50" t="s">
        <v>181</v>
      </c>
      <c r="B16" s="80">
        <f>SUM('Quarter supply'!AG16-'Quarter final consumption'!CB16)</f>
        <v>48803.98</v>
      </c>
      <c r="C16" s="80">
        <f>SUM('Quarter supply'!AH16:AL16)</f>
        <v>46190.220000000008</v>
      </c>
      <c r="D16" s="80">
        <f>SUM('Quarter final consumption'!CB16)</f>
        <v>2856.08</v>
      </c>
      <c r="E16" s="80">
        <f t="shared" si="0"/>
        <v>43334.140000000007</v>
      </c>
      <c r="F16" s="80">
        <f>'Quarter supply'!O16+'Quarter supply'!W16</f>
        <v>319.93</v>
      </c>
      <c r="G16" s="80">
        <v>82.43</v>
      </c>
      <c r="H16" s="81">
        <f t="shared" si="1"/>
        <v>0.88792225552096371</v>
      </c>
      <c r="I16" s="85">
        <f t="shared" si="2"/>
        <v>0.1038333349042434</v>
      </c>
      <c r="J16" s="80">
        <f>SUM('Quarter supply'!AG16)</f>
        <v>51660.060000000005</v>
      </c>
      <c r="K16" s="80">
        <f>SUM('Quarter supply'!H16)</f>
        <v>23841.21</v>
      </c>
      <c r="L16" s="80">
        <f>SUM('Quarter supply'!P16)</f>
        <v>-33882.14</v>
      </c>
      <c r="M16" s="83">
        <f t="shared" si="3"/>
        <v>-10040.93</v>
      </c>
      <c r="N16" s="80">
        <f>SUM('Quarter supply'!X16)</f>
        <v>-588.71</v>
      </c>
      <c r="O16" s="80">
        <f t="shared" si="4"/>
        <v>52248.770000000004</v>
      </c>
      <c r="P16" s="85">
        <f t="shared" si="5"/>
        <v>-0.19217543302933254</v>
      </c>
    </row>
    <row r="17" spans="1:16" x14ac:dyDescent="0.35">
      <c r="A17" s="50" t="s">
        <v>182</v>
      </c>
      <c r="B17" s="80">
        <f>SUM('Quarter supply'!AG17-'Quarter final consumption'!CB17)</f>
        <v>64666.539999999986</v>
      </c>
      <c r="C17" s="80">
        <f>SUM('Quarter supply'!AH17:AL17)</f>
        <v>61913.27</v>
      </c>
      <c r="D17" s="80">
        <f>SUM('Quarter final consumption'!CB17)</f>
        <v>3237.26</v>
      </c>
      <c r="E17" s="80">
        <f t="shared" si="0"/>
        <v>58676.009999999995</v>
      </c>
      <c r="F17" s="80">
        <f>'Quarter supply'!O17+'Quarter supply'!W17</f>
        <v>295.51</v>
      </c>
      <c r="G17" s="80">
        <v>82.43</v>
      </c>
      <c r="H17" s="81">
        <f t="shared" si="1"/>
        <v>0.90736275668993593</v>
      </c>
      <c r="I17" s="85">
        <f t="shared" si="2"/>
        <v>8.6792798872492471E-2</v>
      </c>
      <c r="J17" s="80">
        <f>SUM('Quarter supply'!AG17)</f>
        <v>67903.799999999988</v>
      </c>
      <c r="K17" s="80">
        <f>SUM('Quarter supply'!H17)</f>
        <v>24665.559999999998</v>
      </c>
      <c r="L17" s="80">
        <f>SUM('Quarter supply'!P17)</f>
        <v>-32123.779999999995</v>
      </c>
      <c r="M17" s="83">
        <f t="shared" si="3"/>
        <v>-7458.2199999999975</v>
      </c>
      <c r="N17" s="80">
        <f>SUM('Quarter supply'!X17)</f>
        <v>-383.79</v>
      </c>
      <c r="O17" s="80">
        <f t="shared" si="4"/>
        <v>68287.589999999982</v>
      </c>
      <c r="P17" s="85">
        <f t="shared" si="5"/>
        <v>-0.10921779491705594</v>
      </c>
    </row>
    <row r="18" spans="1:16" x14ac:dyDescent="0.35">
      <c r="A18" s="50" t="s">
        <v>183</v>
      </c>
      <c r="B18" s="80">
        <f>SUM('Quarter supply'!AG18-'Quarter final consumption'!CB18)</f>
        <v>69373.310000000012</v>
      </c>
      <c r="C18" s="80">
        <f>SUM('Quarter supply'!AH18:AL18)</f>
        <v>65735.47</v>
      </c>
      <c r="D18" s="80">
        <f>SUM('Quarter final consumption'!CB18)</f>
        <v>2688.98</v>
      </c>
      <c r="E18" s="80">
        <f t="shared" si="0"/>
        <v>63046.49</v>
      </c>
      <c r="F18" s="80">
        <f>'Quarter supply'!O18+'Quarter supply'!W18</f>
        <v>278.44</v>
      </c>
      <c r="G18" s="80">
        <v>86.74</v>
      </c>
      <c r="H18" s="81">
        <f t="shared" si="1"/>
        <v>0.90880037293881444</v>
      </c>
      <c r="I18" s="85">
        <f t="shared" si="2"/>
        <v>8.5935642972780335E-2</v>
      </c>
      <c r="J18" s="80">
        <f>SUM('Quarter supply'!AG18)</f>
        <v>72062.290000000008</v>
      </c>
      <c r="K18" s="80">
        <f>SUM('Quarter supply'!H18)</f>
        <v>25368.77</v>
      </c>
      <c r="L18" s="80">
        <f>SUM('Quarter supply'!P18)</f>
        <v>-29743.7</v>
      </c>
      <c r="M18" s="83">
        <f t="shared" si="3"/>
        <v>-4374.93</v>
      </c>
      <c r="N18" s="80">
        <f>SUM('Quarter supply'!X18)</f>
        <v>-520.32000000000005</v>
      </c>
      <c r="O18" s="80">
        <f t="shared" si="4"/>
        <v>72582.610000000015</v>
      </c>
      <c r="P18" s="85">
        <f t="shared" si="5"/>
        <v>-6.0275181617194522E-2</v>
      </c>
    </row>
    <row r="19" spans="1:16" x14ac:dyDescent="0.35">
      <c r="A19" s="50" t="s">
        <v>184</v>
      </c>
      <c r="B19" s="80">
        <f>SUM('Quarter supply'!AG19-'Quarter final consumption'!CB19)</f>
        <v>54121.859999999993</v>
      </c>
      <c r="C19" s="80">
        <f>SUM('Quarter supply'!AH19:AL19)</f>
        <v>51320.89</v>
      </c>
      <c r="D19" s="80">
        <f>SUM('Quarter final consumption'!CB19)</f>
        <v>2755.22</v>
      </c>
      <c r="E19" s="80">
        <f t="shared" si="0"/>
        <v>48565.67</v>
      </c>
      <c r="F19" s="80">
        <f>'Quarter supply'!O19+'Quarter supply'!W19</f>
        <v>226.07</v>
      </c>
      <c r="G19" s="80">
        <v>86.74</v>
      </c>
      <c r="H19" s="81">
        <f t="shared" si="1"/>
        <v>0.89733926365427952</v>
      </c>
      <c r="I19" s="85">
        <f t="shared" si="2"/>
        <v>9.6881001502904684E-2</v>
      </c>
      <c r="J19" s="80">
        <f>SUM('Quarter supply'!AG19)</f>
        <v>56877.079999999994</v>
      </c>
      <c r="K19" s="80">
        <f>SUM('Quarter supply'!H19)</f>
        <v>25402.220000000005</v>
      </c>
      <c r="L19" s="80">
        <f>SUM('Quarter supply'!P19)</f>
        <v>-32162.550000000003</v>
      </c>
      <c r="M19" s="83">
        <f t="shared" si="3"/>
        <v>-6760.3299999999981</v>
      </c>
      <c r="N19" s="80">
        <f>SUM('Quarter supply'!X19)</f>
        <v>-678.8</v>
      </c>
      <c r="O19" s="80">
        <f t="shared" si="4"/>
        <v>57555.88</v>
      </c>
      <c r="P19" s="85">
        <f t="shared" si="5"/>
        <v>-0.11745680893072956</v>
      </c>
    </row>
    <row r="20" spans="1:16" x14ac:dyDescent="0.35">
      <c r="A20" s="50" t="s">
        <v>185</v>
      </c>
      <c r="B20" s="80">
        <f>SUM('Quarter supply'!AG20-'Quarter final consumption'!CB20)</f>
        <v>50220.289999999994</v>
      </c>
      <c r="C20" s="80">
        <f>SUM('Quarter supply'!AH20:AL20)</f>
        <v>46865.09</v>
      </c>
      <c r="D20" s="80">
        <f>SUM('Quarter final consumption'!CB20)</f>
        <v>2687.86</v>
      </c>
      <c r="E20" s="80">
        <f t="shared" si="0"/>
        <v>44177.229999999996</v>
      </c>
      <c r="F20" s="80">
        <f>'Quarter supply'!O20+'Quarter supply'!W20</f>
        <v>227.13</v>
      </c>
      <c r="G20" s="80">
        <v>86.74</v>
      </c>
      <c r="H20" s="81">
        <f t="shared" si="1"/>
        <v>0.87966895452017502</v>
      </c>
      <c r="I20" s="85">
        <f t="shared" si="2"/>
        <v>0.11408118113216792</v>
      </c>
      <c r="J20" s="80">
        <f>SUM('Quarter supply'!AG20)</f>
        <v>52908.149999999994</v>
      </c>
      <c r="K20" s="80">
        <f>SUM('Quarter supply'!H20)</f>
        <v>26318.179999999997</v>
      </c>
      <c r="L20" s="80">
        <f>SUM('Quarter supply'!P20)</f>
        <v>-32731.77</v>
      </c>
      <c r="M20" s="83">
        <f t="shared" si="3"/>
        <v>-6413.5900000000038</v>
      </c>
      <c r="N20" s="80">
        <f>SUM('Quarter supply'!X20)</f>
        <v>-677.87</v>
      </c>
      <c r="O20" s="80">
        <f t="shared" si="4"/>
        <v>53586.02</v>
      </c>
      <c r="P20" s="85">
        <f t="shared" si="5"/>
        <v>-0.11968774691608006</v>
      </c>
    </row>
    <row r="21" spans="1:16" x14ac:dyDescent="0.35">
      <c r="A21" s="50" t="s">
        <v>186</v>
      </c>
      <c r="B21" s="80">
        <f>SUM('Quarter supply'!AG21-'Quarter final consumption'!CB21)</f>
        <v>63139.31</v>
      </c>
      <c r="C21" s="80">
        <f>SUM('Quarter supply'!AH21:AL21)</f>
        <v>59011.14</v>
      </c>
      <c r="D21" s="80">
        <f>SUM('Quarter final consumption'!CB21)</f>
        <v>2599.61</v>
      </c>
      <c r="E21" s="80">
        <f t="shared" si="0"/>
        <v>56411.53</v>
      </c>
      <c r="F21" s="80">
        <f>'Quarter supply'!O21+'Quarter supply'!W21</f>
        <v>162.51</v>
      </c>
      <c r="G21" s="80">
        <v>86.74</v>
      </c>
      <c r="H21" s="81">
        <f t="shared" si="1"/>
        <v>0.89344546210593689</v>
      </c>
      <c r="I21" s="85">
        <f t="shared" si="2"/>
        <v>0.10260691794066168</v>
      </c>
      <c r="J21" s="80">
        <f>SUM('Quarter supply'!AG21)</f>
        <v>65738.92</v>
      </c>
      <c r="K21" s="80">
        <f>SUM('Quarter supply'!H21)</f>
        <v>27247.65</v>
      </c>
      <c r="L21" s="80">
        <f>SUM('Quarter supply'!P21)</f>
        <v>-33638.76</v>
      </c>
      <c r="M21" s="83">
        <f t="shared" si="3"/>
        <v>-6391.1100000000006</v>
      </c>
      <c r="N21" s="80">
        <f>SUM('Quarter supply'!X21)</f>
        <v>-556.37</v>
      </c>
      <c r="O21" s="80">
        <f t="shared" si="4"/>
        <v>66295.289999999994</v>
      </c>
      <c r="P21" s="85">
        <f t="shared" si="5"/>
        <v>-9.6403681166490132E-2</v>
      </c>
    </row>
    <row r="22" spans="1:16" x14ac:dyDescent="0.35">
      <c r="A22" s="50" t="s">
        <v>187</v>
      </c>
      <c r="B22" s="80">
        <f>SUM('Quarter supply'!AG22-'Quarter final consumption'!CB22)</f>
        <v>66661.290000000008</v>
      </c>
      <c r="C22" s="80">
        <f>SUM('Quarter supply'!AH22:AL22)</f>
        <v>62750.260000000009</v>
      </c>
      <c r="D22" s="80">
        <f>SUM('Quarter final consumption'!CB22)</f>
        <v>2798.47</v>
      </c>
      <c r="E22" s="80">
        <f t="shared" si="0"/>
        <v>59951.790000000008</v>
      </c>
      <c r="F22" s="80">
        <f>'Quarter supply'!O22+'Quarter supply'!W22</f>
        <v>156.75</v>
      </c>
      <c r="G22" s="80">
        <v>94.58</v>
      </c>
      <c r="H22" s="81">
        <f t="shared" si="1"/>
        <v>0.89934938252770091</v>
      </c>
      <c r="I22" s="85">
        <f t="shared" si="2"/>
        <v>9.6880363401308234E-2</v>
      </c>
      <c r="J22" s="80">
        <f>SUM('Quarter supply'!AG22)</f>
        <v>69459.760000000009</v>
      </c>
      <c r="K22" s="80">
        <f>SUM('Quarter supply'!H22)</f>
        <v>25775.829999999998</v>
      </c>
      <c r="L22" s="80">
        <f>SUM('Quarter supply'!P22)</f>
        <v>-32180.899999999998</v>
      </c>
      <c r="M22" s="83">
        <f t="shared" si="3"/>
        <v>-6405.07</v>
      </c>
      <c r="N22" s="80">
        <f>SUM('Quarter supply'!X22)</f>
        <v>-502.68</v>
      </c>
      <c r="O22" s="80">
        <f t="shared" si="4"/>
        <v>69962.44</v>
      </c>
      <c r="P22" s="85">
        <f t="shared" si="5"/>
        <v>-9.1550123180380777E-2</v>
      </c>
    </row>
    <row r="23" spans="1:16" x14ac:dyDescent="0.35">
      <c r="A23" s="50" t="s">
        <v>188</v>
      </c>
      <c r="B23" s="80">
        <f>SUM('Quarter supply'!AG23-'Quarter final consumption'!CB23)</f>
        <v>52166.2</v>
      </c>
      <c r="C23" s="80">
        <f>SUM('Quarter supply'!AH23:AL23)</f>
        <v>48678.11</v>
      </c>
      <c r="D23" s="80">
        <f>SUM('Quarter final consumption'!CB23)</f>
        <v>2454.0500000000002</v>
      </c>
      <c r="E23" s="80">
        <f t="shared" si="0"/>
        <v>46224.06</v>
      </c>
      <c r="F23" s="80">
        <f>'Quarter supply'!O23+'Quarter supply'!W23</f>
        <v>238.7</v>
      </c>
      <c r="G23" s="80">
        <v>94.58</v>
      </c>
      <c r="H23" s="81">
        <f t="shared" si="1"/>
        <v>0.88609214395528135</v>
      </c>
      <c r="I23" s="85">
        <f t="shared" si="2"/>
        <v>0.10751904489880426</v>
      </c>
      <c r="J23" s="80">
        <f>SUM('Quarter supply'!AG23)</f>
        <v>54620.25</v>
      </c>
      <c r="K23" s="80">
        <f>SUM('Quarter supply'!H23)</f>
        <v>28632.140000000003</v>
      </c>
      <c r="L23" s="80">
        <f>SUM('Quarter supply'!P23)</f>
        <v>-37722.65</v>
      </c>
      <c r="M23" s="83">
        <f t="shared" si="3"/>
        <v>-9090.5099999999984</v>
      </c>
      <c r="N23" s="80">
        <f>SUM('Quarter supply'!X23)</f>
        <v>-585.95000000000005</v>
      </c>
      <c r="O23" s="80">
        <f t="shared" si="4"/>
        <v>55206.2</v>
      </c>
      <c r="P23" s="85">
        <f t="shared" si="5"/>
        <v>-0.16466465723052842</v>
      </c>
    </row>
    <row r="24" spans="1:16" x14ac:dyDescent="0.35">
      <c r="A24" s="50" t="s">
        <v>189</v>
      </c>
      <c r="B24" s="80">
        <f>SUM('Quarter supply'!AG24-'Quarter final consumption'!CB24)</f>
        <v>48198.280000000006</v>
      </c>
      <c r="C24" s="80">
        <f>SUM('Quarter supply'!AH24:AL24)</f>
        <v>45842.520000000004</v>
      </c>
      <c r="D24" s="80">
        <f>SUM('Quarter final consumption'!CB24)</f>
        <v>3120.45</v>
      </c>
      <c r="E24" s="80">
        <f t="shared" si="0"/>
        <v>42722.070000000007</v>
      </c>
      <c r="F24" s="80">
        <f>'Quarter supply'!O24+'Quarter supply'!W24</f>
        <v>55.529999999999994</v>
      </c>
      <c r="G24" s="80">
        <v>94.58</v>
      </c>
      <c r="H24" s="81">
        <f t="shared" si="1"/>
        <v>0.88638163021585004</v>
      </c>
      <c r="I24" s="85">
        <f t="shared" si="2"/>
        <v>0.11050394329424196</v>
      </c>
      <c r="J24" s="80">
        <f>SUM('Quarter supply'!AG24)</f>
        <v>51318.73</v>
      </c>
      <c r="K24" s="80">
        <f>SUM('Quarter supply'!H24)</f>
        <v>24422.41</v>
      </c>
      <c r="L24" s="80">
        <f>SUM('Quarter supply'!P24)</f>
        <v>-30447.829999999998</v>
      </c>
      <c r="M24" s="83">
        <f t="shared" si="3"/>
        <v>-6025.4199999999983</v>
      </c>
      <c r="N24" s="80">
        <f>SUM('Quarter supply'!X24)</f>
        <v>-444</v>
      </c>
      <c r="O24" s="80">
        <f t="shared" si="4"/>
        <v>51762.73</v>
      </c>
      <c r="P24" s="85">
        <f t="shared" si="5"/>
        <v>-0.11640460230749031</v>
      </c>
    </row>
    <row r="25" spans="1:16" x14ac:dyDescent="0.35">
      <c r="A25" s="50" t="s">
        <v>190</v>
      </c>
      <c r="B25" s="80">
        <f>SUM('Quarter supply'!AG25-'Quarter final consumption'!CB25)</f>
        <v>62578.81</v>
      </c>
      <c r="C25" s="80">
        <f>SUM('Quarter supply'!AH25:AL25)</f>
        <v>59780.58</v>
      </c>
      <c r="D25" s="80">
        <f>SUM('Quarter final consumption'!CB25)</f>
        <v>3171.19</v>
      </c>
      <c r="E25" s="80">
        <f t="shared" si="0"/>
        <v>56609.39</v>
      </c>
      <c r="F25" s="80">
        <f>'Quarter supply'!O25+'Quarter supply'!W25</f>
        <v>272.48</v>
      </c>
      <c r="G25" s="80">
        <v>94.58</v>
      </c>
      <c r="H25" s="81">
        <f t="shared" si="1"/>
        <v>0.90460956352477784</v>
      </c>
      <c r="I25" s="85">
        <f t="shared" si="2"/>
        <v>8.9524872716499337E-2</v>
      </c>
      <c r="J25" s="80">
        <f>SUM('Quarter supply'!AG25)</f>
        <v>65750</v>
      </c>
      <c r="K25" s="80">
        <f>SUM('Quarter supply'!H25)</f>
        <v>24503.32</v>
      </c>
      <c r="L25" s="80">
        <f>SUM('Quarter supply'!P25)</f>
        <v>-34099.709999999992</v>
      </c>
      <c r="M25" s="83">
        <f t="shared" si="3"/>
        <v>-9596.3899999999921</v>
      </c>
      <c r="N25" s="80">
        <f>SUM('Quarter supply'!X25)</f>
        <v>-511</v>
      </c>
      <c r="O25" s="80">
        <f t="shared" si="4"/>
        <v>66261</v>
      </c>
      <c r="P25" s="85">
        <f t="shared" si="5"/>
        <v>-0.14482712304372092</v>
      </c>
    </row>
    <row r="26" spans="1:16" x14ac:dyDescent="0.35">
      <c r="A26" s="50" t="s">
        <v>191</v>
      </c>
      <c r="B26" s="80">
        <f>SUM('Quarter supply'!AG26-'Quarter final consumption'!CB26)</f>
        <v>67308.530000000013</v>
      </c>
      <c r="C26" s="80">
        <f>SUM('Quarter supply'!AH26:AL26)</f>
        <v>64251.12000000001</v>
      </c>
      <c r="D26" s="80">
        <f>SUM('Quarter final consumption'!CB26)</f>
        <v>3503.37</v>
      </c>
      <c r="E26" s="80">
        <f t="shared" si="0"/>
        <v>60747.750000000007</v>
      </c>
      <c r="F26" s="80">
        <f>'Quarter supply'!O26+'Quarter supply'!W26</f>
        <v>68.72999999999999</v>
      </c>
      <c r="G26" s="80">
        <v>97.72</v>
      </c>
      <c r="H26" s="81">
        <f t="shared" si="1"/>
        <v>0.90252676740971749</v>
      </c>
      <c r="I26" s="85">
        <f t="shared" si="2"/>
        <v>9.5000291939223769E-2</v>
      </c>
      <c r="J26" s="80">
        <f>SUM('Quarter supply'!AG26)</f>
        <v>70811.900000000009</v>
      </c>
      <c r="K26" s="80">
        <f>SUM('Quarter supply'!H26)</f>
        <v>26213.119999999999</v>
      </c>
      <c r="L26" s="80">
        <f>SUM('Quarter supply'!P26)</f>
        <v>-32228.43</v>
      </c>
      <c r="M26" s="83">
        <f t="shared" si="3"/>
        <v>-6015.3100000000013</v>
      </c>
      <c r="N26" s="80">
        <f>SUM('Quarter supply'!X26)</f>
        <v>-486.58</v>
      </c>
      <c r="O26" s="80">
        <f t="shared" si="4"/>
        <v>71298.48000000001</v>
      </c>
      <c r="P26" s="85">
        <f t="shared" si="5"/>
        <v>-8.4367997746936541E-2</v>
      </c>
    </row>
    <row r="27" spans="1:16" x14ac:dyDescent="0.35">
      <c r="A27" s="50" t="s">
        <v>192</v>
      </c>
      <c r="B27" s="80">
        <f>SUM('Quarter supply'!AG27-'Quarter final consumption'!CB27)</f>
        <v>52783.869999999995</v>
      </c>
      <c r="C27" s="80">
        <f>SUM('Quarter supply'!AH27:AL27)</f>
        <v>49440.619999999995</v>
      </c>
      <c r="D27" s="80">
        <f>SUM('Quarter final consumption'!CB27)</f>
        <v>2548.21</v>
      </c>
      <c r="E27" s="80">
        <f t="shared" si="0"/>
        <v>46892.409999999996</v>
      </c>
      <c r="F27" s="80">
        <f>'Quarter supply'!O27+'Quarter supply'!W27</f>
        <v>26.36</v>
      </c>
      <c r="G27" s="80">
        <v>97.72</v>
      </c>
      <c r="H27" s="81">
        <f t="shared" si="1"/>
        <v>0.8883852207123123</v>
      </c>
      <c r="I27" s="85">
        <f t="shared" si="2"/>
        <v>0.10926406116110843</v>
      </c>
      <c r="J27" s="80">
        <f>SUM('Quarter supply'!AG27)</f>
        <v>55332.079999999994</v>
      </c>
      <c r="K27" s="80">
        <f>SUM('Quarter supply'!H27)</f>
        <v>24893.309999999998</v>
      </c>
      <c r="L27" s="80">
        <f>SUM('Quarter supply'!P27)</f>
        <v>-31550.9</v>
      </c>
      <c r="M27" s="83">
        <f t="shared" si="3"/>
        <v>-6657.5900000000038</v>
      </c>
      <c r="N27" s="80">
        <f>SUM('Quarter supply'!X27)</f>
        <v>-500.61</v>
      </c>
      <c r="O27" s="80">
        <f t="shared" si="4"/>
        <v>55832.689999999995</v>
      </c>
      <c r="P27" s="85">
        <f t="shared" si="5"/>
        <v>-0.1192417918606466</v>
      </c>
    </row>
    <row r="28" spans="1:16" x14ac:dyDescent="0.35">
      <c r="A28" s="50" t="s">
        <v>193</v>
      </c>
      <c r="B28" s="80">
        <f>SUM('Quarter supply'!AG28-'Quarter final consumption'!CB28)</f>
        <v>47679.189999999995</v>
      </c>
      <c r="C28" s="80">
        <f>SUM('Quarter supply'!AH28:AL28)</f>
        <v>45442.92</v>
      </c>
      <c r="D28" s="80">
        <f>SUM('Quarter final consumption'!CB28)</f>
        <v>3204</v>
      </c>
      <c r="E28" s="80">
        <f t="shared" si="0"/>
        <v>42238.92</v>
      </c>
      <c r="F28" s="80">
        <f>'Quarter supply'!O28+'Quarter supply'!W28</f>
        <v>-19.299999999999997</v>
      </c>
      <c r="G28" s="80">
        <v>97.72</v>
      </c>
      <c r="H28" s="81">
        <f t="shared" si="1"/>
        <v>0.88589843913036281</v>
      </c>
      <c r="I28" s="85">
        <f t="shared" si="2"/>
        <v>0.11245681816322806</v>
      </c>
      <c r="J28" s="80">
        <f>SUM('Quarter supply'!AG28)</f>
        <v>50883.189999999995</v>
      </c>
      <c r="K28" s="80">
        <f>SUM('Quarter supply'!H28)</f>
        <v>26627.86</v>
      </c>
      <c r="L28" s="80">
        <f>SUM('Quarter supply'!P28)</f>
        <v>-30672.43</v>
      </c>
      <c r="M28" s="83">
        <f t="shared" si="3"/>
        <v>-4044.5699999999997</v>
      </c>
      <c r="N28" s="80">
        <f>SUM('Quarter supply'!X28)</f>
        <v>-461.83</v>
      </c>
      <c r="O28" s="80">
        <f t="shared" si="4"/>
        <v>51345.02</v>
      </c>
      <c r="P28" s="85">
        <f t="shared" si="5"/>
        <v>-7.8772391168607972E-2</v>
      </c>
    </row>
    <row r="29" spans="1:16" x14ac:dyDescent="0.35">
      <c r="A29" s="50" t="s">
        <v>194</v>
      </c>
      <c r="B29" s="80">
        <f>SUM('Quarter supply'!AG29-'Quarter final consumption'!CB29)</f>
        <v>64095.18</v>
      </c>
      <c r="C29" s="80">
        <f>SUM('Quarter supply'!AH29:AL29)</f>
        <v>61284.84</v>
      </c>
      <c r="D29" s="80">
        <f>SUM('Quarter final consumption'!CB29)</f>
        <v>3029.49</v>
      </c>
      <c r="E29" s="80">
        <f t="shared" si="0"/>
        <v>58255.35</v>
      </c>
      <c r="F29" s="80">
        <f>'Quarter supply'!O29+'Quarter supply'!W29</f>
        <v>109.97</v>
      </c>
      <c r="G29" s="80">
        <v>97.72</v>
      </c>
      <c r="H29" s="81">
        <f t="shared" si="1"/>
        <v>0.90888815664454015</v>
      </c>
      <c r="I29" s="85">
        <f t="shared" si="2"/>
        <v>8.7871506094529983E-2</v>
      </c>
      <c r="J29" s="80">
        <f>SUM('Quarter supply'!AG29)</f>
        <v>67124.67</v>
      </c>
      <c r="K29" s="80">
        <f>SUM('Quarter supply'!H29)</f>
        <v>28695.4</v>
      </c>
      <c r="L29" s="80">
        <f>SUM('Quarter supply'!P29)</f>
        <v>-28756.139999999996</v>
      </c>
      <c r="M29" s="83">
        <f t="shared" si="3"/>
        <v>-60.739999999994325</v>
      </c>
      <c r="N29" s="80">
        <f>SUM('Quarter supply'!X29)</f>
        <v>-430.34</v>
      </c>
      <c r="O29" s="80">
        <f t="shared" si="4"/>
        <v>67555.009999999995</v>
      </c>
      <c r="P29" s="85">
        <f t="shared" si="5"/>
        <v>-8.9911910308346232E-4</v>
      </c>
    </row>
    <row r="30" spans="1:16" x14ac:dyDescent="0.35">
      <c r="A30" s="50" t="s">
        <v>195</v>
      </c>
      <c r="B30" s="80">
        <f>SUM('Quarter supply'!AG30-'Quarter final consumption'!CB30)</f>
        <v>69531.87000000001</v>
      </c>
      <c r="C30" s="80">
        <f>SUM('Quarter supply'!AH30:AL30)</f>
        <v>66169.47</v>
      </c>
      <c r="D30" s="80">
        <f>SUM('Quarter final consumption'!CB30)</f>
        <v>3114.8399999999997</v>
      </c>
      <c r="E30" s="80">
        <f t="shared" si="0"/>
        <v>63054.630000000005</v>
      </c>
      <c r="F30" s="80">
        <f>'Quarter supply'!O30+'Quarter supply'!W30</f>
        <v>110.63</v>
      </c>
      <c r="G30" s="80">
        <v>94.9</v>
      </c>
      <c r="H30" s="81">
        <f t="shared" si="1"/>
        <v>0.9068450194133999</v>
      </c>
      <c r="I30" s="85">
        <f t="shared" si="2"/>
        <v>9.0199069865372627E-2</v>
      </c>
      <c r="J30" s="80">
        <f>SUM('Quarter supply'!AG30)</f>
        <v>72646.710000000006</v>
      </c>
      <c r="K30" s="80">
        <f>SUM('Quarter supply'!H30)</f>
        <v>32013.549999999996</v>
      </c>
      <c r="L30" s="80">
        <f>SUM('Quarter supply'!P30)</f>
        <v>-28799.83</v>
      </c>
      <c r="M30" s="83">
        <f t="shared" si="3"/>
        <v>3213.7199999999939</v>
      </c>
      <c r="N30" s="80">
        <f>SUM('Quarter supply'!X30)</f>
        <v>-401.18</v>
      </c>
      <c r="O30" s="80">
        <f t="shared" si="4"/>
        <v>73047.89</v>
      </c>
      <c r="P30" s="85">
        <f t="shared" si="5"/>
        <v>4.3994699915356816E-2</v>
      </c>
    </row>
    <row r="31" spans="1:16" x14ac:dyDescent="0.35">
      <c r="A31" s="50" t="s">
        <v>196</v>
      </c>
      <c r="B31" s="80">
        <f>SUM('Quarter supply'!AG31-'Quarter final consumption'!CB31)</f>
        <v>51833.79</v>
      </c>
      <c r="C31" s="80">
        <f>SUM('Quarter supply'!AH31:AL31)</f>
        <v>49782.109999999993</v>
      </c>
      <c r="D31" s="80">
        <f>SUM('Quarter final consumption'!CB31)</f>
        <v>3195.93</v>
      </c>
      <c r="E31" s="80">
        <f t="shared" si="0"/>
        <v>46586.179999999993</v>
      </c>
      <c r="F31" s="80">
        <f>'Quarter supply'!O31+'Quarter supply'!W31</f>
        <v>144.94</v>
      </c>
      <c r="G31" s="80">
        <v>94.9</v>
      </c>
      <c r="H31" s="81">
        <f t="shared" si="1"/>
        <v>0.89876082763772425</v>
      </c>
      <c r="I31" s="85">
        <f t="shared" si="2"/>
        <v>9.6612074864678155E-2</v>
      </c>
      <c r="J31" s="80">
        <f>SUM('Quarter supply'!AG31)</f>
        <v>55029.72</v>
      </c>
      <c r="K31" s="80">
        <f>SUM('Quarter supply'!H31)</f>
        <v>29866.129999999997</v>
      </c>
      <c r="L31" s="80">
        <f>SUM('Quarter supply'!P31)</f>
        <v>-30295.080000000005</v>
      </c>
      <c r="M31" s="83">
        <f t="shared" si="3"/>
        <v>-428.950000000008</v>
      </c>
      <c r="N31" s="80">
        <f>SUM('Quarter supply'!X31)</f>
        <v>-630.12</v>
      </c>
      <c r="O31" s="80">
        <f t="shared" si="4"/>
        <v>55659.840000000004</v>
      </c>
      <c r="P31" s="85">
        <f t="shared" si="5"/>
        <v>-7.706633723704703E-3</v>
      </c>
    </row>
    <row r="32" spans="1:16" x14ac:dyDescent="0.35">
      <c r="A32" s="50" t="s">
        <v>197</v>
      </c>
      <c r="B32" s="80">
        <f>SUM('Quarter supply'!AG32-'Quarter final consumption'!CB32)</f>
        <v>47652.049999999996</v>
      </c>
      <c r="C32" s="80">
        <f>SUM('Quarter supply'!AH32:AL32)</f>
        <v>45441.14</v>
      </c>
      <c r="D32" s="80">
        <f>SUM('Quarter final consumption'!CB32)</f>
        <v>3135.6499999999996</v>
      </c>
      <c r="E32" s="80">
        <f t="shared" si="0"/>
        <v>42305.49</v>
      </c>
      <c r="F32" s="80">
        <f>'Quarter supply'!O32+'Quarter supply'!W32</f>
        <v>176.69</v>
      </c>
      <c r="G32" s="80">
        <v>94.9</v>
      </c>
      <c r="H32" s="81">
        <f t="shared" si="1"/>
        <v>0.88780000020985461</v>
      </c>
      <c r="I32" s="85">
        <f t="shared" si="2"/>
        <v>0.10650055978703943</v>
      </c>
      <c r="J32" s="80">
        <f>SUM('Quarter supply'!AG32)</f>
        <v>50787.7</v>
      </c>
      <c r="K32" s="80">
        <f>SUM('Quarter supply'!H32)</f>
        <v>30984.969999999998</v>
      </c>
      <c r="L32" s="80">
        <f>SUM('Quarter supply'!P32)</f>
        <v>-28240.180000000004</v>
      </c>
      <c r="M32" s="83">
        <f t="shared" si="3"/>
        <v>2744.7899999999936</v>
      </c>
      <c r="N32" s="80">
        <f>SUM('Quarter supply'!X32)</f>
        <v>-621.87</v>
      </c>
      <c r="O32" s="80">
        <f t="shared" si="4"/>
        <v>51409.57</v>
      </c>
      <c r="P32" s="85">
        <f t="shared" si="5"/>
        <v>5.3390643026191301E-2</v>
      </c>
    </row>
    <row r="33" spans="1:16" x14ac:dyDescent="0.35">
      <c r="A33" s="50" t="s">
        <v>198</v>
      </c>
      <c r="B33" s="80">
        <f>SUM('Quarter supply'!AG33-'Quarter final consumption'!CB33)</f>
        <v>64615.45</v>
      </c>
      <c r="C33" s="80">
        <f>SUM('Quarter supply'!AH33:AL33)</f>
        <v>61797.08</v>
      </c>
      <c r="D33" s="80">
        <f>SUM('Quarter final consumption'!CB33)</f>
        <v>2982.1099999999997</v>
      </c>
      <c r="E33" s="80">
        <f t="shared" si="0"/>
        <v>58814.97</v>
      </c>
      <c r="F33" s="80">
        <f>'Quarter supply'!O33+'Quarter supply'!W33</f>
        <v>211.73000000000002</v>
      </c>
      <c r="G33" s="80">
        <v>94.9</v>
      </c>
      <c r="H33" s="81">
        <f t="shared" si="1"/>
        <v>0.9102307575045907</v>
      </c>
      <c r="I33" s="85">
        <f t="shared" si="2"/>
        <v>8.5023783011648035E-2</v>
      </c>
      <c r="J33" s="80">
        <f>SUM('Quarter supply'!AG33)</f>
        <v>67597.56</v>
      </c>
      <c r="K33" s="80">
        <f>SUM('Quarter supply'!H33)</f>
        <v>32393.760000000002</v>
      </c>
      <c r="L33" s="80">
        <f>SUM('Quarter supply'!P33)</f>
        <v>-26867.03</v>
      </c>
      <c r="M33" s="83">
        <f t="shared" si="3"/>
        <v>5526.7300000000032</v>
      </c>
      <c r="N33" s="80">
        <f>SUM('Quarter supply'!X33)</f>
        <v>-567.84</v>
      </c>
      <c r="O33" s="80">
        <f t="shared" si="4"/>
        <v>68165.399999999994</v>
      </c>
      <c r="P33" s="85">
        <f t="shared" si="5"/>
        <v>8.1078230304524046E-2</v>
      </c>
    </row>
    <row r="34" spans="1:16" x14ac:dyDescent="0.35">
      <c r="A34" s="50" t="s">
        <v>199</v>
      </c>
      <c r="B34" s="80">
        <f>SUM('Quarter supply'!AG34-'Quarter final consumption'!CB34)</f>
        <v>69200.140000000014</v>
      </c>
      <c r="C34" s="80">
        <f>SUM('Quarter supply'!AH34:AL34)</f>
        <v>65731.240000000005</v>
      </c>
      <c r="D34" s="80">
        <f>SUM('Quarter final consumption'!CB34)</f>
        <v>2988.93</v>
      </c>
      <c r="E34" s="80">
        <f t="shared" si="0"/>
        <v>62742.310000000005</v>
      </c>
      <c r="F34" s="80">
        <f>'Quarter supply'!O34+'Quarter supply'!W34</f>
        <v>120.33000000000001</v>
      </c>
      <c r="G34" s="80">
        <v>97.36</v>
      </c>
      <c r="H34" s="81">
        <f t="shared" si="1"/>
        <v>0.90667894602525356</v>
      </c>
      <c r="I34" s="85">
        <f t="shared" si="2"/>
        <v>9.0175251090532593E-2</v>
      </c>
      <c r="J34" s="80">
        <f>SUM('Quarter supply'!AG34)</f>
        <v>72189.070000000007</v>
      </c>
      <c r="K34" s="80">
        <f>SUM('Quarter supply'!H34)</f>
        <v>32491.649999999998</v>
      </c>
      <c r="L34" s="80">
        <f>SUM('Quarter supply'!P34)</f>
        <v>-25617.829999999994</v>
      </c>
      <c r="M34" s="83">
        <f t="shared" si="3"/>
        <v>6873.8200000000033</v>
      </c>
      <c r="N34" s="80">
        <f>SUM('Quarter supply'!X34)</f>
        <v>-494.63</v>
      </c>
      <c r="O34" s="80">
        <f t="shared" si="4"/>
        <v>72683.700000000012</v>
      </c>
      <c r="P34" s="85">
        <f t="shared" si="5"/>
        <v>9.4571685260931987E-2</v>
      </c>
    </row>
    <row r="35" spans="1:16" x14ac:dyDescent="0.35">
      <c r="A35" s="50" t="s">
        <v>200</v>
      </c>
      <c r="B35" s="80">
        <f>SUM('Quarter supply'!AG35-'Quarter final consumption'!CB35)</f>
        <v>54455.85</v>
      </c>
      <c r="C35" s="80">
        <f>SUM('Quarter supply'!AH35:AL35)</f>
        <v>51569.81</v>
      </c>
      <c r="D35" s="80">
        <f>SUM('Quarter final consumption'!CB35)</f>
        <v>2853.3199999999997</v>
      </c>
      <c r="E35" s="80">
        <f t="shared" si="0"/>
        <v>48716.49</v>
      </c>
      <c r="F35" s="80">
        <f>'Quarter supply'!O35+'Quarter supply'!W35</f>
        <v>182.8</v>
      </c>
      <c r="G35" s="80">
        <v>97.36</v>
      </c>
      <c r="H35" s="81">
        <f t="shared" si="1"/>
        <v>0.89460526279545727</v>
      </c>
      <c r="I35" s="85">
        <f t="shared" si="2"/>
        <v>0.10025001905213116</v>
      </c>
      <c r="J35" s="80">
        <f>SUM('Quarter supply'!AG35)</f>
        <v>57309.17</v>
      </c>
      <c r="K35" s="80">
        <f>SUM('Quarter supply'!H35)</f>
        <v>33159.760000000002</v>
      </c>
      <c r="L35" s="80">
        <f>SUM('Quarter supply'!P35)</f>
        <v>-27462.14</v>
      </c>
      <c r="M35" s="83">
        <f t="shared" si="3"/>
        <v>5697.6200000000026</v>
      </c>
      <c r="N35" s="80">
        <f>SUM('Quarter supply'!X35)</f>
        <v>-565.76</v>
      </c>
      <c r="O35" s="80">
        <f t="shared" si="4"/>
        <v>57874.93</v>
      </c>
      <c r="P35" s="85">
        <f t="shared" si="5"/>
        <v>9.8447116912279684E-2</v>
      </c>
    </row>
    <row r="36" spans="1:16" x14ac:dyDescent="0.35">
      <c r="A36" s="50" t="s">
        <v>201</v>
      </c>
      <c r="B36" s="80">
        <f>SUM('Quarter supply'!AG36-'Quarter final consumption'!CB36)</f>
        <v>48390.12000000001</v>
      </c>
      <c r="C36" s="80">
        <f>SUM('Quarter supply'!AH36:AL36)</f>
        <v>45791.23</v>
      </c>
      <c r="D36" s="80">
        <f>SUM('Quarter final consumption'!CB36)</f>
        <v>3229.49</v>
      </c>
      <c r="E36" s="80">
        <f t="shared" si="0"/>
        <v>42561.740000000005</v>
      </c>
      <c r="F36" s="80">
        <f>'Quarter supply'!O36+'Quarter supply'!W36</f>
        <v>166.91000000000003</v>
      </c>
      <c r="G36" s="80">
        <v>97.36</v>
      </c>
      <c r="H36" s="81">
        <f t="shared" si="1"/>
        <v>0.8795543387782464</v>
      </c>
      <c r="I36" s="85">
        <f t="shared" si="2"/>
        <v>0.11498442243995266</v>
      </c>
      <c r="J36" s="80">
        <f>SUM('Quarter supply'!AG36)</f>
        <v>51619.610000000008</v>
      </c>
      <c r="K36" s="80">
        <f>SUM('Quarter supply'!H36)</f>
        <v>33829.339999999997</v>
      </c>
      <c r="L36" s="80">
        <f>SUM('Quarter supply'!P36)</f>
        <v>-22971</v>
      </c>
      <c r="M36" s="83">
        <f t="shared" si="3"/>
        <v>10858.339999999997</v>
      </c>
      <c r="N36" s="80">
        <f>SUM('Quarter supply'!X36)</f>
        <v>-600.16999999999996</v>
      </c>
      <c r="O36" s="80">
        <f t="shared" si="4"/>
        <v>52219.780000000006</v>
      </c>
      <c r="P36" s="85">
        <f t="shared" si="5"/>
        <v>0.20793538387178181</v>
      </c>
    </row>
    <row r="37" spans="1:16" x14ac:dyDescent="0.35">
      <c r="A37" s="50" t="s">
        <v>202</v>
      </c>
      <c r="B37" s="80">
        <f>SUM('Quarter supply'!AG37-'Quarter final consumption'!CB37)</f>
        <v>64243.600000000006</v>
      </c>
      <c r="C37" s="80">
        <f>SUM('Quarter supply'!AH37:AL37)</f>
        <v>61414.879999999997</v>
      </c>
      <c r="D37" s="80">
        <f>SUM('Quarter final consumption'!CB37)</f>
        <v>3073.22</v>
      </c>
      <c r="E37" s="80">
        <f t="shared" si="0"/>
        <v>58341.659999999996</v>
      </c>
      <c r="F37" s="80">
        <f>'Quarter supply'!O37+'Quarter supply'!W37</f>
        <v>245.41000000000003</v>
      </c>
      <c r="G37" s="80">
        <v>97.36</v>
      </c>
      <c r="H37" s="81">
        <f t="shared" si="1"/>
        <v>0.90813186060556994</v>
      </c>
      <c r="I37" s="85">
        <f t="shared" si="2"/>
        <v>8.6532666288937854E-2</v>
      </c>
      <c r="J37" s="80">
        <f>SUM('Quarter supply'!AG37)</f>
        <v>67316.820000000007</v>
      </c>
      <c r="K37" s="80">
        <f>SUM('Quarter supply'!H37)</f>
        <v>34831.550000000003</v>
      </c>
      <c r="L37" s="80">
        <f>SUM('Quarter supply'!P37)</f>
        <v>-24475.699999999997</v>
      </c>
      <c r="M37" s="83">
        <f t="shared" si="3"/>
        <v>10355.850000000006</v>
      </c>
      <c r="N37" s="80">
        <f>SUM('Quarter supply'!X37)</f>
        <v>-519.16</v>
      </c>
      <c r="O37" s="80">
        <f t="shared" si="4"/>
        <v>67835.98000000001</v>
      </c>
      <c r="P37" s="85">
        <f t="shared" si="5"/>
        <v>0.1526601369951463</v>
      </c>
    </row>
    <row r="38" spans="1:16" x14ac:dyDescent="0.35">
      <c r="A38" s="50" t="s">
        <v>203</v>
      </c>
      <c r="B38" s="80">
        <f>SUM('Quarter supply'!AG38-'Quarter final consumption'!CB38)</f>
        <v>70923.94</v>
      </c>
      <c r="C38" s="80">
        <f>SUM('Quarter supply'!AH38:AL38)</f>
        <v>67507.240000000005</v>
      </c>
      <c r="D38" s="80">
        <f>SUM('Quarter final consumption'!CB38)</f>
        <v>3101.8100000000004</v>
      </c>
      <c r="E38" s="80">
        <f t="shared" si="0"/>
        <v>64405.430000000008</v>
      </c>
      <c r="F38" s="80">
        <f>'Quarter supply'!O38+'Quarter supply'!W38</f>
        <v>120.48</v>
      </c>
      <c r="G38" s="80">
        <v>101.32</v>
      </c>
      <c r="H38" s="81">
        <f t="shared" si="1"/>
        <v>0.90809154144566706</v>
      </c>
      <c r="I38" s="85">
        <f t="shared" si="2"/>
        <v>8.8781164723787054E-2</v>
      </c>
      <c r="J38" s="80">
        <f>SUM('Quarter supply'!AG38)</f>
        <v>74025.75</v>
      </c>
      <c r="K38" s="80">
        <f>SUM('Quarter supply'!H38)</f>
        <v>38232.75</v>
      </c>
      <c r="L38" s="80">
        <f>SUM('Quarter supply'!P38)</f>
        <v>-23824.170000000002</v>
      </c>
      <c r="M38" s="83">
        <f t="shared" si="3"/>
        <v>14408.579999999998</v>
      </c>
      <c r="N38" s="80">
        <f>SUM('Quarter supply'!X38)</f>
        <v>-547.53</v>
      </c>
      <c r="O38" s="80">
        <f t="shared" si="4"/>
        <v>74573.279999999999</v>
      </c>
      <c r="P38" s="85">
        <f t="shared" si="5"/>
        <v>0.19321370871711688</v>
      </c>
    </row>
    <row r="39" spans="1:16" x14ac:dyDescent="0.35">
      <c r="A39" s="50" t="s">
        <v>204</v>
      </c>
      <c r="B39" s="80">
        <f>SUM('Quarter supply'!AG39-'Quarter final consumption'!CB39)</f>
        <v>52777.529999999992</v>
      </c>
      <c r="C39" s="80">
        <f>SUM('Quarter supply'!AH39:AL39)</f>
        <v>49921.61</v>
      </c>
      <c r="D39" s="80">
        <f>SUM('Quarter final consumption'!CB39)</f>
        <v>3078.15</v>
      </c>
      <c r="E39" s="80">
        <f t="shared" si="0"/>
        <v>46843.46</v>
      </c>
      <c r="F39" s="80">
        <f>'Quarter supply'!O39+'Quarter supply'!W39</f>
        <v>246.31000000000003</v>
      </c>
      <c r="G39" s="80">
        <v>101.32</v>
      </c>
      <c r="H39" s="81">
        <f t="shared" si="1"/>
        <v>0.88756446161841995</v>
      </c>
      <c r="I39" s="85">
        <f t="shared" si="2"/>
        <v>0.10584883377452481</v>
      </c>
      <c r="J39" s="80">
        <f>SUM('Quarter supply'!AG39)</f>
        <v>55855.679999999993</v>
      </c>
      <c r="K39" s="80">
        <f>SUM('Quarter supply'!H39)</f>
        <v>35277.73000000001</v>
      </c>
      <c r="L39" s="80">
        <f>SUM('Quarter supply'!P39)</f>
        <v>-25384.9</v>
      </c>
      <c r="M39" s="83">
        <f t="shared" si="3"/>
        <v>9892.830000000009</v>
      </c>
      <c r="N39" s="80">
        <f>SUM('Quarter supply'!X39)</f>
        <v>-744.8</v>
      </c>
      <c r="O39" s="80">
        <f t="shared" si="4"/>
        <v>56600.479999999996</v>
      </c>
      <c r="P39" s="85">
        <f t="shared" si="5"/>
        <v>0.17478350006925752</v>
      </c>
    </row>
    <row r="40" spans="1:16" x14ac:dyDescent="0.35">
      <c r="A40" s="50" t="s">
        <v>205</v>
      </c>
      <c r="B40" s="80">
        <f>SUM('Quarter supply'!AG40-'Quarter final consumption'!CB40)</f>
        <v>47803.62</v>
      </c>
      <c r="C40" s="80">
        <f>SUM('Quarter supply'!AH40:AL40)</f>
        <v>44873.48</v>
      </c>
      <c r="D40" s="80">
        <f>SUM('Quarter final consumption'!CB40)</f>
        <v>2663.73</v>
      </c>
      <c r="E40" s="80">
        <f t="shared" si="0"/>
        <v>42209.75</v>
      </c>
      <c r="F40" s="80">
        <f>'Quarter supply'!O40+'Quarter supply'!W40</f>
        <v>139.51</v>
      </c>
      <c r="G40" s="80">
        <v>101.32</v>
      </c>
      <c r="H40" s="81">
        <f t="shared" si="1"/>
        <v>0.88298229297279152</v>
      </c>
      <c r="I40" s="85">
        <f t="shared" si="2"/>
        <v>0.11197980403994512</v>
      </c>
      <c r="J40" s="80">
        <f>SUM('Quarter supply'!AG40)</f>
        <v>50467.350000000006</v>
      </c>
      <c r="K40" s="80">
        <f>SUM('Quarter supply'!H40)</f>
        <v>35696.270000000004</v>
      </c>
      <c r="L40" s="80">
        <f>SUM('Quarter supply'!P40)</f>
        <v>-24347.45</v>
      </c>
      <c r="M40" s="83">
        <f t="shared" si="3"/>
        <v>11348.820000000003</v>
      </c>
      <c r="N40" s="80">
        <f>SUM('Quarter supply'!X40)</f>
        <v>-593.29</v>
      </c>
      <c r="O40" s="80">
        <f t="shared" si="4"/>
        <v>51060.640000000007</v>
      </c>
      <c r="P40" s="85">
        <f t="shared" si="5"/>
        <v>0.22226160894183861</v>
      </c>
    </row>
    <row r="41" spans="1:16" x14ac:dyDescent="0.35">
      <c r="A41" s="50" t="s">
        <v>206</v>
      </c>
      <c r="B41" s="80">
        <f>SUM('Quarter supply'!AG41-'Quarter final consumption'!CB41)</f>
        <v>61568.109999999993</v>
      </c>
      <c r="C41" s="80">
        <f>SUM('Quarter supply'!AH41:AL41)</f>
        <v>59227.31</v>
      </c>
      <c r="D41" s="80">
        <f>SUM('Quarter final consumption'!CB41)</f>
        <v>2571.0300000000002</v>
      </c>
      <c r="E41" s="80">
        <f t="shared" si="0"/>
        <v>56656.28</v>
      </c>
      <c r="F41" s="80">
        <f>'Quarter supply'!O41+'Quarter supply'!W41</f>
        <v>140.03</v>
      </c>
      <c r="G41" s="80">
        <v>101.32</v>
      </c>
      <c r="H41" s="81">
        <f t="shared" si="1"/>
        <v>0.92022119892912102</v>
      </c>
      <c r="I41" s="85">
        <f t="shared" si="2"/>
        <v>7.5858752201423685E-2</v>
      </c>
      <c r="J41" s="80">
        <f>SUM('Quarter supply'!AG41)</f>
        <v>64139.139999999992</v>
      </c>
      <c r="K41" s="80">
        <f>SUM('Quarter supply'!H41)</f>
        <v>40806.5</v>
      </c>
      <c r="L41" s="80">
        <f>SUM('Quarter supply'!P41)</f>
        <v>-23889.430000000004</v>
      </c>
      <c r="M41" s="83">
        <f t="shared" si="3"/>
        <v>16917.069999999996</v>
      </c>
      <c r="N41" s="80">
        <f>SUM('Quarter supply'!X41)</f>
        <v>-600.76</v>
      </c>
      <c r="O41" s="80">
        <f t="shared" si="4"/>
        <v>64739.899999999994</v>
      </c>
      <c r="P41" s="85">
        <f t="shared" si="5"/>
        <v>0.26130825039890387</v>
      </c>
    </row>
    <row r="42" spans="1:16" x14ac:dyDescent="0.35">
      <c r="A42" s="50" t="s">
        <v>207</v>
      </c>
      <c r="B42" s="80">
        <f>SUM('Quarter supply'!AG42-'Quarter final consumption'!CB42)</f>
        <v>65054.330000000009</v>
      </c>
      <c r="C42" s="80">
        <f>SUM('Quarter supply'!AH42:AL42)</f>
        <v>62669.840000000004</v>
      </c>
      <c r="D42" s="80">
        <f>SUM('Quarter final consumption'!CB42)</f>
        <v>2682.77</v>
      </c>
      <c r="E42" s="80">
        <f t="shared" si="0"/>
        <v>59987.070000000007</v>
      </c>
      <c r="F42" s="80">
        <f>'Quarter supply'!O42+'Quarter supply'!W42</f>
        <v>96.19</v>
      </c>
      <c r="G42" s="80">
        <v>108.91</v>
      </c>
      <c r="H42" s="81">
        <f t="shared" si="1"/>
        <v>0.92210726019313394</v>
      </c>
      <c r="I42" s="85">
        <f t="shared" si="2"/>
        <v>7.4739990404942946E-2</v>
      </c>
      <c r="J42" s="80">
        <f>SUM('Quarter supply'!AG42)</f>
        <v>67737.100000000006</v>
      </c>
      <c r="K42" s="80">
        <f>SUM('Quarter supply'!H42)</f>
        <v>39346.35</v>
      </c>
      <c r="L42" s="80">
        <f>SUM('Quarter supply'!P42)</f>
        <v>-23456.689999999995</v>
      </c>
      <c r="M42" s="83">
        <f t="shared" si="3"/>
        <v>15889.660000000003</v>
      </c>
      <c r="N42" s="80">
        <f>SUM('Quarter supply'!X42)</f>
        <v>-681.15</v>
      </c>
      <c r="O42" s="80">
        <f t="shared" si="4"/>
        <v>68418.25</v>
      </c>
      <c r="P42" s="85">
        <f t="shared" si="5"/>
        <v>0.23224300533848796</v>
      </c>
    </row>
    <row r="43" spans="1:16" x14ac:dyDescent="0.35">
      <c r="A43" s="50" t="s">
        <v>208</v>
      </c>
      <c r="B43" s="80">
        <f>SUM('Quarter supply'!AG43-'Quarter final consumption'!CB43)</f>
        <v>51120.460000000006</v>
      </c>
      <c r="C43" s="80">
        <f>SUM('Quarter supply'!AH43:AL43)</f>
        <v>48661.240000000005</v>
      </c>
      <c r="D43" s="80">
        <f>SUM('Quarter final consumption'!CB43)</f>
        <v>2219.71</v>
      </c>
      <c r="E43" s="80">
        <f t="shared" si="0"/>
        <v>46441.530000000006</v>
      </c>
      <c r="F43" s="80">
        <f>'Quarter supply'!O43+'Quarter supply'!W43</f>
        <v>76.52000000000001</v>
      </c>
      <c r="G43" s="80">
        <v>108.91</v>
      </c>
      <c r="H43" s="81">
        <f t="shared" si="1"/>
        <v>0.90847245897239581</v>
      </c>
      <c r="I43" s="85">
        <f t="shared" si="2"/>
        <v>8.7900226249920221E-2</v>
      </c>
      <c r="J43" s="80">
        <f>SUM('Quarter supply'!AG43)</f>
        <v>53340.170000000006</v>
      </c>
      <c r="K43" s="80">
        <f>SUM('Quarter supply'!H43)</f>
        <v>34267.1</v>
      </c>
      <c r="L43" s="80">
        <f>SUM('Quarter supply'!P43)</f>
        <v>-26111.600000000002</v>
      </c>
      <c r="M43" s="83">
        <f t="shared" si="3"/>
        <v>8155.4999999999964</v>
      </c>
      <c r="N43" s="80">
        <f>SUM('Quarter supply'!X43)</f>
        <v>-593.91999999999996</v>
      </c>
      <c r="O43" s="80">
        <f t="shared" si="4"/>
        <v>53934.090000000004</v>
      </c>
      <c r="P43" s="85">
        <f t="shared" si="5"/>
        <v>0.15121234084045909</v>
      </c>
    </row>
    <row r="44" spans="1:16" x14ac:dyDescent="0.35">
      <c r="A44" s="50" t="s">
        <v>209</v>
      </c>
      <c r="B44" s="80">
        <f>SUM('Quarter supply'!AG44-'Quarter final consumption'!CB44)</f>
        <v>48772.42</v>
      </c>
      <c r="C44" s="80">
        <f>SUM('Quarter supply'!AH44:AL44)</f>
        <v>45831.42</v>
      </c>
      <c r="D44" s="80">
        <f>SUM('Quarter final consumption'!CB44)</f>
        <v>2422.66</v>
      </c>
      <c r="E44" s="80">
        <f t="shared" si="0"/>
        <v>43408.759999999995</v>
      </c>
      <c r="F44" s="80">
        <f>'Quarter supply'!O44+'Quarter supply'!W44</f>
        <v>229.11</v>
      </c>
      <c r="G44" s="80">
        <v>108.91</v>
      </c>
      <c r="H44" s="81">
        <f t="shared" si="1"/>
        <v>0.89002678152939707</v>
      </c>
      <c r="I44" s="85">
        <f t="shared" si="2"/>
        <v>0.10304266222590552</v>
      </c>
      <c r="J44" s="80">
        <f>SUM('Quarter supply'!AG44)</f>
        <v>51195.079999999994</v>
      </c>
      <c r="K44" s="80">
        <f>SUM('Quarter supply'!H44)</f>
        <v>35899.37000000001</v>
      </c>
      <c r="L44" s="80">
        <f>SUM('Quarter supply'!P44)</f>
        <v>-25003.59</v>
      </c>
      <c r="M44" s="83">
        <f t="shared" si="3"/>
        <v>10895.78000000001</v>
      </c>
      <c r="N44" s="80">
        <f>SUM('Quarter supply'!X44)</f>
        <v>-647.04999999999995</v>
      </c>
      <c r="O44" s="80">
        <f t="shared" si="4"/>
        <v>51842.13</v>
      </c>
      <c r="P44" s="85">
        <f t="shared" si="5"/>
        <v>0.2101723058061081</v>
      </c>
    </row>
    <row r="45" spans="1:16" x14ac:dyDescent="0.35">
      <c r="A45" s="50" t="s">
        <v>210</v>
      </c>
      <c r="B45" s="80">
        <f>SUM('Quarter supply'!AG45-'Quarter final consumption'!CB45)</f>
        <v>62544.960000000006</v>
      </c>
      <c r="C45" s="80">
        <f>SUM('Quarter supply'!AH45:AL45)</f>
        <v>60029.270000000004</v>
      </c>
      <c r="D45" s="80">
        <f>SUM('Quarter final consumption'!CB45)</f>
        <v>2404.0899999999997</v>
      </c>
      <c r="E45" s="80">
        <f t="shared" si="0"/>
        <v>57625.180000000008</v>
      </c>
      <c r="F45" s="80">
        <f>'Quarter supply'!O45+'Quarter supply'!W45</f>
        <v>46.55</v>
      </c>
      <c r="G45" s="80">
        <v>108.91</v>
      </c>
      <c r="H45" s="81">
        <f t="shared" si="1"/>
        <v>0.92134010478222383</v>
      </c>
      <c r="I45" s="85">
        <f t="shared" si="2"/>
        <v>7.6174323238834774E-2</v>
      </c>
      <c r="J45" s="80">
        <f>SUM('Quarter supply'!AG45)</f>
        <v>64949.05</v>
      </c>
      <c r="K45" s="80">
        <f>SUM('Quarter supply'!H45)</f>
        <v>39827.64</v>
      </c>
      <c r="L45" s="80">
        <f>SUM('Quarter supply'!P45)</f>
        <v>-25438.999999999996</v>
      </c>
      <c r="M45" s="83">
        <f t="shared" si="3"/>
        <v>14388.640000000003</v>
      </c>
      <c r="N45" s="80">
        <f>SUM('Quarter supply'!X45)</f>
        <v>-590.54999999999995</v>
      </c>
      <c r="O45" s="80">
        <f t="shared" si="4"/>
        <v>65539.600000000006</v>
      </c>
      <c r="P45" s="85">
        <f t="shared" si="5"/>
        <v>0.21954116289998721</v>
      </c>
    </row>
    <row r="46" spans="1:16" x14ac:dyDescent="0.35">
      <c r="A46" s="50" t="s">
        <v>211</v>
      </c>
      <c r="B46" s="80">
        <f>SUM('Quarter supply'!AG46-'Quarter final consumption'!CB46)</f>
        <v>65877.760000000009</v>
      </c>
      <c r="C46" s="80">
        <f>SUM('Quarter supply'!AH46:AL46)</f>
        <v>63106.640000000007</v>
      </c>
      <c r="D46" s="80">
        <f>SUM('Quarter final consumption'!CB46)</f>
        <v>2558.62</v>
      </c>
      <c r="E46" s="80">
        <f t="shared" si="0"/>
        <v>60548.020000000004</v>
      </c>
      <c r="F46" s="80">
        <f>'Quarter supply'!O46+'Quarter supply'!W46</f>
        <v>207.67</v>
      </c>
      <c r="G46" s="80">
        <v>115.94</v>
      </c>
      <c r="H46" s="81">
        <f t="shared" si="1"/>
        <v>0.91909652058600655</v>
      </c>
      <c r="I46" s="85">
        <f t="shared" si="2"/>
        <v>7.5991199457905112E-2</v>
      </c>
      <c r="J46" s="80">
        <f>SUM('Quarter supply'!AG46)</f>
        <v>68436.38</v>
      </c>
      <c r="K46" s="80">
        <f>SUM('Quarter supply'!H46)</f>
        <v>41747.549999999996</v>
      </c>
      <c r="L46" s="80">
        <f>SUM('Quarter supply'!P46)</f>
        <v>-22656.719999999998</v>
      </c>
      <c r="M46" s="83">
        <f t="shared" si="3"/>
        <v>19090.829999999998</v>
      </c>
      <c r="N46" s="80">
        <f>SUM('Quarter supply'!X46)</f>
        <v>-882.87</v>
      </c>
      <c r="O46" s="80">
        <f t="shared" si="4"/>
        <v>69319.25</v>
      </c>
      <c r="P46" s="85">
        <f t="shared" si="5"/>
        <v>0.27540445114452333</v>
      </c>
    </row>
    <row r="47" spans="1:16" x14ac:dyDescent="0.35">
      <c r="A47" s="50" t="s">
        <v>212</v>
      </c>
      <c r="B47" s="80">
        <f>SUM('Quarter supply'!AG47-'Quarter final consumption'!CB47)</f>
        <v>51947.87999999999</v>
      </c>
      <c r="C47" s="80">
        <f>SUM('Quarter supply'!AH47:AL47)</f>
        <v>49625.05999999999</v>
      </c>
      <c r="D47" s="80">
        <f>SUM('Quarter final consumption'!CB47)</f>
        <v>2379.2000000000003</v>
      </c>
      <c r="E47" s="80">
        <f t="shared" si="0"/>
        <v>47245.859999999993</v>
      </c>
      <c r="F47" s="80">
        <f>'Quarter supply'!O47+'Quarter supply'!W47</f>
        <v>306.02000000000004</v>
      </c>
      <c r="G47" s="80">
        <v>115.94</v>
      </c>
      <c r="H47" s="81">
        <f t="shared" si="1"/>
        <v>0.90948581539804896</v>
      </c>
      <c r="I47" s="85">
        <f t="shared" si="2"/>
        <v>8.2391427715625687E-2</v>
      </c>
      <c r="J47" s="80">
        <f>SUM('Quarter supply'!AG47)</f>
        <v>54327.079999999987</v>
      </c>
      <c r="K47" s="80">
        <f>SUM('Quarter supply'!H47)</f>
        <v>37578.78</v>
      </c>
      <c r="L47" s="80">
        <f>SUM('Quarter supply'!P47)</f>
        <v>-24706.32</v>
      </c>
      <c r="M47" s="83">
        <f t="shared" si="3"/>
        <v>12872.46</v>
      </c>
      <c r="N47" s="80">
        <f>SUM('Quarter supply'!X47)</f>
        <v>-978.32</v>
      </c>
      <c r="O47" s="80">
        <f t="shared" si="4"/>
        <v>55305.399999999987</v>
      </c>
      <c r="P47" s="85">
        <f t="shared" si="5"/>
        <v>0.23275231713358915</v>
      </c>
    </row>
    <row r="48" spans="1:16" x14ac:dyDescent="0.35">
      <c r="A48" s="50" t="s">
        <v>213</v>
      </c>
      <c r="B48" s="80">
        <f>SUM('Quarter supply'!AG48-'Quarter final consumption'!CB48)</f>
        <v>47116.249999999993</v>
      </c>
      <c r="C48" s="80">
        <f>SUM('Quarter supply'!AH48:AL48)</f>
        <v>44504.959999999992</v>
      </c>
      <c r="D48" s="80">
        <f>SUM('Quarter final consumption'!CB48)</f>
        <v>2132.6</v>
      </c>
      <c r="E48" s="80">
        <f t="shared" si="0"/>
        <v>42372.359999999993</v>
      </c>
      <c r="F48" s="80">
        <f>'Quarter supply'!O48+'Quarter supply'!W48</f>
        <v>319.54000000000002</v>
      </c>
      <c r="G48" s="80">
        <v>115.94</v>
      </c>
      <c r="H48" s="81">
        <f t="shared" si="1"/>
        <v>0.89931520441461277</v>
      </c>
      <c r="I48" s="85">
        <f t="shared" si="2"/>
        <v>9.1442124532406521E-2</v>
      </c>
      <c r="J48" s="80">
        <f>SUM('Quarter supply'!AG48)</f>
        <v>49248.849999999991</v>
      </c>
      <c r="K48" s="80">
        <f>SUM('Quarter supply'!H48)</f>
        <v>37062.14</v>
      </c>
      <c r="L48" s="80">
        <f>SUM('Quarter supply'!P48)</f>
        <v>-23577.760000000002</v>
      </c>
      <c r="M48" s="83">
        <f t="shared" si="3"/>
        <v>13484.379999999997</v>
      </c>
      <c r="N48" s="80">
        <f>SUM('Quarter supply'!X48)</f>
        <v>-854.39</v>
      </c>
      <c r="O48" s="80">
        <f t="shared" si="4"/>
        <v>50103.239999999991</v>
      </c>
      <c r="P48" s="85">
        <f t="shared" si="5"/>
        <v>0.26913189646018898</v>
      </c>
    </row>
    <row r="49" spans="1:16" x14ac:dyDescent="0.35">
      <c r="A49" s="50" t="s">
        <v>214</v>
      </c>
      <c r="B49" s="80">
        <f>SUM('Quarter supply'!AG49-'Quarter final consumption'!CB49)</f>
        <v>60712.26</v>
      </c>
      <c r="C49" s="80">
        <f>SUM('Quarter supply'!AH49:AL49)</f>
        <v>57570.91</v>
      </c>
      <c r="D49" s="80">
        <f>SUM('Quarter final consumption'!CB49)</f>
        <v>2092.5300000000002</v>
      </c>
      <c r="E49" s="80">
        <f t="shared" si="0"/>
        <v>55478.380000000005</v>
      </c>
      <c r="F49" s="80">
        <f>'Quarter supply'!O49+'Quarter supply'!W49</f>
        <v>114.49</v>
      </c>
      <c r="G49" s="80">
        <v>115.94</v>
      </c>
      <c r="H49" s="81">
        <f t="shared" si="1"/>
        <v>0.9137920413438736</v>
      </c>
      <c r="I49" s="85">
        <f t="shared" si="2"/>
        <v>8.2412514375185486E-2</v>
      </c>
      <c r="J49" s="80">
        <f>SUM('Quarter supply'!AG49)</f>
        <v>62804.79</v>
      </c>
      <c r="K49" s="80">
        <f>SUM('Quarter supply'!H49)</f>
        <v>41847.69</v>
      </c>
      <c r="L49" s="80">
        <f>SUM('Quarter supply'!P49)</f>
        <v>-24440.499999999996</v>
      </c>
      <c r="M49" s="83">
        <f t="shared" si="3"/>
        <v>17407.190000000006</v>
      </c>
      <c r="N49" s="80">
        <f>SUM('Quarter supply'!X49)</f>
        <v>-947.48</v>
      </c>
      <c r="O49" s="80">
        <f t="shared" si="4"/>
        <v>63752.270000000004</v>
      </c>
      <c r="P49" s="85">
        <f t="shared" si="5"/>
        <v>0.27304423826790802</v>
      </c>
    </row>
    <row r="50" spans="1:16" x14ac:dyDescent="0.35">
      <c r="A50" s="50" t="s">
        <v>215</v>
      </c>
      <c r="B50" s="80">
        <f>SUM('Quarter supply'!AG50-'Quarter final consumption'!CB50)</f>
        <v>63214.39</v>
      </c>
      <c r="C50" s="80">
        <f>SUM('Quarter supply'!AH50:AL50)</f>
        <v>59401.869999999995</v>
      </c>
      <c r="D50" s="80">
        <f>SUM('Quarter final consumption'!CB50)</f>
        <v>2183.85</v>
      </c>
      <c r="E50" s="80">
        <f t="shared" si="0"/>
        <v>57218.02</v>
      </c>
      <c r="F50" s="80">
        <f>'Quarter supply'!O50+'Quarter supply'!W50</f>
        <v>48.649999999999991</v>
      </c>
      <c r="G50" s="80">
        <v>127.29</v>
      </c>
      <c r="H50" s="81">
        <f t="shared" si="1"/>
        <v>0.90514232597989153</v>
      </c>
      <c r="I50" s="85">
        <f t="shared" si="2"/>
        <v>9.2074446973228752E-2</v>
      </c>
      <c r="J50" s="80">
        <f>SUM('Quarter supply'!AG50)</f>
        <v>65398.239999999998</v>
      </c>
      <c r="K50" s="80">
        <f>SUM('Quarter supply'!H50)</f>
        <v>41522.6</v>
      </c>
      <c r="L50" s="80">
        <f>SUM('Quarter supply'!P50)</f>
        <v>-22708.809999999998</v>
      </c>
      <c r="M50" s="83">
        <f t="shared" si="3"/>
        <v>18813.79</v>
      </c>
      <c r="N50" s="80">
        <f>SUM('Quarter supply'!X50)</f>
        <v>-795.46</v>
      </c>
      <c r="O50" s="80">
        <f t="shared" si="4"/>
        <v>66193.7</v>
      </c>
      <c r="P50" s="85">
        <f t="shared" si="5"/>
        <v>0.28422327200322695</v>
      </c>
    </row>
    <row r="51" spans="1:16" x14ac:dyDescent="0.35">
      <c r="A51" s="50" t="s">
        <v>216</v>
      </c>
      <c r="B51" s="80">
        <f>SUM('Quarter supply'!AG51-'Quarter final consumption'!CB51)</f>
        <v>47327.21</v>
      </c>
      <c r="C51" s="80">
        <f>SUM('Quarter supply'!AH51:AL51)</f>
        <v>43735.7</v>
      </c>
      <c r="D51" s="80">
        <f>SUM('Quarter final consumption'!CB51)</f>
        <v>2398.7400000000002</v>
      </c>
      <c r="E51" s="80">
        <f t="shared" si="0"/>
        <v>41336.959999999999</v>
      </c>
      <c r="F51" s="80">
        <f>'Quarter supply'!O51+'Quarter supply'!W51</f>
        <v>239.10000000000002</v>
      </c>
      <c r="G51" s="80">
        <v>127.29</v>
      </c>
      <c r="H51" s="81">
        <f t="shared" si="1"/>
        <v>0.8734290485325461</v>
      </c>
      <c r="I51" s="85">
        <f t="shared" si="2"/>
        <v>0.11882931615871717</v>
      </c>
      <c r="J51" s="80">
        <f>SUM('Quarter supply'!AG51)</f>
        <v>49725.95</v>
      </c>
      <c r="K51" s="80">
        <f>SUM('Quarter supply'!H51)</f>
        <v>34906.030000000006</v>
      </c>
      <c r="L51" s="80">
        <f>SUM('Quarter supply'!P51)</f>
        <v>-24435.179999999997</v>
      </c>
      <c r="M51" s="83">
        <f t="shared" si="3"/>
        <v>10470.850000000009</v>
      </c>
      <c r="N51" s="80">
        <f>SUM('Quarter supply'!X51)</f>
        <v>-847.98</v>
      </c>
      <c r="O51" s="80">
        <f t="shared" si="4"/>
        <v>50573.93</v>
      </c>
      <c r="P51" s="85">
        <f t="shared" si="5"/>
        <v>0.2070404653148373</v>
      </c>
    </row>
    <row r="52" spans="1:16" x14ac:dyDescent="0.35">
      <c r="A52" s="50" t="s">
        <v>217</v>
      </c>
      <c r="B52" s="80">
        <f>SUM('Quarter supply'!AG52-'Quarter final consumption'!CB52)</f>
        <v>43638.89</v>
      </c>
      <c r="C52" s="80">
        <f>SUM('Quarter supply'!AH52:AL52)</f>
        <v>40247.21</v>
      </c>
      <c r="D52" s="80">
        <f>SUM('Quarter final consumption'!CB52)</f>
        <v>2299.85</v>
      </c>
      <c r="E52" s="80">
        <f t="shared" si="0"/>
        <v>37947.360000000001</v>
      </c>
      <c r="F52" s="80">
        <f>'Quarter supply'!O52+'Quarter supply'!W52</f>
        <v>69.78</v>
      </c>
      <c r="G52" s="80">
        <v>127.29</v>
      </c>
      <c r="H52" s="81">
        <f t="shared" si="1"/>
        <v>0.86957665513490379</v>
      </c>
      <c r="I52" s="85">
        <f t="shared" si="2"/>
        <v>0.12590741881839795</v>
      </c>
      <c r="J52" s="80">
        <f>SUM('Quarter supply'!AG52)</f>
        <v>45938.74</v>
      </c>
      <c r="K52" s="80">
        <f>SUM('Quarter supply'!H52)</f>
        <v>34948.21</v>
      </c>
      <c r="L52" s="80">
        <f>SUM('Quarter supply'!P52)</f>
        <v>-20143.310000000001</v>
      </c>
      <c r="M52" s="83">
        <f t="shared" si="3"/>
        <v>14804.899999999998</v>
      </c>
      <c r="N52" s="80">
        <f>SUM('Quarter supply'!X52)</f>
        <v>-1014.98</v>
      </c>
      <c r="O52" s="80">
        <f t="shared" si="4"/>
        <v>46953.72</v>
      </c>
      <c r="P52" s="85">
        <f t="shared" si="5"/>
        <v>0.31530835043527961</v>
      </c>
    </row>
    <row r="53" spans="1:16" x14ac:dyDescent="0.35">
      <c r="A53" s="50" t="s">
        <v>218</v>
      </c>
      <c r="B53" s="80">
        <f>SUM('Quarter supply'!AG53-'Quarter final consumption'!CB53)</f>
        <v>57639.950000000012</v>
      </c>
      <c r="C53" s="80">
        <f>SUM('Quarter supply'!AH53:AL53)</f>
        <v>53958.570000000007</v>
      </c>
      <c r="D53" s="80">
        <f>SUM('Quarter final consumption'!CB53)</f>
        <v>2068.61</v>
      </c>
      <c r="E53" s="80">
        <f t="shared" si="0"/>
        <v>51889.960000000006</v>
      </c>
      <c r="F53" s="80">
        <f>'Quarter supply'!O53+'Quarter supply'!W53</f>
        <v>-111.53999999999999</v>
      </c>
      <c r="G53" s="80">
        <v>127.29</v>
      </c>
      <c r="H53" s="81">
        <f t="shared" si="1"/>
        <v>0.90024297384019236</v>
      </c>
      <c r="I53" s="85">
        <f t="shared" si="2"/>
        <v>9.9483778178156013E-2</v>
      </c>
      <c r="J53" s="80">
        <f>SUM('Quarter supply'!AG53)</f>
        <v>59708.560000000012</v>
      </c>
      <c r="K53" s="80">
        <f>SUM('Quarter supply'!H53)</f>
        <v>40658.17</v>
      </c>
      <c r="L53" s="80">
        <f>SUM('Quarter supply'!P53)</f>
        <v>-22930.04</v>
      </c>
      <c r="M53" s="83">
        <f t="shared" si="3"/>
        <v>17728.129999999997</v>
      </c>
      <c r="N53" s="80">
        <f>SUM('Quarter supply'!X53)</f>
        <v>-846.18</v>
      </c>
      <c r="O53" s="80">
        <f t="shared" si="4"/>
        <v>60554.740000000013</v>
      </c>
      <c r="P53" s="85">
        <f t="shared" si="5"/>
        <v>0.29276205297884184</v>
      </c>
    </row>
    <row r="54" spans="1:16" x14ac:dyDescent="0.35">
      <c r="A54" s="50" t="s">
        <v>219</v>
      </c>
      <c r="B54" s="80">
        <f>SUM('Quarter supply'!AG54-'Quarter final consumption'!CB54)</f>
        <v>65051.049999999988</v>
      </c>
      <c r="C54" s="80">
        <f>SUM('Quarter supply'!AH54:AL54)</f>
        <v>60841.84</v>
      </c>
      <c r="D54" s="80">
        <f>SUM('Quarter final consumption'!CB54)</f>
        <v>2059.08</v>
      </c>
      <c r="E54" s="80">
        <f t="shared" si="0"/>
        <v>58782.759999999995</v>
      </c>
      <c r="F54" s="80">
        <f>'Quarter supply'!O54+'Quarter supply'!W54</f>
        <v>-145.02000000000001</v>
      </c>
      <c r="G54" s="80">
        <v>133.43</v>
      </c>
      <c r="H54" s="81">
        <f t="shared" si="1"/>
        <v>0.90364044854003134</v>
      </c>
      <c r="I54" s="85">
        <f t="shared" si="2"/>
        <v>9.6359551459968662E-2</v>
      </c>
      <c r="J54" s="80">
        <f>SUM('Quarter supply'!AG54)</f>
        <v>67110.12999999999</v>
      </c>
      <c r="K54" s="80">
        <f>SUM('Quarter supply'!H54)</f>
        <v>42035.68</v>
      </c>
      <c r="L54" s="80">
        <f>SUM('Quarter supply'!P54)</f>
        <v>-22226.730000000003</v>
      </c>
      <c r="M54" s="83">
        <f t="shared" si="3"/>
        <v>19808.949999999997</v>
      </c>
      <c r="N54" s="80">
        <f>SUM('Quarter supply'!X54)</f>
        <v>-684.12</v>
      </c>
      <c r="O54" s="80">
        <f t="shared" si="4"/>
        <v>67794.249999999985</v>
      </c>
      <c r="P54" s="85">
        <f t="shared" si="5"/>
        <v>0.29219218444042083</v>
      </c>
    </row>
    <row r="55" spans="1:16" x14ac:dyDescent="0.35">
      <c r="A55" s="50" t="s">
        <v>220</v>
      </c>
      <c r="B55" s="80">
        <f>SUM('Quarter supply'!AG55-'Quarter final consumption'!CB55)</f>
        <v>48164.51</v>
      </c>
      <c r="C55" s="80">
        <f>SUM('Quarter supply'!AH55:AL55)</f>
        <v>45445.61</v>
      </c>
      <c r="D55" s="80">
        <f>SUM('Quarter final consumption'!CB55)</f>
        <v>2420.27</v>
      </c>
      <c r="E55" s="80">
        <f t="shared" si="0"/>
        <v>43025.340000000004</v>
      </c>
      <c r="F55" s="80">
        <f>'Quarter supply'!O55+'Quarter supply'!W55</f>
        <v>121.71999999999998</v>
      </c>
      <c r="G55" s="80">
        <v>133.43</v>
      </c>
      <c r="H55" s="81">
        <f t="shared" si="1"/>
        <v>0.89329965154841195</v>
      </c>
      <c r="I55" s="85">
        <f t="shared" si="2"/>
        <v>0.10140287942304405</v>
      </c>
      <c r="J55" s="80">
        <f>SUM('Quarter supply'!AG55)</f>
        <v>50584.78</v>
      </c>
      <c r="K55" s="80">
        <f>SUM('Quarter supply'!H55)</f>
        <v>38370.629999999997</v>
      </c>
      <c r="L55" s="80">
        <f>SUM('Quarter supply'!P55)</f>
        <v>-24203.280000000002</v>
      </c>
      <c r="M55" s="83">
        <f t="shared" si="3"/>
        <v>14167.349999999995</v>
      </c>
      <c r="N55" s="80">
        <f>SUM('Quarter supply'!X55)</f>
        <v>-663.97</v>
      </c>
      <c r="O55" s="80">
        <f t="shared" si="4"/>
        <v>51248.75</v>
      </c>
      <c r="P55" s="85">
        <f t="shared" si="5"/>
        <v>0.27644284006926989</v>
      </c>
    </row>
    <row r="56" spans="1:16" x14ac:dyDescent="0.35">
      <c r="A56" s="50" t="s">
        <v>221</v>
      </c>
      <c r="B56" s="80">
        <f>SUM('Quarter supply'!AG56-'Quarter final consumption'!CB56)</f>
        <v>44098.509999999995</v>
      </c>
      <c r="C56" s="80">
        <f>SUM('Quarter supply'!AH56:AL56)</f>
        <v>41175.11</v>
      </c>
      <c r="D56" s="80">
        <f>SUM('Quarter final consumption'!CB56)</f>
        <v>2215.3000000000002</v>
      </c>
      <c r="E56" s="80">
        <f t="shared" si="0"/>
        <v>38959.81</v>
      </c>
      <c r="F56" s="80">
        <f>'Quarter supply'!O56+'Quarter supply'!W56</f>
        <v>237.20999999999998</v>
      </c>
      <c r="G56" s="80">
        <v>133.43</v>
      </c>
      <c r="H56" s="81">
        <f t="shared" si="1"/>
        <v>0.88347225337091895</v>
      </c>
      <c r="I56" s="85">
        <f t="shared" si="2"/>
        <v>0.10812292750934216</v>
      </c>
      <c r="J56" s="80">
        <f>SUM('Quarter supply'!AG56)</f>
        <v>46313.81</v>
      </c>
      <c r="K56" s="80">
        <f>SUM('Quarter supply'!H56)</f>
        <v>34562.879999999997</v>
      </c>
      <c r="L56" s="80">
        <f>SUM('Quarter supply'!P56)</f>
        <v>-21306.050000000003</v>
      </c>
      <c r="M56" s="83">
        <f t="shared" si="3"/>
        <v>13256.829999999994</v>
      </c>
      <c r="N56" s="80">
        <f>SUM('Quarter supply'!X56)</f>
        <v>-817.53</v>
      </c>
      <c r="O56" s="80">
        <f t="shared" si="4"/>
        <v>47131.34</v>
      </c>
      <c r="P56" s="85">
        <f t="shared" si="5"/>
        <v>0.28127420098813222</v>
      </c>
    </row>
    <row r="57" spans="1:16" x14ac:dyDescent="0.35">
      <c r="A57" s="50" t="s">
        <v>222</v>
      </c>
      <c r="B57" s="80">
        <f>SUM('Quarter supply'!AG57-'Quarter final consumption'!CB57)</f>
        <v>62708.24</v>
      </c>
      <c r="C57" s="80">
        <f>SUM('Quarter supply'!AH57:AL57)</f>
        <v>58364.06</v>
      </c>
      <c r="D57" s="80">
        <f>SUM('Quarter final consumption'!CB57)</f>
        <v>2015.54</v>
      </c>
      <c r="E57" s="80">
        <f t="shared" si="0"/>
        <v>56348.52</v>
      </c>
      <c r="F57" s="80">
        <f>'Quarter supply'!O57+'Quarter supply'!W57</f>
        <v>15.11</v>
      </c>
      <c r="G57" s="80">
        <v>133.43</v>
      </c>
      <c r="H57" s="81">
        <f t="shared" si="1"/>
        <v>0.89858238725883555</v>
      </c>
      <c r="I57" s="85">
        <f t="shared" si="2"/>
        <v>9.9048865029540023E-2</v>
      </c>
      <c r="J57" s="80">
        <f>SUM('Quarter supply'!AG57)</f>
        <v>64723.78</v>
      </c>
      <c r="K57" s="80">
        <f>SUM('Quarter supply'!H57)</f>
        <v>44841.119999999995</v>
      </c>
      <c r="L57" s="80">
        <f>SUM('Quarter supply'!P57)</f>
        <v>-23346.480000000003</v>
      </c>
      <c r="M57" s="83">
        <f t="shared" si="3"/>
        <v>21494.639999999992</v>
      </c>
      <c r="N57" s="80">
        <f>SUM('Quarter supply'!X57)</f>
        <v>-786.53</v>
      </c>
      <c r="O57" s="80">
        <f t="shared" si="4"/>
        <v>65510.31</v>
      </c>
      <c r="P57" s="85">
        <f t="shared" si="5"/>
        <v>0.32811079660590819</v>
      </c>
    </row>
    <row r="58" spans="1:16" x14ac:dyDescent="0.35">
      <c r="A58" s="50" t="s">
        <v>223</v>
      </c>
      <c r="B58" s="80">
        <f>SUM('Quarter supply'!AG58-'Quarter final consumption'!CB58)</f>
        <v>60884.72</v>
      </c>
      <c r="C58" s="80">
        <f>SUM('Quarter supply'!AH58:AL58)</f>
        <v>55906.5</v>
      </c>
      <c r="D58" s="80">
        <f>SUM('Quarter final consumption'!CB58)</f>
        <v>2068.63</v>
      </c>
      <c r="E58" s="80">
        <f t="shared" si="0"/>
        <v>53837.87</v>
      </c>
      <c r="F58" s="80">
        <f>'Quarter supply'!O58+'Quarter supply'!W58</f>
        <v>91.490000000000009</v>
      </c>
      <c r="G58" s="80">
        <v>141.97</v>
      </c>
      <c r="H58" s="81">
        <f t="shared" si="1"/>
        <v>0.88425913759642816</v>
      </c>
      <c r="I58" s="85">
        <f t="shared" si="2"/>
        <v>0.11190640278874564</v>
      </c>
      <c r="J58" s="80">
        <f>SUM('Quarter supply'!AG58)</f>
        <v>62953.35</v>
      </c>
      <c r="K58" s="80">
        <f>SUM('Quarter supply'!H58)</f>
        <v>43025.599999999999</v>
      </c>
      <c r="L58" s="80">
        <f>SUM('Quarter supply'!P58)</f>
        <v>-19743.689999999999</v>
      </c>
      <c r="M58" s="83">
        <f t="shared" si="3"/>
        <v>23281.91</v>
      </c>
      <c r="N58" s="80">
        <f>SUM('Quarter supply'!X58)</f>
        <v>-814.21</v>
      </c>
      <c r="O58" s="80">
        <f t="shared" si="4"/>
        <v>63767.56</v>
      </c>
      <c r="P58" s="85">
        <f t="shared" si="5"/>
        <v>0.36510586260474764</v>
      </c>
    </row>
    <row r="59" spans="1:16" x14ac:dyDescent="0.35">
      <c r="A59" s="50" t="s">
        <v>224</v>
      </c>
      <c r="B59" s="80">
        <f>SUM('Quarter supply'!AG59-'Quarter final consumption'!CB59)</f>
        <v>45626.89</v>
      </c>
      <c r="C59" s="80">
        <f>SUM('Quarter supply'!AH59:AL59)</f>
        <v>41211.67</v>
      </c>
      <c r="D59" s="80">
        <f>SUM('Quarter final consumption'!CB59)</f>
        <v>2201.41</v>
      </c>
      <c r="E59" s="80">
        <f t="shared" si="0"/>
        <v>39010.259999999995</v>
      </c>
      <c r="F59" s="80">
        <f>'Quarter supply'!O59+'Quarter supply'!W59</f>
        <v>131.5</v>
      </c>
      <c r="G59" s="80">
        <v>141.97</v>
      </c>
      <c r="H59" s="81">
        <f t="shared" si="1"/>
        <v>0.85498397984171171</v>
      </c>
      <c r="I59" s="85">
        <f t="shared" si="2"/>
        <v>0.13902240542802724</v>
      </c>
      <c r="J59" s="80">
        <f>SUM('Quarter supply'!AG59)</f>
        <v>47828.3</v>
      </c>
      <c r="K59" s="80">
        <f>SUM('Quarter supply'!H59)</f>
        <v>37897.490000000005</v>
      </c>
      <c r="L59" s="80">
        <f>SUM('Quarter supply'!P59)</f>
        <v>-21880.590000000004</v>
      </c>
      <c r="M59" s="83">
        <f t="shared" si="3"/>
        <v>16016.900000000001</v>
      </c>
      <c r="N59" s="80">
        <f>SUM('Quarter supply'!X59)</f>
        <v>-721.15</v>
      </c>
      <c r="O59" s="80">
        <f t="shared" si="4"/>
        <v>48549.450000000004</v>
      </c>
      <c r="P59" s="85">
        <f t="shared" si="5"/>
        <v>0.32990898970019228</v>
      </c>
    </row>
    <row r="60" spans="1:16" x14ac:dyDescent="0.35">
      <c r="A60" s="50" t="s">
        <v>225</v>
      </c>
      <c r="B60" s="80">
        <f>SUM('Quarter supply'!AG60-'Quarter final consumption'!CB60)</f>
        <v>42948.159999999996</v>
      </c>
      <c r="C60" s="80">
        <f>SUM('Quarter supply'!AH60:AL60)</f>
        <v>39133.14</v>
      </c>
      <c r="D60" s="80">
        <f>SUM('Quarter final consumption'!CB60)</f>
        <v>2117.29</v>
      </c>
      <c r="E60" s="80">
        <f t="shared" si="0"/>
        <v>37015.85</v>
      </c>
      <c r="F60" s="80">
        <f>'Quarter supply'!O60+'Quarter supply'!W60</f>
        <v>202.84</v>
      </c>
      <c r="G60" s="80">
        <v>141.97</v>
      </c>
      <c r="H60" s="81">
        <f t="shared" si="1"/>
        <v>0.86187277871741197</v>
      </c>
      <c r="I60" s="85">
        <f t="shared" si="2"/>
        <v>0.13009870504347565</v>
      </c>
      <c r="J60" s="80">
        <f>SUM('Quarter supply'!AG60)</f>
        <v>45065.45</v>
      </c>
      <c r="K60" s="80">
        <f>SUM('Quarter supply'!H60)</f>
        <v>39495.649999999994</v>
      </c>
      <c r="L60" s="80">
        <f>SUM('Quarter supply'!P60)</f>
        <v>-19920.629999999997</v>
      </c>
      <c r="M60" s="83">
        <f t="shared" si="3"/>
        <v>19575.019999999997</v>
      </c>
      <c r="N60" s="80">
        <f>SUM('Quarter supply'!X60)</f>
        <v>-889.76</v>
      </c>
      <c r="O60" s="80">
        <f t="shared" si="4"/>
        <v>45955.21</v>
      </c>
      <c r="P60" s="85">
        <f t="shared" si="5"/>
        <v>0.42595866714568376</v>
      </c>
    </row>
    <row r="61" spans="1:16" x14ac:dyDescent="0.35">
      <c r="A61" s="50" t="s">
        <v>226</v>
      </c>
      <c r="B61" s="80">
        <f>SUM('Quarter supply'!AG61-'Quarter final consumption'!CB61)</f>
        <v>54762.200000000004</v>
      </c>
      <c r="C61" s="80">
        <f>SUM('Quarter supply'!AH61:AL61)</f>
        <v>50265.270000000004</v>
      </c>
      <c r="D61" s="80">
        <f>SUM('Quarter final consumption'!CB61)</f>
        <v>1767.08</v>
      </c>
      <c r="E61" s="80">
        <f t="shared" si="0"/>
        <v>48498.19</v>
      </c>
      <c r="F61" s="80">
        <f>'Quarter supply'!O61+'Quarter supply'!W61</f>
        <v>109.16</v>
      </c>
      <c r="G61" s="80">
        <v>141.97</v>
      </c>
      <c r="H61" s="81">
        <f t="shared" si="1"/>
        <v>0.8856143471226503</v>
      </c>
      <c r="I61" s="85">
        <f t="shared" si="2"/>
        <v>0.10979982542702804</v>
      </c>
      <c r="J61" s="80">
        <f>SUM('Quarter supply'!AG61)</f>
        <v>56529.280000000006</v>
      </c>
      <c r="K61" s="80">
        <f>SUM('Quarter supply'!H61)</f>
        <v>43882.59</v>
      </c>
      <c r="L61" s="80">
        <f>SUM('Quarter supply'!P61)</f>
        <v>-22380.16</v>
      </c>
      <c r="M61" s="83">
        <f t="shared" si="3"/>
        <v>21502.429999999997</v>
      </c>
      <c r="N61" s="80">
        <f>SUM('Quarter supply'!X61)</f>
        <v>-729.63</v>
      </c>
      <c r="O61" s="80">
        <f t="shared" si="4"/>
        <v>57258.91</v>
      </c>
      <c r="P61" s="85">
        <f t="shared" si="5"/>
        <v>0.37552985203525524</v>
      </c>
    </row>
    <row r="62" spans="1:16" x14ac:dyDescent="0.35">
      <c r="A62" s="50" t="s">
        <v>227</v>
      </c>
      <c r="B62" s="80">
        <f>SUM('Quarter supply'!AG62-'Quarter final consumption'!CB62)</f>
        <v>59269.440000000002</v>
      </c>
      <c r="C62" s="80">
        <f>SUM('Quarter supply'!AH62:AL62)</f>
        <v>54458.81</v>
      </c>
      <c r="D62" s="80">
        <f>SUM('Quarter final consumption'!CB62)</f>
        <v>1970.2699999999998</v>
      </c>
      <c r="E62" s="80">
        <f t="shared" si="0"/>
        <v>52488.54</v>
      </c>
      <c r="F62" s="80">
        <f>'Quarter supply'!O62+'Quarter supply'!W62</f>
        <v>170.91000000000003</v>
      </c>
      <c r="G62" s="80">
        <v>166.1</v>
      </c>
      <c r="H62" s="81">
        <f t="shared" si="1"/>
        <v>0.88559196779993199</v>
      </c>
      <c r="I62" s="85">
        <f t="shared" si="2"/>
        <v>0.10872196531635858</v>
      </c>
      <c r="J62" s="80">
        <f>SUM('Quarter supply'!AG62)</f>
        <v>61239.71</v>
      </c>
      <c r="K62" s="80">
        <f>SUM('Quarter supply'!H62)</f>
        <v>45620.41</v>
      </c>
      <c r="L62" s="80">
        <f>SUM('Quarter supply'!P62)</f>
        <v>-21040.41</v>
      </c>
      <c r="M62" s="83">
        <f t="shared" si="3"/>
        <v>24580.000000000004</v>
      </c>
      <c r="N62" s="80">
        <f>SUM('Quarter supply'!X62)</f>
        <v>-648.05999999999995</v>
      </c>
      <c r="O62" s="80">
        <f t="shared" si="4"/>
        <v>61887.77</v>
      </c>
      <c r="P62" s="85">
        <f t="shared" si="5"/>
        <v>0.39717055566875337</v>
      </c>
    </row>
    <row r="63" spans="1:16" x14ac:dyDescent="0.35">
      <c r="A63" s="50" t="s">
        <v>228</v>
      </c>
      <c r="B63" s="80">
        <f>SUM('Quarter supply'!AG63-'Quarter final consumption'!CB63)</f>
        <v>48270.380000000005</v>
      </c>
      <c r="C63" s="80">
        <f>SUM('Quarter supply'!AH63:AL63)</f>
        <v>43866.540000000008</v>
      </c>
      <c r="D63" s="80">
        <f>SUM('Quarter final consumption'!CB63)</f>
        <v>2057.6800000000003</v>
      </c>
      <c r="E63" s="80">
        <f t="shared" si="0"/>
        <v>41808.860000000008</v>
      </c>
      <c r="F63" s="80">
        <f>'Quarter supply'!O63+'Quarter supply'!W63</f>
        <v>268.52999999999997</v>
      </c>
      <c r="G63" s="80">
        <v>166.1</v>
      </c>
      <c r="H63" s="81">
        <f t="shared" si="1"/>
        <v>0.86613902770187434</v>
      </c>
      <c r="I63" s="85">
        <f t="shared" si="2"/>
        <v>0.12485689982138115</v>
      </c>
      <c r="J63" s="80">
        <f>SUM('Quarter supply'!AG63)</f>
        <v>50328.060000000005</v>
      </c>
      <c r="K63" s="80">
        <f>SUM('Quarter supply'!H63)</f>
        <v>43241.42</v>
      </c>
      <c r="L63" s="80">
        <f>SUM('Quarter supply'!P63)</f>
        <v>-21320.21</v>
      </c>
      <c r="M63" s="83">
        <f t="shared" si="3"/>
        <v>21921.21</v>
      </c>
      <c r="N63" s="80">
        <f>SUM('Quarter supply'!X63)</f>
        <v>-680.88</v>
      </c>
      <c r="O63" s="80">
        <f t="shared" si="4"/>
        <v>51008.94</v>
      </c>
      <c r="P63" s="85">
        <f t="shared" si="5"/>
        <v>0.42975231400613301</v>
      </c>
    </row>
    <row r="64" spans="1:16" x14ac:dyDescent="0.35">
      <c r="A64" s="50" t="s">
        <v>229</v>
      </c>
      <c r="B64" s="80">
        <f>SUM('Quarter supply'!AG64-'Quarter final consumption'!CB64)</f>
        <v>43573.29</v>
      </c>
      <c r="C64" s="80">
        <f>SUM('Quarter supply'!AH64:AL64)</f>
        <v>38851.509999999995</v>
      </c>
      <c r="D64" s="80">
        <f>SUM('Quarter final consumption'!CB64)</f>
        <v>1740.52</v>
      </c>
      <c r="E64" s="80">
        <f t="shared" si="0"/>
        <v>37110.99</v>
      </c>
      <c r="F64" s="80">
        <f>'Quarter supply'!O64+'Quarter supply'!W64</f>
        <v>348.8</v>
      </c>
      <c r="G64" s="80">
        <v>166.1</v>
      </c>
      <c r="H64" s="81">
        <f t="shared" si="1"/>
        <v>0.85169125397692025</v>
      </c>
      <c r="I64" s="85">
        <f t="shared" si="2"/>
        <v>0.13649187380617811</v>
      </c>
      <c r="J64" s="80">
        <f>SUM('Quarter supply'!AG64)</f>
        <v>45313.81</v>
      </c>
      <c r="K64" s="80">
        <f>SUM('Quarter supply'!H64)</f>
        <v>40695.54</v>
      </c>
      <c r="L64" s="80">
        <f>SUM('Quarter supply'!P64)</f>
        <v>-20215.349999999999</v>
      </c>
      <c r="M64" s="83">
        <f t="shared" si="3"/>
        <v>20480.190000000002</v>
      </c>
      <c r="N64" s="80">
        <f>SUM('Quarter supply'!X64)</f>
        <v>-738.02</v>
      </c>
      <c r="O64" s="80">
        <f t="shared" si="4"/>
        <v>46051.829999999994</v>
      </c>
      <c r="P64" s="85">
        <f t="shared" si="5"/>
        <v>0.44472043781973497</v>
      </c>
    </row>
    <row r="65" spans="1:16" x14ac:dyDescent="0.35">
      <c r="A65" s="50" t="s">
        <v>230</v>
      </c>
      <c r="B65" s="80">
        <f>SUM('Quarter supply'!AG65-'Quarter final consumption'!CB65)</f>
        <v>57502.57</v>
      </c>
      <c r="C65" s="80">
        <f>SUM('Quarter supply'!AH65:AL65)</f>
        <v>52151.77</v>
      </c>
      <c r="D65" s="80">
        <f>SUM('Quarter final consumption'!CB65)</f>
        <v>1551.07</v>
      </c>
      <c r="E65" s="80">
        <f t="shared" si="0"/>
        <v>50600.7</v>
      </c>
      <c r="F65" s="80">
        <f>'Quarter supply'!O65+'Quarter supply'!W65</f>
        <v>231.87</v>
      </c>
      <c r="G65" s="80">
        <v>166.1</v>
      </c>
      <c r="H65" s="81">
        <f t="shared" si="1"/>
        <v>0.87997284295293232</v>
      </c>
      <c r="I65" s="85">
        <f t="shared" si="2"/>
        <v>0.11310624899026256</v>
      </c>
      <c r="J65" s="80">
        <f>SUM('Quarter supply'!AG65)</f>
        <v>59053.64</v>
      </c>
      <c r="K65" s="80">
        <f>SUM('Quarter supply'!H65)</f>
        <v>46817.399999999994</v>
      </c>
      <c r="L65" s="80">
        <f>SUM('Quarter supply'!P65)</f>
        <v>-17618.41</v>
      </c>
      <c r="M65" s="83">
        <f t="shared" si="3"/>
        <v>29198.989999999994</v>
      </c>
      <c r="N65" s="80">
        <f>SUM('Quarter supply'!X65)</f>
        <v>-740.75</v>
      </c>
      <c r="O65" s="80">
        <f t="shared" si="4"/>
        <v>59794.39</v>
      </c>
      <c r="P65" s="85">
        <f t="shared" si="5"/>
        <v>0.48832323567478481</v>
      </c>
    </row>
    <row r="66" spans="1:16" x14ac:dyDescent="0.35">
      <c r="A66" s="50" t="s">
        <v>231</v>
      </c>
      <c r="B66" s="80">
        <f>SUM('Quarter supply'!AG66-'Quarter final consumption'!CB66)</f>
        <v>61700.779999999992</v>
      </c>
      <c r="C66" s="80">
        <f>SUM('Quarter supply'!AH66:AL66)</f>
        <v>56054.81</v>
      </c>
      <c r="D66" s="80">
        <f>SUM('Quarter final consumption'!CB66)</f>
        <v>1705</v>
      </c>
      <c r="E66" s="80">
        <f t="shared" si="0"/>
        <v>54349.81</v>
      </c>
      <c r="F66" s="80">
        <f>'Quarter supply'!O66+'Quarter supply'!W66</f>
        <v>241.95</v>
      </c>
      <c r="G66" s="80">
        <v>166.95</v>
      </c>
      <c r="H66" s="81">
        <f t="shared" si="1"/>
        <v>0.88086098749480968</v>
      </c>
      <c r="I66" s="85">
        <f t="shared" si="2"/>
        <v>0.11251186775920829</v>
      </c>
      <c r="J66" s="80">
        <f>SUM('Quarter supply'!AG66)</f>
        <v>63405.779999999992</v>
      </c>
      <c r="K66" s="80">
        <f>SUM('Quarter supply'!H66)</f>
        <v>47367.09</v>
      </c>
      <c r="L66" s="80">
        <f>SUM('Quarter supply'!P66)</f>
        <v>-19276.13</v>
      </c>
      <c r="M66" s="83">
        <f t="shared" si="3"/>
        <v>28090.959999999995</v>
      </c>
      <c r="N66" s="80">
        <f>SUM('Quarter supply'!X66)</f>
        <v>-669.87</v>
      </c>
      <c r="O66" s="80">
        <f t="shared" si="4"/>
        <v>64075.649999999994</v>
      </c>
      <c r="P66" s="85">
        <f t="shared" si="5"/>
        <v>0.43840304390201268</v>
      </c>
    </row>
    <row r="67" spans="1:16" x14ac:dyDescent="0.35">
      <c r="A67" s="50" t="s">
        <v>232</v>
      </c>
      <c r="B67" s="80">
        <f>SUM('Quarter supply'!AG67-'Quarter final consumption'!CB67)</f>
        <v>48216.319999999992</v>
      </c>
      <c r="C67" s="80">
        <f>SUM('Quarter supply'!AH67:AL67)</f>
        <v>43456.069999999992</v>
      </c>
      <c r="D67" s="80">
        <f>SUM('Quarter final consumption'!CB67)</f>
        <v>1913.54</v>
      </c>
      <c r="E67" s="80">
        <f t="shared" si="0"/>
        <v>41542.529999999992</v>
      </c>
      <c r="F67" s="80">
        <f>'Quarter supply'!O67+'Quarter supply'!W67</f>
        <v>306.44</v>
      </c>
      <c r="G67" s="80">
        <v>166.95</v>
      </c>
      <c r="H67" s="81">
        <f t="shared" si="1"/>
        <v>0.86158649187660941</v>
      </c>
      <c r="I67" s="85">
        <f t="shared" si="2"/>
        <v>0.1285954631129046</v>
      </c>
      <c r="J67" s="80">
        <f>SUM('Quarter supply'!AG67)</f>
        <v>50129.859999999993</v>
      </c>
      <c r="K67" s="80">
        <f>SUM('Quarter supply'!H67)</f>
        <v>47425.68</v>
      </c>
      <c r="L67" s="80">
        <f>SUM('Quarter supply'!P67)</f>
        <v>-20608.989999999998</v>
      </c>
      <c r="M67" s="83">
        <f t="shared" si="3"/>
        <v>26816.690000000002</v>
      </c>
      <c r="N67" s="80">
        <f>SUM('Quarter supply'!X67)</f>
        <v>-870.73</v>
      </c>
      <c r="O67" s="80">
        <f t="shared" si="4"/>
        <v>51000.59</v>
      </c>
      <c r="P67" s="85">
        <f t="shared" si="5"/>
        <v>0.52581136806456563</v>
      </c>
    </row>
    <row r="68" spans="1:16" x14ac:dyDescent="0.35">
      <c r="A68" s="50" t="s">
        <v>233</v>
      </c>
      <c r="B68" s="80">
        <f>SUM('Quarter supply'!AG68-'Quarter final consumption'!CB68)</f>
        <v>42745.89</v>
      </c>
      <c r="C68" s="80">
        <f>SUM('Quarter supply'!AH68:AL68)</f>
        <v>37558.76</v>
      </c>
      <c r="D68" s="80">
        <f>SUM('Quarter final consumption'!CB68)</f>
        <v>1828.9499999999998</v>
      </c>
      <c r="E68" s="80">
        <f t="shared" si="0"/>
        <v>35729.810000000005</v>
      </c>
      <c r="F68" s="80">
        <f>'Quarter supply'!O68+'Quarter supply'!W68</f>
        <v>400.14</v>
      </c>
      <c r="G68" s="80">
        <v>166.95</v>
      </c>
      <c r="H68" s="81">
        <f t="shared" si="1"/>
        <v>0.8358653896316115</v>
      </c>
      <c r="I68" s="85">
        <f t="shared" si="2"/>
        <v>0.15086807176081718</v>
      </c>
      <c r="J68" s="80">
        <f>SUM('Quarter supply'!AG68)</f>
        <v>44574.84</v>
      </c>
      <c r="K68" s="80">
        <f>SUM('Quarter supply'!H68)</f>
        <v>40744.230000000003</v>
      </c>
      <c r="L68" s="80">
        <f>SUM('Quarter supply'!P68)</f>
        <v>-18200.260000000002</v>
      </c>
      <c r="M68" s="83">
        <f t="shared" si="3"/>
        <v>22543.97</v>
      </c>
      <c r="N68" s="80">
        <f>SUM('Quarter supply'!X68)</f>
        <v>-712.1</v>
      </c>
      <c r="O68" s="80">
        <f t="shared" si="4"/>
        <v>45286.939999999995</v>
      </c>
      <c r="P68" s="85">
        <f t="shared" si="5"/>
        <v>0.49780289858400684</v>
      </c>
    </row>
    <row r="69" spans="1:16" x14ac:dyDescent="0.35">
      <c r="A69" s="50" t="s">
        <v>234</v>
      </c>
      <c r="B69" s="80">
        <f>SUM('Quarter supply'!AG69-'Quarter final consumption'!CB69)</f>
        <v>54785.80000000001</v>
      </c>
      <c r="C69" s="80">
        <f>SUM('Quarter supply'!AH69:AL69)</f>
        <v>48541.920000000006</v>
      </c>
      <c r="D69" s="80">
        <f>SUM('Quarter final consumption'!CB69)</f>
        <v>1523.02</v>
      </c>
      <c r="E69" s="80">
        <f t="shared" si="0"/>
        <v>47018.900000000009</v>
      </c>
      <c r="F69" s="80">
        <f>'Quarter supply'!O69+'Quarter supply'!W69</f>
        <v>292.29999999999995</v>
      </c>
      <c r="G69" s="80">
        <v>166.95</v>
      </c>
      <c r="H69" s="81">
        <f t="shared" si="1"/>
        <v>0.85823151254522156</v>
      </c>
      <c r="I69" s="85">
        <f t="shared" si="2"/>
        <v>0.13338584085657235</v>
      </c>
      <c r="J69" s="80">
        <f>SUM('Quarter supply'!AG69)</f>
        <v>56308.820000000007</v>
      </c>
      <c r="K69" s="80">
        <f>SUM('Quarter supply'!H69)</f>
        <v>45163.600000000006</v>
      </c>
      <c r="L69" s="80">
        <f>SUM('Quarter supply'!P69)</f>
        <v>-17881.89</v>
      </c>
      <c r="M69" s="83">
        <f t="shared" si="3"/>
        <v>27281.710000000006</v>
      </c>
      <c r="N69" s="80">
        <f>SUM('Quarter supply'!X69)</f>
        <v>-630.27</v>
      </c>
      <c r="O69" s="80">
        <f t="shared" si="4"/>
        <v>56939.090000000004</v>
      </c>
      <c r="P69" s="85">
        <f t="shared" si="5"/>
        <v>0.47913849694471766</v>
      </c>
    </row>
    <row r="70" spans="1:16" x14ac:dyDescent="0.35">
      <c r="A70" s="50" t="s">
        <v>235</v>
      </c>
      <c r="B70" s="80">
        <f>SUM('Quarter supply'!AG70-'Quarter final consumption'!CB70)</f>
        <v>55880.83</v>
      </c>
      <c r="C70" s="80">
        <f>SUM('Quarter supply'!AH70:AL70)</f>
        <v>49733.46</v>
      </c>
      <c r="D70" s="80">
        <f>SUM('Quarter final consumption'!CB70)</f>
        <v>1669.99</v>
      </c>
      <c r="E70" s="80">
        <f t="shared" si="0"/>
        <v>48063.47</v>
      </c>
      <c r="F70" s="80">
        <f>'Quarter supply'!O70+'Quarter supply'!W70</f>
        <v>420.66</v>
      </c>
      <c r="G70" s="80">
        <v>211.71</v>
      </c>
      <c r="H70" s="81">
        <f t="shared" si="1"/>
        <v>0.86010658753636982</v>
      </c>
      <c r="I70" s="85">
        <f t="shared" si="2"/>
        <v>0.12857700932502247</v>
      </c>
      <c r="J70" s="80">
        <f>SUM('Quarter supply'!AG70)</f>
        <v>57550.82</v>
      </c>
      <c r="K70" s="80">
        <f>SUM('Quarter supply'!H70)</f>
        <v>44014.30000000001</v>
      </c>
      <c r="L70" s="80">
        <f>SUM('Quarter supply'!P70)</f>
        <v>-17952.440000000002</v>
      </c>
      <c r="M70" s="83">
        <f t="shared" si="3"/>
        <v>26061.860000000008</v>
      </c>
      <c r="N70" s="80">
        <f>SUM('Quarter supply'!X70)</f>
        <v>-660.16</v>
      </c>
      <c r="O70" s="80">
        <f t="shared" si="4"/>
        <v>58210.98</v>
      </c>
      <c r="P70" s="85">
        <f t="shared" si="5"/>
        <v>0.44771381619069128</v>
      </c>
    </row>
    <row r="71" spans="1:16" x14ac:dyDescent="0.35">
      <c r="A71" s="50" t="s">
        <v>236</v>
      </c>
      <c r="B71" s="80">
        <f>SUM('Quarter supply'!AG71-'Quarter final consumption'!CB71)</f>
        <v>44417.7</v>
      </c>
      <c r="C71" s="80">
        <f>SUM('Quarter supply'!AH71:AL71)</f>
        <v>38959.56</v>
      </c>
      <c r="D71" s="80">
        <f>SUM('Quarter final consumption'!CB71)</f>
        <v>1884.26</v>
      </c>
      <c r="E71" s="80">
        <f t="shared" si="0"/>
        <v>37075.299999999996</v>
      </c>
      <c r="F71" s="80">
        <f>'Quarter supply'!O71+'Quarter supply'!W71</f>
        <v>436.46999999999997</v>
      </c>
      <c r="G71" s="80">
        <v>211.71</v>
      </c>
      <c r="H71" s="81">
        <f t="shared" si="1"/>
        <v>0.83469652863610677</v>
      </c>
      <c r="I71" s="85">
        <f t="shared" si="2"/>
        <v>0.15071064012769686</v>
      </c>
      <c r="J71" s="80">
        <f>SUM('Quarter supply'!AG71)</f>
        <v>46301.96</v>
      </c>
      <c r="K71" s="80">
        <f>SUM('Quarter supply'!H71)</f>
        <v>39890.9</v>
      </c>
      <c r="L71" s="80">
        <f>SUM('Quarter supply'!P71)</f>
        <v>-18327.48</v>
      </c>
      <c r="M71" s="83">
        <f t="shared" si="3"/>
        <v>21563.420000000002</v>
      </c>
      <c r="N71" s="80">
        <f>SUM('Quarter supply'!X71)</f>
        <v>-597.49</v>
      </c>
      <c r="O71" s="80">
        <f t="shared" si="4"/>
        <v>46899.45</v>
      </c>
      <c r="P71" s="85">
        <f t="shared" si="5"/>
        <v>0.45977980552010744</v>
      </c>
    </row>
    <row r="72" spans="1:16" x14ac:dyDescent="0.35">
      <c r="A72" s="50" t="s">
        <v>237</v>
      </c>
      <c r="B72" s="80">
        <f>SUM('Quarter supply'!AG72-'Quarter final consumption'!CB72)</f>
        <v>41295.19</v>
      </c>
      <c r="C72" s="80">
        <f>SUM('Quarter supply'!AH72:AL72)</f>
        <v>35945.18</v>
      </c>
      <c r="D72" s="80">
        <f>SUM('Quarter final consumption'!CB72)</f>
        <v>1597.46</v>
      </c>
      <c r="E72" s="80">
        <f t="shared" ref="E72:E95" si="6">SUM(C72-D72)</f>
        <v>34347.72</v>
      </c>
      <c r="F72" s="80">
        <f>'Quarter supply'!O72+'Quarter supply'!W72</f>
        <v>467.11</v>
      </c>
      <c r="G72" s="80">
        <v>211.71</v>
      </c>
      <c r="H72" s="81">
        <f t="shared" ref="H72:H95" si="7">SUM(E72/B72)</f>
        <v>0.83176079344834108</v>
      </c>
      <c r="I72" s="85">
        <f t="shared" ref="I72:I95" si="8">IF((F72+G72)&gt;0,1-(E72+F72+G72)/B72,1-H72)</f>
        <v>0.15180097246192603</v>
      </c>
      <c r="J72" s="80">
        <f>SUM('Quarter supply'!AG72)</f>
        <v>42892.65</v>
      </c>
      <c r="K72" s="80">
        <f>SUM('Quarter supply'!H72)</f>
        <v>38985.449999999997</v>
      </c>
      <c r="L72" s="80">
        <f>SUM('Quarter supply'!P72)</f>
        <v>-16950.72</v>
      </c>
      <c r="M72" s="83">
        <f t="shared" ref="M72:M95" si="9">SUM(L72+K72)</f>
        <v>22034.729999999996</v>
      </c>
      <c r="N72" s="80">
        <f>SUM('Quarter supply'!X72)</f>
        <v>-740.36</v>
      </c>
      <c r="O72" s="80">
        <f t="shared" ref="O72:O95" si="10">SUM(J72-N72)</f>
        <v>43633.01</v>
      </c>
      <c r="P72" s="85">
        <f t="shared" ref="P72:P95" si="11">SUM(M72/O72)</f>
        <v>0.50500137395976108</v>
      </c>
    </row>
    <row r="73" spans="1:16" x14ac:dyDescent="0.35">
      <c r="A73" s="50" t="s">
        <v>238</v>
      </c>
      <c r="B73" s="80">
        <f>SUM('Quarter supply'!AG73-'Quarter final consumption'!CB73)</f>
        <v>52777.05</v>
      </c>
      <c r="C73" s="80">
        <f>SUM('Quarter supply'!AH73:AL73)</f>
        <v>46782.62</v>
      </c>
      <c r="D73" s="80">
        <f>SUM('Quarter final consumption'!CB73)</f>
        <v>1827.21</v>
      </c>
      <c r="E73" s="80">
        <f t="shared" si="6"/>
        <v>44955.41</v>
      </c>
      <c r="F73" s="80">
        <f>'Quarter supply'!O73+'Quarter supply'!W73</f>
        <v>440.15</v>
      </c>
      <c r="G73" s="80">
        <v>211.71</v>
      </c>
      <c r="H73" s="81">
        <f t="shared" si="7"/>
        <v>0.85179846164194473</v>
      </c>
      <c r="I73" s="85">
        <f t="shared" si="8"/>
        <v>0.1358503364625343</v>
      </c>
      <c r="J73" s="80">
        <f>SUM('Quarter supply'!AG73)</f>
        <v>54604.26</v>
      </c>
      <c r="K73" s="80">
        <f>SUM('Quarter supply'!H73)</f>
        <v>43816.659999999996</v>
      </c>
      <c r="L73" s="80">
        <f>SUM('Quarter supply'!P73)</f>
        <v>-17427.189999999999</v>
      </c>
      <c r="M73" s="83">
        <f t="shared" si="9"/>
        <v>26389.469999999998</v>
      </c>
      <c r="N73" s="80">
        <f>SUM('Quarter supply'!X73)</f>
        <v>-812.16</v>
      </c>
      <c r="O73" s="80">
        <f t="shared" si="10"/>
        <v>55416.420000000006</v>
      </c>
      <c r="P73" s="85">
        <f t="shared" si="11"/>
        <v>0.47620308204680117</v>
      </c>
    </row>
    <row r="74" spans="1:16" x14ac:dyDescent="0.35">
      <c r="A74" s="50" t="s">
        <v>239</v>
      </c>
      <c r="B74" s="80">
        <f>SUM('Quarter supply'!AG74-'Quarter final consumption'!CB74)</f>
        <v>58314.700000000004</v>
      </c>
      <c r="C74" s="80">
        <f>SUM('Quarter supply'!AH74:AL74)</f>
        <v>51155.240000000005</v>
      </c>
      <c r="D74" s="80">
        <f>SUM('Quarter final consumption'!CB74)</f>
        <v>1925.88</v>
      </c>
      <c r="E74" s="80">
        <f t="shared" si="6"/>
        <v>49229.360000000008</v>
      </c>
      <c r="F74" s="80">
        <f>'Quarter supply'!O74+'Quarter supply'!W74</f>
        <v>426.46999999999997</v>
      </c>
      <c r="G74" s="80">
        <v>262.24</v>
      </c>
      <c r="H74" s="81">
        <f t="shared" si="7"/>
        <v>0.84420154780870016</v>
      </c>
      <c r="I74" s="85">
        <f t="shared" si="8"/>
        <v>0.14398822252365173</v>
      </c>
      <c r="J74" s="80">
        <f>SUM('Quarter supply'!AG74)</f>
        <v>60240.58</v>
      </c>
      <c r="K74" s="80">
        <f>SUM('Quarter supply'!H74)</f>
        <v>42940.79</v>
      </c>
      <c r="L74" s="80">
        <f>SUM('Quarter supply'!P74)</f>
        <v>-16861.809999999998</v>
      </c>
      <c r="M74" s="83">
        <f t="shared" si="9"/>
        <v>26078.980000000003</v>
      </c>
      <c r="N74" s="80">
        <f>SUM('Quarter supply'!X74)</f>
        <v>-591.52</v>
      </c>
      <c r="O74" s="80">
        <f t="shared" si="10"/>
        <v>60832.1</v>
      </c>
      <c r="P74" s="85">
        <f t="shared" si="11"/>
        <v>0.42870425318211935</v>
      </c>
    </row>
    <row r="75" spans="1:16" x14ac:dyDescent="0.35">
      <c r="A75" s="50" t="s">
        <v>240</v>
      </c>
      <c r="B75" s="80">
        <f>SUM('Quarter supply'!AG75-'Quarter final consumption'!CB75)</f>
        <v>44827.62999999999</v>
      </c>
      <c r="C75" s="80">
        <f>SUM('Quarter supply'!AH75:AL75)</f>
        <v>38682.399999999994</v>
      </c>
      <c r="D75" s="80">
        <f>SUM('Quarter final consumption'!CB75)</f>
        <v>1963.1899999999998</v>
      </c>
      <c r="E75" s="80">
        <f t="shared" si="6"/>
        <v>36719.209999999992</v>
      </c>
      <c r="F75" s="80">
        <f>'Quarter supply'!O75+'Quarter supply'!W75</f>
        <v>481.58999999999992</v>
      </c>
      <c r="G75" s="80">
        <v>262.24</v>
      </c>
      <c r="H75" s="81">
        <f t="shared" si="7"/>
        <v>0.81912003824427038</v>
      </c>
      <c r="I75" s="85">
        <f t="shared" si="8"/>
        <v>0.16428684719669551</v>
      </c>
      <c r="J75" s="80">
        <f>SUM('Quarter supply'!AG75)</f>
        <v>46790.819999999992</v>
      </c>
      <c r="K75" s="80">
        <f>SUM('Quarter supply'!H75)</f>
        <v>35941.620000000003</v>
      </c>
      <c r="L75" s="80">
        <f>SUM('Quarter supply'!P75)</f>
        <v>-19319.400000000001</v>
      </c>
      <c r="M75" s="83">
        <f t="shared" si="9"/>
        <v>16622.22</v>
      </c>
      <c r="N75" s="80">
        <f>SUM('Quarter supply'!X75)</f>
        <v>-747.35</v>
      </c>
      <c r="O75" s="80">
        <f t="shared" si="10"/>
        <v>47538.169999999991</v>
      </c>
      <c r="P75" s="85">
        <f t="shared" si="11"/>
        <v>0.34966049387260817</v>
      </c>
    </row>
    <row r="76" spans="1:16" x14ac:dyDescent="0.35">
      <c r="A76" s="50" t="s">
        <v>241</v>
      </c>
      <c r="B76" s="80">
        <f>SUM('Quarter supply'!AG76-'Quarter final consumption'!CB76)</f>
        <v>41028.610000000008</v>
      </c>
      <c r="C76" s="80">
        <f>SUM('Quarter supply'!AH76:AL76)</f>
        <v>35221.710000000006</v>
      </c>
      <c r="D76" s="80">
        <f>SUM('Quarter final consumption'!CB76)</f>
        <v>1956.18</v>
      </c>
      <c r="E76" s="80">
        <f t="shared" si="6"/>
        <v>33265.530000000006</v>
      </c>
      <c r="F76" s="80">
        <f>'Quarter supply'!O76+'Quarter supply'!W76</f>
        <v>509.29000000000008</v>
      </c>
      <c r="G76" s="80">
        <v>262.24</v>
      </c>
      <c r="H76" s="81">
        <f t="shared" si="7"/>
        <v>0.81078861799120172</v>
      </c>
      <c r="I76" s="85">
        <f t="shared" si="8"/>
        <v>0.17040669913019235</v>
      </c>
      <c r="J76" s="80">
        <f>SUM('Quarter supply'!AG76)</f>
        <v>42984.790000000008</v>
      </c>
      <c r="K76" s="80">
        <f>SUM('Quarter supply'!H76)</f>
        <v>36194.32</v>
      </c>
      <c r="L76" s="80">
        <f>SUM('Quarter supply'!P76)</f>
        <v>-20119.169999999995</v>
      </c>
      <c r="M76" s="83">
        <f t="shared" si="9"/>
        <v>16075.150000000005</v>
      </c>
      <c r="N76" s="80">
        <f>SUM('Quarter supply'!X76)</f>
        <v>-733.61</v>
      </c>
      <c r="O76" s="80">
        <f t="shared" si="10"/>
        <v>43718.400000000009</v>
      </c>
      <c r="P76" s="85">
        <f t="shared" si="11"/>
        <v>0.3676975827111697</v>
      </c>
    </row>
    <row r="77" spans="1:16" x14ac:dyDescent="0.35">
      <c r="A77" s="50" t="s">
        <v>242</v>
      </c>
      <c r="B77" s="80">
        <f>SUM('Quarter supply'!AG77-'Quarter final consumption'!CB77)</f>
        <v>50535.81</v>
      </c>
      <c r="C77" s="80">
        <f>SUM('Quarter supply'!AH77:AL77)</f>
        <v>43591.770000000004</v>
      </c>
      <c r="D77" s="80">
        <f>SUM('Quarter final consumption'!CB77)</f>
        <v>2483.37</v>
      </c>
      <c r="E77" s="80">
        <f t="shared" si="6"/>
        <v>41108.400000000001</v>
      </c>
      <c r="F77" s="80">
        <f>'Quarter supply'!O77+'Quarter supply'!W77</f>
        <v>397.39</v>
      </c>
      <c r="G77" s="80">
        <v>262.24</v>
      </c>
      <c r="H77" s="81">
        <f t="shared" si="7"/>
        <v>0.81345089749229316</v>
      </c>
      <c r="I77" s="85">
        <f t="shared" si="8"/>
        <v>0.17349637811286689</v>
      </c>
      <c r="J77" s="80">
        <f>SUM('Quarter supply'!AG77)</f>
        <v>53019.18</v>
      </c>
      <c r="K77" s="80">
        <f>SUM('Quarter supply'!H77)</f>
        <v>39931.29</v>
      </c>
      <c r="L77" s="80">
        <f>SUM('Quarter supply'!P77)</f>
        <v>-19901.690000000002</v>
      </c>
      <c r="M77" s="83">
        <f t="shared" si="9"/>
        <v>20029.599999999999</v>
      </c>
      <c r="N77" s="80">
        <f>SUM('Quarter supply'!X77)</f>
        <v>-611.11</v>
      </c>
      <c r="O77" s="80">
        <f t="shared" si="10"/>
        <v>53630.29</v>
      </c>
      <c r="P77" s="85">
        <f t="shared" si="11"/>
        <v>0.37347551169311222</v>
      </c>
    </row>
    <row r="78" spans="1:16" x14ac:dyDescent="0.35">
      <c r="A78" s="50" t="s">
        <v>243</v>
      </c>
      <c r="B78" s="80">
        <f>SUM('Quarter supply'!AG78-'Quarter final consumption'!CB78)</f>
        <v>54876.94</v>
      </c>
      <c r="C78" s="80">
        <f>SUM('Quarter supply'!AH78:AL78)</f>
        <v>47528.23</v>
      </c>
      <c r="D78" s="80">
        <f>SUM('Quarter final consumption'!CB78)</f>
        <v>2098.04</v>
      </c>
      <c r="E78" s="80">
        <f t="shared" si="6"/>
        <v>45430.19</v>
      </c>
      <c r="F78" s="80">
        <f>'Quarter supply'!O78+'Quarter supply'!W78</f>
        <v>518.93999999999994</v>
      </c>
      <c r="G78" s="80">
        <v>316.93</v>
      </c>
      <c r="H78" s="81">
        <f t="shared" si="7"/>
        <v>0.82785574414316832</v>
      </c>
      <c r="I78" s="85">
        <f t="shared" si="8"/>
        <v>0.15691253921957016</v>
      </c>
      <c r="J78" s="80">
        <f>SUM('Quarter supply'!AG78)</f>
        <v>56974.98</v>
      </c>
      <c r="K78" s="80">
        <f>SUM('Quarter supply'!H78)</f>
        <v>38794.400000000001</v>
      </c>
      <c r="L78" s="80">
        <f>SUM('Quarter supply'!P78)</f>
        <v>-19432.579999999994</v>
      </c>
      <c r="M78" s="83">
        <f t="shared" si="9"/>
        <v>19361.820000000007</v>
      </c>
      <c r="N78" s="80">
        <f>SUM('Quarter supply'!X78)</f>
        <v>-573.87</v>
      </c>
      <c r="O78" s="80">
        <f t="shared" si="10"/>
        <v>57548.850000000006</v>
      </c>
      <c r="P78" s="85">
        <f t="shared" si="11"/>
        <v>0.33644147537266172</v>
      </c>
    </row>
    <row r="79" spans="1:16" x14ac:dyDescent="0.35">
      <c r="A79" s="50" t="s">
        <v>244</v>
      </c>
      <c r="B79" s="80">
        <f>SUM('Quarter supply'!AG79-'Quarter final consumption'!CB79)</f>
        <v>44057.81</v>
      </c>
      <c r="C79" s="80">
        <f>SUM('Quarter supply'!AH79:AL79)</f>
        <v>37843.120000000003</v>
      </c>
      <c r="D79" s="80">
        <f>SUM('Quarter final consumption'!CB79)</f>
        <v>2135.21</v>
      </c>
      <c r="E79" s="80">
        <f t="shared" si="6"/>
        <v>35707.910000000003</v>
      </c>
      <c r="F79" s="80">
        <f>'Quarter supply'!O79+'Quarter supply'!W79</f>
        <v>460.64000000000004</v>
      </c>
      <c r="G79" s="80">
        <v>316.93</v>
      </c>
      <c r="H79" s="81">
        <f t="shared" si="7"/>
        <v>0.810478550794967</v>
      </c>
      <c r="I79" s="85">
        <f t="shared" si="8"/>
        <v>0.17187259194226845</v>
      </c>
      <c r="J79" s="80">
        <f>SUM('Quarter supply'!AG79)</f>
        <v>46193.02</v>
      </c>
      <c r="K79" s="80">
        <f>SUM('Quarter supply'!H79)</f>
        <v>35665.01</v>
      </c>
      <c r="L79" s="80">
        <f>SUM('Quarter supply'!P79)</f>
        <v>-18208.560000000001</v>
      </c>
      <c r="M79" s="83">
        <f t="shared" si="9"/>
        <v>17456.45</v>
      </c>
      <c r="N79" s="80">
        <f>SUM('Quarter supply'!X79)</f>
        <v>-776.63</v>
      </c>
      <c r="O79" s="80">
        <f t="shared" si="10"/>
        <v>46969.649999999994</v>
      </c>
      <c r="P79" s="85">
        <f t="shared" si="11"/>
        <v>0.37165382326672658</v>
      </c>
    </row>
    <row r="80" spans="1:16" x14ac:dyDescent="0.35">
      <c r="A80" s="50" t="s">
        <v>245</v>
      </c>
      <c r="B80" s="80">
        <f>SUM('Quarter supply'!AG80-'Quarter final consumption'!CB80)</f>
        <v>39626.81</v>
      </c>
      <c r="C80" s="80">
        <f>SUM('Quarter supply'!AH80:AL80)</f>
        <v>33419.79</v>
      </c>
      <c r="D80" s="80">
        <f>SUM('Quarter final consumption'!CB80)</f>
        <v>2104.37</v>
      </c>
      <c r="E80" s="80">
        <f t="shared" si="6"/>
        <v>31315.420000000002</v>
      </c>
      <c r="F80" s="80">
        <f>'Quarter supply'!O80+'Quarter supply'!W80</f>
        <v>407.98999999999995</v>
      </c>
      <c r="G80" s="80">
        <v>316.93</v>
      </c>
      <c r="H80" s="81">
        <f t="shared" si="7"/>
        <v>0.79025841343272407</v>
      </c>
      <c r="I80" s="85">
        <f t="shared" si="8"/>
        <v>0.19144791114904269</v>
      </c>
      <c r="J80" s="80">
        <f>SUM('Quarter supply'!AG80)</f>
        <v>41731.18</v>
      </c>
      <c r="K80" s="80">
        <f>SUM('Quarter supply'!H80)</f>
        <v>33190.379999999997</v>
      </c>
      <c r="L80" s="80">
        <f>SUM('Quarter supply'!P80)</f>
        <v>-20588.89</v>
      </c>
      <c r="M80" s="83">
        <f t="shared" si="9"/>
        <v>12601.489999999998</v>
      </c>
      <c r="N80" s="80">
        <f>SUM('Quarter supply'!X80)</f>
        <v>-815.51</v>
      </c>
      <c r="O80" s="80">
        <f t="shared" si="10"/>
        <v>42546.69</v>
      </c>
      <c r="P80" s="85">
        <f t="shared" si="11"/>
        <v>0.29618026690207855</v>
      </c>
    </row>
    <row r="81" spans="1:16" x14ac:dyDescent="0.35">
      <c r="A81" s="50" t="s">
        <v>246</v>
      </c>
      <c r="B81" s="80">
        <f>SUM('Quarter supply'!AG81-'Quarter final consumption'!CB81)</f>
        <v>52846.239999999998</v>
      </c>
      <c r="C81" s="80">
        <f>SUM('Quarter supply'!AH81:AL81)</f>
        <v>45955.94</v>
      </c>
      <c r="D81" s="80">
        <f>SUM('Quarter final consumption'!CB81)</f>
        <v>1993.72</v>
      </c>
      <c r="E81" s="80">
        <f t="shared" si="6"/>
        <v>43962.22</v>
      </c>
      <c r="F81" s="80">
        <f>'Quarter supply'!O81+'Quarter supply'!W81</f>
        <v>138.23000000000002</v>
      </c>
      <c r="G81" s="80">
        <v>316.93</v>
      </c>
      <c r="H81" s="81">
        <f t="shared" si="7"/>
        <v>0.83188926970017174</v>
      </c>
      <c r="I81" s="85">
        <f t="shared" si="8"/>
        <v>0.15949781857706424</v>
      </c>
      <c r="J81" s="80">
        <f>SUM('Quarter supply'!AG81)</f>
        <v>54839.96</v>
      </c>
      <c r="K81" s="80">
        <f>SUM('Quarter supply'!H81)</f>
        <v>41454</v>
      </c>
      <c r="L81" s="80">
        <f>SUM('Quarter supply'!P81)</f>
        <v>-17684.89</v>
      </c>
      <c r="M81" s="83">
        <f t="shared" si="9"/>
        <v>23769.11</v>
      </c>
      <c r="N81" s="80">
        <f>SUM('Quarter supply'!X81)</f>
        <v>-674.44</v>
      </c>
      <c r="O81" s="80">
        <f t="shared" si="10"/>
        <v>55514.400000000001</v>
      </c>
      <c r="P81" s="85">
        <f t="shared" si="11"/>
        <v>0.42816116178865304</v>
      </c>
    </row>
    <row r="82" spans="1:16" x14ac:dyDescent="0.35">
      <c r="A82" s="50" t="s">
        <v>247</v>
      </c>
      <c r="B82" s="80">
        <f>SUM('Quarter supply'!AG82-'Quarter final consumption'!CB82)</f>
        <v>54587.029999999984</v>
      </c>
      <c r="C82" s="80">
        <f>SUM('Quarter supply'!AH82:AL82)</f>
        <v>47089.179999999993</v>
      </c>
      <c r="D82" s="80">
        <f>SUM('Quarter final consumption'!CB82)</f>
        <v>2028.1599999999999</v>
      </c>
      <c r="E82" s="80">
        <f t="shared" si="6"/>
        <v>45061.01999999999</v>
      </c>
      <c r="F82" s="80">
        <f>'Quarter supply'!O82+'Quarter supply'!W82</f>
        <v>224.13</v>
      </c>
      <c r="G82" s="80">
        <v>339.68</v>
      </c>
      <c r="H82" s="81">
        <f t="shared" si="7"/>
        <v>0.82548949814635464</v>
      </c>
      <c r="I82" s="85">
        <f t="shared" si="8"/>
        <v>0.16418185785158124</v>
      </c>
      <c r="J82" s="80">
        <f>SUM('Quarter supply'!AG82)</f>
        <v>56615.189999999988</v>
      </c>
      <c r="K82" s="80">
        <f>SUM('Quarter supply'!H82)</f>
        <v>39531.620000000003</v>
      </c>
      <c r="L82" s="80">
        <f>SUM('Quarter supply'!P82)</f>
        <v>-18476.789999999997</v>
      </c>
      <c r="M82" s="83">
        <f t="shared" si="9"/>
        <v>21054.830000000005</v>
      </c>
      <c r="N82" s="80">
        <f>SUM('Quarter supply'!X82)</f>
        <v>-545.08000000000004</v>
      </c>
      <c r="O82" s="80">
        <f t="shared" si="10"/>
        <v>57160.26999999999</v>
      </c>
      <c r="P82" s="85">
        <f t="shared" si="11"/>
        <v>0.36834728037498787</v>
      </c>
    </row>
    <row r="83" spans="1:16" x14ac:dyDescent="0.35">
      <c r="A83" s="50" t="s">
        <v>248</v>
      </c>
      <c r="B83" s="80">
        <f>SUM('Quarter supply'!AG83-'Quarter final consumption'!CB83)</f>
        <v>43059.270000000004</v>
      </c>
      <c r="C83" s="80">
        <f>SUM('Quarter supply'!AH83:AL83)</f>
        <v>36312.89</v>
      </c>
      <c r="D83" s="80">
        <f>SUM('Quarter final consumption'!CB83)</f>
        <v>2213.2000000000003</v>
      </c>
      <c r="E83" s="80">
        <f t="shared" si="6"/>
        <v>34099.69</v>
      </c>
      <c r="F83" s="80">
        <f>'Quarter supply'!O83+'Quarter supply'!W83</f>
        <v>451.44</v>
      </c>
      <c r="G83" s="80">
        <v>339.68</v>
      </c>
      <c r="H83" s="81">
        <f t="shared" si="7"/>
        <v>0.79192447990873971</v>
      </c>
      <c r="I83" s="85">
        <f t="shared" si="8"/>
        <v>0.18970270513178689</v>
      </c>
      <c r="J83" s="80">
        <f>SUM('Quarter supply'!AG83)</f>
        <v>45272.47</v>
      </c>
      <c r="K83" s="80">
        <f>SUM('Quarter supply'!H83)</f>
        <v>35020.53</v>
      </c>
      <c r="L83" s="80">
        <f>SUM('Quarter supply'!P83)</f>
        <v>-20752.2</v>
      </c>
      <c r="M83" s="83">
        <f t="shared" si="9"/>
        <v>14268.329999999998</v>
      </c>
      <c r="N83" s="80">
        <f>SUM('Quarter supply'!X83)</f>
        <v>-661.4</v>
      </c>
      <c r="O83" s="80">
        <f t="shared" si="10"/>
        <v>45933.87</v>
      </c>
      <c r="P83" s="85">
        <f t="shared" si="11"/>
        <v>0.31062764796434522</v>
      </c>
    </row>
    <row r="84" spans="1:16" x14ac:dyDescent="0.35">
      <c r="A84" s="50" t="s">
        <v>249</v>
      </c>
      <c r="B84" s="80">
        <f>SUM('Quarter supply'!AG84-'Quarter final consumption'!CB84)</f>
        <v>40622.060000000005</v>
      </c>
      <c r="C84" s="80">
        <f>SUM('Quarter supply'!AH84:AL84)</f>
        <v>34026.99</v>
      </c>
      <c r="D84" s="80">
        <f>SUM('Quarter final consumption'!CB84)</f>
        <v>2228.56</v>
      </c>
      <c r="E84" s="80">
        <f t="shared" si="6"/>
        <v>31798.429999999997</v>
      </c>
      <c r="F84" s="80">
        <f>'Quarter supply'!O84+'Quarter supply'!W84</f>
        <v>455.83</v>
      </c>
      <c r="G84" s="80">
        <v>339.68</v>
      </c>
      <c r="H84" s="81">
        <f t="shared" si="7"/>
        <v>0.78278723432538855</v>
      </c>
      <c r="I84" s="85">
        <f t="shared" si="8"/>
        <v>0.19762956383797392</v>
      </c>
      <c r="J84" s="80">
        <f>SUM('Quarter supply'!AG84)</f>
        <v>42850.62</v>
      </c>
      <c r="K84" s="80">
        <f>SUM('Quarter supply'!H84)</f>
        <v>36326.129999999997</v>
      </c>
      <c r="L84" s="80">
        <f>SUM('Quarter supply'!P84)</f>
        <v>-21577.850000000002</v>
      </c>
      <c r="M84" s="83">
        <f t="shared" si="9"/>
        <v>14748.279999999995</v>
      </c>
      <c r="N84" s="80">
        <f>SUM('Quarter supply'!X84)</f>
        <v>-779.1</v>
      </c>
      <c r="O84" s="80">
        <f t="shared" si="10"/>
        <v>43629.72</v>
      </c>
      <c r="P84" s="85">
        <f t="shared" si="11"/>
        <v>0.33803288217297739</v>
      </c>
    </row>
    <row r="85" spans="1:16" x14ac:dyDescent="0.35">
      <c r="A85" s="50" t="s">
        <v>250</v>
      </c>
      <c r="B85" s="80">
        <f>SUM('Quarter supply'!AG85-'Quarter final consumption'!CB85)</f>
        <v>52427.94</v>
      </c>
      <c r="C85" s="80">
        <f>SUM('Quarter supply'!AH85:AL85)</f>
        <v>45461.61</v>
      </c>
      <c r="D85" s="80">
        <f>SUM('Quarter final consumption'!CB85)</f>
        <v>2104.3000000000002</v>
      </c>
      <c r="E85" s="80">
        <f t="shared" si="6"/>
        <v>43357.31</v>
      </c>
      <c r="F85" s="80">
        <f>'Quarter supply'!O85+'Quarter supply'!W85</f>
        <v>137.72999999999999</v>
      </c>
      <c r="G85" s="80">
        <v>339.68</v>
      </c>
      <c r="H85" s="81">
        <f t="shared" si="7"/>
        <v>0.82698862476763335</v>
      </c>
      <c r="I85" s="85">
        <f t="shared" si="8"/>
        <v>0.16390535275656459</v>
      </c>
      <c r="J85" s="80">
        <f>SUM('Quarter supply'!AG85)</f>
        <v>54532.240000000005</v>
      </c>
      <c r="K85" s="80">
        <f>SUM('Quarter supply'!H85)</f>
        <v>41398.089999999997</v>
      </c>
      <c r="L85" s="80">
        <f>SUM('Quarter supply'!P85)</f>
        <v>-18433.45</v>
      </c>
      <c r="M85" s="83">
        <f t="shared" si="9"/>
        <v>22964.639999999996</v>
      </c>
      <c r="N85" s="80">
        <f>SUM('Quarter supply'!X85)</f>
        <v>-633.09</v>
      </c>
      <c r="O85" s="80">
        <f t="shared" si="10"/>
        <v>55165.33</v>
      </c>
      <c r="P85" s="85">
        <f t="shared" si="11"/>
        <v>0.41628754871945833</v>
      </c>
    </row>
    <row r="86" spans="1:16" x14ac:dyDescent="0.35">
      <c r="A86" s="50" t="s">
        <v>251</v>
      </c>
      <c r="B86" s="80">
        <f>SUM('Quarter supply'!AG86-'Quarter final consumption'!CB86)</f>
        <v>56900.950000000012</v>
      </c>
      <c r="C86" s="80">
        <f>SUM('Quarter supply'!AH86:AL86)</f>
        <v>48809.930000000008</v>
      </c>
      <c r="D86" s="80">
        <f>SUM('Quarter final consumption'!CB86)</f>
        <v>1923.8999999999999</v>
      </c>
      <c r="E86" s="80">
        <f t="shared" si="6"/>
        <v>46886.030000000006</v>
      </c>
      <c r="F86" s="80">
        <f>'Quarter supply'!O86+'Quarter supply'!W86</f>
        <v>462.25</v>
      </c>
      <c r="G86" s="80">
        <v>386.31</v>
      </c>
      <c r="H86" s="81">
        <f t="shared" si="7"/>
        <v>0.82399379975202514</v>
      </c>
      <c r="I86" s="85">
        <f t="shared" si="8"/>
        <v>0.1610932682143269</v>
      </c>
      <c r="J86" s="80">
        <f>SUM('Quarter supply'!AG86)</f>
        <v>58824.850000000013</v>
      </c>
      <c r="K86" s="80">
        <f>SUM('Quarter supply'!H86)</f>
        <v>42341.21</v>
      </c>
      <c r="L86" s="80">
        <f>SUM('Quarter supply'!P86)</f>
        <v>-18641.73</v>
      </c>
      <c r="M86" s="83">
        <f t="shared" si="9"/>
        <v>23699.48</v>
      </c>
      <c r="N86" s="80">
        <f>SUM('Quarter supply'!X86)</f>
        <v>-586.53</v>
      </c>
      <c r="O86" s="80">
        <f t="shared" si="10"/>
        <v>59411.380000000012</v>
      </c>
      <c r="P86" s="85">
        <f t="shared" si="11"/>
        <v>0.39890472162067259</v>
      </c>
    </row>
    <row r="87" spans="1:16" x14ac:dyDescent="0.35">
      <c r="A87" s="50" t="s">
        <v>252</v>
      </c>
      <c r="B87" s="80">
        <f>SUM('Quarter supply'!AG87-'Quarter final consumption'!CB87)</f>
        <v>42676.31</v>
      </c>
      <c r="C87" s="80">
        <f>SUM('Quarter supply'!AH87:AL87)</f>
        <v>35721.399999999994</v>
      </c>
      <c r="D87" s="80">
        <f>SUM('Quarter final consumption'!CB87)</f>
        <v>2191.7199999999998</v>
      </c>
      <c r="E87" s="80">
        <f t="shared" si="6"/>
        <v>33529.679999999993</v>
      </c>
      <c r="F87" s="80">
        <f>'Quarter supply'!O87+'Quarter supply'!W87</f>
        <v>442.91</v>
      </c>
      <c r="G87" s="80">
        <v>386.31</v>
      </c>
      <c r="H87" s="81">
        <f t="shared" si="7"/>
        <v>0.78567430033196395</v>
      </c>
      <c r="I87" s="85">
        <f t="shared" si="8"/>
        <v>0.19489524750382603</v>
      </c>
      <c r="J87" s="80">
        <f>SUM('Quarter supply'!AG87)</f>
        <v>44868.03</v>
      </c>
      <c r="K87" s="80">
        <f>SUM('Quarter supply'!H87)</f>
        <v>35532.699999999997</v>
      </c>
      <c r="L87" s="80">
        <f>SUM('Quarter supply'!P87)</f>
        <v>-20562.690000000002</v>
      </c>
      <c r="M87" s="83">
        <f t="shared" si="9"/>
        <v>14970.009999999995</v>
      </c>
      <c r="N87" s="80">
        <f>SUM('Quarter supply'!X87)</f>
        <v>-660.02</v>
      </c>
      <c r="O87" s="80">
        <f t="shared" si="10"/>
        <v>45528.049999999996</v>
      </c>
      <c r="P87" s="85">
        <f t="shared" si="11"/>
        <v>0.3288085037685558</v>
      </c>
    </row>
    <row r="88" spans="1:16" x14ac:dyDescent="0.35">
      <c r="A88" s="50" t="s">
        <v>253</v>
      </c>
      <c r="B88" s="80">
        <f>SUM('Quarter supply'!AG88-'Quarter final consumption'!CB88)</f>
        <v>40169.660000000003</v>
      </c>
      <c r="C88" s="80">
        <f>SUM('Quarter supply'!AH88:AL88)</f>
        <v>33088.350000000006</v>
      </c>
      <c r="D88" s="80">
        <f>SUM('Quarter final consumption'!CB88)</f>
        <v>2202.84</v>
      </c>
      <c r="E88" s="80">
        <f t="shared" si="6"/>
        <v>30885.510000000006</v>
      </c>
      <c r="F88" s="80">
        <f>'Quarter supply'!O88+'Quarter supply'!W88</f>
        <v>423.77</v>
      </c>
      <c r="G88" s="80">
        <v>386.31</v>
      </c>
      <c r="H88" s="81">
        <f t="shared" si="7"/>
        <v>0.76887656007046123</v>
      </c>
      <c r="I88" s="85">
        <f t="shared" si="8"/>
        <v>0.21095697598635377</v>
      </c>
      <c r="J88" s="80">
        <f>SUM('Quarter supply'!AG88)</f>
        <v>42372.5</v>
      </c>
      <c r="K88" s="80">
        <f>SUM('Quarter supply'!H88)</f>
        <v>35039.240000000005</v>
      </c>
      <c r="L88" s="80">
        <f>SUM('Quarter supply'!P88)</f>
        <v>-21658.349999999995</v>
      </c>
      <c r="M88" s="83">
        <f t="shared" si="9"/>
        <v>13380.89000000001</v>
      </c>
      <c r="N88" s="80">
        <f>SUM('Quarter supply'!X88)</f>
        <v>-757.25</v>
      </c>
      <c r="O88" s="80">
        <f t="shared" si="10"/>
        <v>43129.75</v>
      </c>
      <c r="P88" s="85">
        <f t="shared" si="11"/>
        <v>0.31024733507613678</v>
      </c>
    </row>
    <row r="89" spans="1:16" x14ac:dyDescent="0.35">
      <c r="A89" s="50" t="s">
        <v>254</v>
      </c>
      <c r="B89" s="80">
        <f>SUM('Quarter supply'!AG89-'Quarter final consumption'!CB89)</f>
        <v>50779.579999999994</v>
      </c>
      <c r="C89" s="80">
        <f>SUM('Quarter supply'!AH89:AL89)</f>
        <v>42912.659999999996</v>
      </c>
      <c r="D89" s="80">
        <f>SUM('Quarter final consumption'!CB89)</f>
        <v>1937.58</v>
      </c>
      <c r="E89" s="80">
        <f t="shared" si="6"/>
        <v>40975.079999999994</v>
      </c>
      <c r="F89" s="80">
        <f>'Quarter supply'!O89+'Quarter supply'!W89</f>
        <v>314.03999999999996</v>
      </c>
      <c r="G89" s="80">
        <v>386.31</v>
      </c>
      <c r="H89" s="81">
        <f t="shared" si="7"/>
        <v>0.80692041958598315</v>
      </c>
      <c r="I89" s="85">
        <f t="shared" si="8"/>
        <v>0.17928761915714941</v>
      </c>
      <c r="J89" s="80">
        <f>SUM('Quarter supply'!AG89)</f>
        <v>52717.159999999996</v>
      </c>
      <c r="K89" s="80">
        <f>SUM('Quarter supply'!H89)</f>
        <v>40881.979999999996</v>
      </c>
      <c r="L89" s="80">
        <f>SUM('Quarter supply'!P89)</f>
        <v>-20400.260000000002</v>
      </c>
      <c r="M89" s="83">
        <f t="shared" si="9"/>
        <v>20481.719999999994</v>
      </c>
      <c r="N89" s="80">
        <f>SUM('Quarter supply'!X89)</f>
        <v>-611.65</v>
      </c>
      <c r="O89" s="80">
        <f t="shared" si="10"/>
        <v>53328.81</v>
      </c>
      <c r="P89" s="85">
        <f t="shared" si="11"/>
        <v>0.38406482349784282</v>
      </c>
    </row>
    <row r="90" spans="1:16" x14ac:dyDescent="0.35">
      <c r="A90" s="50" t="s">
        <v>255</v>
      </c>
      <c r="B90" s="80">
        <f>SUM('Quarter supply'!AG90-'Quarter final consumption'!CB90)</f>
        <v>52065.060000000005</v>
      </c>
      <c r="C90" s="80">
        <f>SUM('Quarter supply'!AH90:AL90)</f>
        <v>44208.11</v>
      </c>
      <c r="D90" s="80">
        <f>SUM('Quarter final consumption'!CB90)</f>
        <v>1937.45</v>
      </c>
      <c r="E90" s="80">
        <f t="shared" si="6"/>
        <v>42270.66</v>
      </c>
      <c r="F90" s="80">
        <f>'Quarter supply'!O90+'Quarter supply'!W90</f>
        <v>520.17999999999995</v>
      </c>
      <c r="G90" s="80">
        <v>424.25</v>
      </c>
      <c r="H90" s="81">
        <f t="shared" si="7"/>
        <v>0.81188151900718064</v>
      </c>
      <c r="I90" s="85">
        <f t="shared" si="8"/>
        <v>0.16997906081352832</v>
      </c>
      <c r="J90" s="80">
        <f>SUM('Quarter supply'!AG90)</f>
        <v>54002.51</v>
      </c>
      <c r="K90" s="80">
        <f>SUM('Quarter supply'!H90)</f>
        <v>40017.47</v>
      </c>
      <c r="L90" s="80">
        <f>SUM('Quarter supply'!P90)</f>
        <v>-19201.77</v>
      </c>
      <c r="M90" s="83">
        <f t="shared" si="9"/>
        <v>20815.7</v>
      </c>
      <c r="N90" s="80">
        <f>SUM('Quarter supply'!X90)</f>
        <v>-550.11</v>
      </c>
      <c r="O90" s="80">
        <f t="shared" si="10"/>
        <v>54552.62</v>
      </c>
      <c r="P90" s="85">
        <f t="shared" si="11"/>
        <v>0.38157104095092043</v>
      </c>
    </row>
    <row r="91" spans="1:16" x14ac:dyDescent="0.35">
      <c r="A91" s="50" t="s">
        <v>256</v>
      </c>
      <c r="B91" s="80">
        <f>SUM('Quarter supply'!AG91-'Quarter final consumption'!CB91)</f>
        <v>42579.429999999993</v>
      </c>
      <c r="C91" s="80">
        <f>SUM('Quarter supply'!AH91:AL91)</f>
        <v>35914.89</v>
      </c>
      <c r="D91" s="80">
        <f>SUM('Quarter final consumption'!CB91)</f>
        <v>2117.34</v>
      </c>
      <c r="E91" s="80">
        <f t="shared" si="6"/>
        <v>33797.550000000003</v>
      </c>
      <c r="F91" s="80">
        <f>'Quarter supply'!O91+'Quarter supply'!W91</f>
        <v>483.53999999999996</v>
      </c>
      <c r="G91" s="80">
        <v>424.25</v>
      </c>
      <c r="H91" s="81">
        <f t="shared" si="7"/>
        <v>0.79375299293579105</v>
      </c>
      <c r="I91" s="85">
        <f t="shared" si="8"/>
        <v>0.18492708803288327</v>
      </c>
      <c r="J91" s="80">
        <f>SUM('Quarter supply'!AG91)</f>
        <v>44696.77</v>
      </c>
      <c r="K91" s="80">
        <f>SUM('Quarter supply'!H91)</f>
        <v>37037.500000000007</v>
      </c>
      <c r="L91" s="80">
        <f>SUM('Quarter supply'!P91)</f>
        <v>-22026.97</v>
      </c>
      <c r="M91" s="83">
        <f t="shared" si="9"/>
        <v>15010.530000000006</v>
      </c>
      <c r="N91" s="80">
        <f>SUM('Quarter supply'!X91)</f>
        <v>-661.44</v>
      </c>
      <c r="O91" s="80">
        <f t="shared" si="10"/>
        <v>45358.21</v>
      </c>
      <c r="P91" s="85">
        <f t="shared" si="11"/>
        <v>0.33093303285116427</v>
      </c>
    </row>
    <row r="92" spans="1:16" x14ac:dyDescent="0.35">
      <c r="A92" s="50" t="s">
        <v>257</v>
      </c>
      <c r="B92" s="80">
        <f>SUM('Quarter supply'!AG92-'Quarter final consumption'!CB92)</f>
        <v>37888.330000000009</v>
      </c>
      <c r="C92" s="80">
        <f>SUM('Quarter supply'!AH92:AL92)</f>
        <v>30792.160000000003</v>
      </c>
      <c r="D92" s="80">
        <f>SUM('Quarter final consumption'!CB92)</f>
        <v>1757.78</v>
      </c>
      <c r="E92" s="80">
        <f t="shared" si="6"/>
        <v>29034.380000000005</v>
      </c>
      <c r="F92" s="80">
        <f>'Quarter supply'!O92+'Quarter supply'!W92</f>
        <v>382.61</v>
      </c>
      <c r="G92" s="80">
        <v>424.25</v>
      </c>
      <c r="H92" s="81">
        <f t="shared" si="7"/>
        <v>0.76631458815946751</v>
      </c>
      <c r="I92" s="85">
        <f t="shared" si="8"/>
        <v>0.21238967249282303</v>
      </c>
      <c r="J92" s="80">
        <f>SUM('Quarter supply'!AG92)</f>
        <v>39646.110000000008</v>
      </c>
      <c r="K92" s="80">
        <f>SUM('Quarter supply'!H92)</f>
        <v>30850.38</v>
      </c>
      <c r="L92" s="80">
        <f>SUM('Quarter supply'!P92)</f>
        <v>-19837.04</v>
      </c>
      <c r="M92" s="83">
        <f t="shared" si="9"/>
        <v>11013.34</v>
      </c>
      <c r="N92" s="80">
        <f>SUM('Quarter supply'!X92)</f>
        <v>-630.62</v>
      </c>
      <c r="O92" s="80">
        <f t="shared" si="10"/>
        <v>40276.73000000001</v>
      </c>
      <c r="P92" s="85">
        <f t="shared" si="11"/>
        <v>0.27344176153327238</v>
      </c>
    </row>
    <row r="93" spans="1:16" x14ac:dyDescent="0.35">
      <c r="A93" s="50" t="s">
        <v>258</v>
      </c>
      <c r="B93" s="80">
        <f>SUM('Quarter supply'!AG93-'Quarter final consumption'!CB93)</f>
        <v>51333.07</v>
      </c>
      <c r="C93" s="80">
        <f>SUM('Quarter supply'!AH93:AL93)</f>
        <v>42265.62</v>
      </c>
      <c r="D93" s="80">
        <f>SUM('Quarter final consumption'!CB93)</f>
        <v>1472.94</v>
      </c>
      <c r="E93" s="80">
        <f t="shared" si="6"/>
        <v>40792.68</v>
      </c>
      <c r="F93" s="80">
        <f>'Quarter supply'!O93+'Quarter supply'!W93</f>
        <v>433.99999999999994</v>
      </c>
      <c r="G93" s="80">
        <v>424.25</v>
      </c>
      <c r="H93" s="81">
        <f t="shared" si="7"/>
        <v>0.79466667393943125</v>
      </c>
      <c r="I93" s="85">
        <f t="shared" si="8"/>
        <v>0.18861408444887473</v>
      </c>
      <c r="J93" s="80">
        <f>SUM('Quarter supply'!AG93)</f>
        <v>52806.01</v>
      </c>
      <c r="K93" s="80">
        <f>SUM('Quarter supply'!H93)</f>
        <v>39029.959999999992</v>
      </c>
      <c r="L93" s="80">
        <f>SUM('Quarter supply'!P93)</f>
        <v>-19698.5</v>
      </c>
      <c r="M93" s="83">
        <f t="shared" si="9"/>
        <v>19331.459999999992</v>
      </c>
      <c r="N93" s="80">
        <f>SUM('Quarter supply'!X93)</f>
        <v>-594.61</v>
      </c>
      <c r="O93" s="80">
        <f t="shared" si="10"/>
        <v>53400.62</v>
      </c>
      <c r="P93" s="85">
        <f t="shared" si="11"/>
        <v>0.36200815645960649</v>
      </c>
    </row>
    <row r="94" spans="1:16" x14ac:dyDescent="0.35">
      <c r="A94" s="50" t="s">
        <v>259</v>
      </c>
      <c r="B94" s="80">
        <f>SUM('Quarter supply'!AG94-'Quarter final consumption'!CB94)</f>
        <v>51626.310000000005</v>
      </c>
      <c r="C94" s="80">
        <f>SUM('Quarter supply'!AH94:AL94)</f>
        <v>42673.880000000005</v>
      </c>
      <c r="D94" s="80">
        <f>SUM('Quarter final consumption'!CB94)</f>
        <v>1927.78</v>
      </c>
      <c r="E94" s="80">
        <f t="shared" si="6"/>
        <v>40746.100000000006</v>
      </c>
      <c r="F94" s="80">
        <f>'Quarter supply'!O94+'Quarter supply'!W94</f>
        <v>498.84999999999997</v>
      </c>
      <c r="G94" s="80">
        <v>439.8</v>
      </c>
      <c r="H94" s="81">
        <f t="shared" si="7"/>
        <v>0.78925067470442889</v>
      </c>
      <c r="I94" s="85">
        <f t="shared" si="8"/>
        <v>0.19256770433525072</v>
      </c>
      <c r="J94" s="80">
        <f>SUM('Quarter supply'!AG94)</f>
        <v>53554.090000000004</v>
      </c>
      <c r="K94" s="80">
        <f>SUM('Quarter supply'!H94)</f>
        <v>37314.68</v>
      </c>
      <c r="L94" s="80">
        <f>SUM('Quarter supply'!P94)</f>
        <v>-18715.759999999998</v>
      </c>
      <c r="M94" s="83">
        <f t="shared" si="9"/>
        <v>18598.920000000002</v>
      </c>
      <c r="N94" s="80">
        <f>SUM('Quarter supply'!X94)</f>
        <v>-482.07</v>
      </c>
      <c r="O94" s="80">
        <f t="shared" si="10"/>
        <v>54036.160000000003</v>
      </c>
      <c r="P94" s="85">
        <f t="shared" si="11"/>
        <v>0.34419396196917029</v>
      </c>
    </row>
    <row r="95" spans="1:16" x14ac:dyDescent="0.35">
      <c r="A95" s="50" t="s">
        <v>260</v>
      </c>
      <c r="B95" s="80">
        <f>SUM('Quarter supply'!AG95-'Quarter final consumption'!CB95)</f>
        <v>31679.989999999991</v>
      </c>
      <c r="C95" s="80">
        <f>SUM('Quarter supply'!AH95:AL95)</f>
        <v>24831.429999999997</v>
      </c>
      <c r="D95" s="80">
        <f>SUM('Quarter final consumption'!CB95)</f>
        <v>1726.28</v>
      </c>
      <c r="E95" s="80">
        <f t="shared" si="6"/>
        <v>23105.149999999998</v>
      </c>
      <c r="F95" s="80">
        <f>'Quarter supply'!O95+'Quarter supply'!W95</f>
        <v>383.59</v>
      </c>
      <c r="G95" s="80">
        <v>439.8</v>
      </c>
      <c r="H95" s="81">
        <f t="shared" si="7"/>
        <v>0.7293294600156125</v>
      </c>
      <c r="I95" s="85">
        <f t="shared" si="8"/>
        <v>0.24467968582060773</v>
      </c>
      <c r="J95" s="80">
        <f>SUM('Quarter supply'!AG95)</f>
        <v>33406.26999999999</v>
      </c>
      <c r="K95" s="80">
        <f>SUM('Quarter supply'!H95)</f>
        <v>25170.809999999998</v>
      </c>
      <c r="L95" s="80">
        <f>SUM('Quarter supply'!P95)</f>
        <v>-20844.490000000002</v>
      </c>
      <c r="M95" s="83">
        <f t="shared" si="9"/>
        <v>4326.3199999999961</v>
      </c>
      <c r="N95" s="80">
        <f>SUM('Quarter supply'!X95)</f>
        <v>-479.26</v>
      </c>
      <c r="O95" s="80">
        <f t="shared" si="10"/>
        <v>33885.529999999992</v>
      </c>
      <c r="P95" s="85">
        <f t="shared" si="11"/>
        <v>0.12767455607157382</v>
      </c>
    </row>
    <row r="96" spans="1:16" x14ac:dyDescent="0.35">
      <c r="A96" s="50" t="s">
        <v>261</v>
      </c>
      <c r="B96" s="80">
        <f>SUM('Quarter supply'!AG96-'Quarter final consumption'!CB96)</f>
        <v>34444.149999999994</v>
      </c>
      <c r="C96" s="80">
        <f>SUM('Quarter supply'!AH96:AL96)</f>
        <v>28243.809999999998</v>
      </c>
      <c r="D96" s="80">
        <f>SUM('Quarter final consumption'!CB96)</f>
        <v>1913.73</v>
      </c>
      <c r="E96" s="80">
        <f t="shared" ref="E96:E98" si="12">SUM(C96-D96)</f>
        <v>26330.079999999998</v>
      </c>
      <c r="F96" s="80">
        <f>'Quarter supply'!O96+'Quarter supply'!W96</f>
        <v>201.16</v>
      </c>
      <c r="G96" s="80">
        <v>439.8</v>
      </c>
      <c r="H96" s="81">
        <f t="shared" ref="H96:H98" si="13">SUM(E96/B96)</f>
        <v>0.76442821204761924</v>
      </c>
      <c r="I96" s="85">
        <f t="shared" ref="I96:I98" si="14">IF((F96+G96)&gt;0,1-(E96+F96+G96)/B96,1-H96)</f>
        <v>0.21696311274918956</v>
      </c>
      <c r="J96" s="80">
        <f>SUM('Quarter supply'!AG96)</f>
        <v>36357.879999999997</v>
      </c>
      <c r="K96" s="80">
        <f>SUM('Quarter supply'!H96)</f>
        <v>26236.94</v>
      </c>
      <c r="L96" s="80">
        <f>SUM('Quarter supply'!P96)</f>
        <v>-17991.609999999997</v>
      </c>
      <c r="M96" s="83">
        <f t="shared" ref="M96:M98" si="15">SUM(L96+K96)</f>
        <v>8245.3300000000017</v>
      </c>
      <c r="N96" s="80">
        <f>SUM('Quarter supply'!X96)</f>
        <v>-517.79</v>
      </c>
      <c r="O96" s="80">
        <f t="shared" ref="O96:O98" si="16">SUM(J96-N96)</f>
        <v>36875.67</v>
      </c>
      <c r="P96" s="85">
        <f t="shared" ref="P96:P98" si="17">SUM(M96/O96)</f>
        <v>0.22359810682761838</v>
      </c>
    </row>
    <row r="97" spans="1:16" x14ac:dyDescent="0.35">
      <c r="A97" s="50" t="s">
        <v>262</v>
      </c>
      <c r="B97" s="80">
        <f>SUM('Quarter supply'!AG97-'Quarter final consumption'!CB97)</f>
        <v>46943.229999999996</v>
      </c>
      <c r="C97" s="80">
        <f>SUM('Quarter supply'!AH97:AL97)</f>
        <v>38086.39</v>
      </c>
      <c r="D97" s="80">
        <f>SUM('Quarter final consumption'!CB97)</f>
        <v>1493.97</v>
      </c>
      <c r="E97" s="80">
        <f t="shared" si="12"/>
        <v>36592.42</v>
      </c>
      <c r="F97" s="80">
        <f>'Quarter supply'!O97+'Quarter supply'!W97</f>
        <v>456.36</v>
      </c>
      <c r="G97" s="80">
        <v>439.8</v>
      </c>
      <c r="H97" s="81">
        <f t="shared" si="13"/>
        <v>0.77950366858011266</v>
      </c>
      <c r="I97" s="85">
        <f t="shared" si="14"/>
        <v>0.2014060387408364</v>
      </c>
      <c r="J97" s="80">
        <f>SUM('Quarter supply'!AG97)</f>
        <v>48437.2</v>
      </c>
      <c r="K97" s="80">
        <f>SUM('Quarter supply'!H97)</f>
        <v>35254.03</v>
      </c>
      <c r="L97" s="80">
        <f>SUM('Quarter supply'!P97)</f>
        <v>-17124.43</v>
      </c>
      <c r="M97" s="83">
        <f t="shared" si="15"/>
        <v>18129.599999999999</v>
      </c>
      <c r="N97" s="80">
        <f>SUM('Quarter supply'!X97)</f>
        <v>-530.45000000000005</v>
      </c>
      <c r="O97" s="80">
        <f t="shared" si="16"/>
        <v>48967.649999999994</v>
      </c>
      <c r="P97" s="85">
        <f t="shared" si="17"/>
        <v>0.37023626823014788</v>
      </c>
    </row>
    <row r="98" spans="1:16" x14ac:dyDescent="0.35">
      <c r="A98" s="50" t="s">
        <v>263</v>
      </c>
      <c r="B98" s="80">
        <f>SUM('Quarter supply'!AG98-'Quarter final consumption'!CB98)</f>
        <v>48747.56</v>
      </c>
      <c r="C98" s="80">
        <f>SUM('Quarter supply'!AH98:AL98)</f>
        <v>39937.760000000002</v>
      </c>
      <c r="D98" s="80">
        <f>SUM('Quarter final consumption'!CB98)</f>
        <v>1457.7499999999998</v>
      </c>
      <c r="E98" s="80">
        <f t="shared" si="12"/>
        <v>38480.01</v>
      </c>
      <c r="F98" s="80">
        <f>'Quarter supply'!O98+'Quarter supply'!W98</f>
        <v>542.67000000000007</v>
      </c>
      <c r="G98" s="80">
        <v>493.76</v>
      </c>
      <c r="H98" s="81">
        <f t="shared" si="13"/>
        <v>0.78937304759458737</v>
      </c>
      <c r="I98" s="85">
        <f t="shared" si="14"/>
        <v>0.18936578569265816</v>
      </c>
      <c r="J98" s="80">
        <f>SUM('Quarter supply'!AG98)</f>
        <v>50205.31</v>
      </c>
      <c r="K98" s="80">
        <f>SUM('Quarter supply'!H98)</f>
        <v>33859.310000000005</v>
      </c>
      <c r="L98" s="80">
        <f>SUM('Quarter supply'!P98)</f>
        <v>-16068.190000000002</v>
      </c>
      <c r="M98" s="83">
        <f t="shared" si="15"/>
        <v>17791.120000000003</v>
      </c>
      <c r="N98" s="80">
        <f>SUM('Quarter supply'!X98)</f>
        <v>-441.37</v>
      </c>
      <c r="O98" s="80">
        <f t="shared" si="16"/>
        <v>50646.68</v>
      </c>
      <c r="P98" s="85">
        <f t="shared" si="17"/>
        <v>0.35127909667524115</v>
      </c>
    </row>
    <row r="99" spans="1:16" x14ac:dyDescent="0.35">
      <c r="A99" s="50" t="s">
        <v>264</v>
      </c>
      <c r="B99" s="80">
        <f>SUM('Quarter supply'!AG99-'Quarter final consumption'!CB99)</f>
        <v>39523.380000000005</v>
      </c>
      <c r="C99" s="80">
        <f>SUM('Quarter supply'!AH99:AL99)</f>
        <v>32061.980000000003</v>
      </c>
      <c r="D99" s="80">
        <f>SUM('Quarter final consumption'!CB99)</f>
        <v>1351.36</v>
      </c>
      <c r="E99" s="80">
        <f t="shared" ref="E99:E101" si="18">SUM(C99-D99)</f>
        <v>30710.620000000003</v>
      </c>
      <c r="F99" s="80">
        <f>'Quarter supply'!O99+'Quarter supply'!W99</f>
        <v>523.37</v>
      </c>
      <c r="G99" s="80">
        <v>493.76</v>
      </c>
      <c r="H99" s="81">
        <f t="shared" ref="H99:H101" si="19">SUM(E99/B99)</f>
        <v>0.77702413103332757</v>
      </c>
      <c r="I99" s="85">
        <f t="shared" ref="I99:I101" si="20">IF((F99+G99)&gt;0,1-(E99+F99+G99)/B99,1-H99)</f>
        <v>0.19724097483565428</v>
      </c>
      <c r="J99" s="80">
        <f>SUM('Quarter supply'!AG99)</f>
        <v>40874.740000000005</v>
      </c>
      <c r="K99" s="80">
        <f>SUM('Quarter supply'!H99)</f>
        <v>32090.62</v>
      </c>
      <c r="L99" s="80">
        <f>SUM('Quarter supply'!P99)</f>
        <v>-14146.889999999998</v>
      </c>
      <c r="M99" s="83">
        <f t="shared" ref="M99:M101" si="21">SUM(L99+K99)</f>
        <v>17943.730000000003</v>
      </c>
      <c r="N99" s="80">
        <f>SUM('Quarter supply'!X99)</f>
        <v>-532.77</v>
      </c>
      <c r="O99" s="80">
        <f t="shared" ref="O99:O101" si="22">SUM(J99-N99)</f>
        <v>41407.51</v>
      </c>
      <c r="P99" s="85">
        <f t="shared" ref="P99:P101" si="23">SUM(M99/O99)</f>
        <v>0.4333448207825103</v>
      </c>
    </row>
    <row r="100" spans="1:16" x14ac:dyDescent="0.35">
      <c r="A100" s="50" t="s">
        <v>488</v>
      </c>
      <c r="B100" s="80">
        <f>SUM('Quarter supply'!AG100-'Quarter final consumption'!CB100)</f>
        <v>35134.769999999997</v>
      </c>
      <c r="C100" s="80">
        <f>SUM('Quarter supply'!AH100:AL100)</f>
        <v>28401.109999999997</v>
      </c>
      <c r="D100" s="80">
        <f>SUM('Quarter final consumption'!CB100)</f>
        <v>1475.1799999999998</v>
      </c>
      <c r="E100" s="80">
        <f t="shared" si="18"/>
        <v>26925.929999999997</v>
      </c>
      <c r="F100" s="80">
        <f>'Quarter supply'!O100+'Quarter supply'!W100</f>
        <v>662.06</v>
      </c>
      <c r="G100" s="80">
        <v>493.76</v>
      </c>
      <c r="H100" s="81">
        <f t="shared" si="19"/>
        <v>0.76636135657071325</v>
      </c>
      <c r="I100" s="85">
        <f t="shared" si="20"/>
        <v>0.20074188617144784</v>
      </c>
      <c r="J100" s="80">
        <f>SUM('Quarter supply'!AG100)</f>
        <v>36609.949999999997</v>
      </c>
      <c r="K100" s="80">
        <f>SUM('Quarter supply'!H100)</f>
        <v>28881.439999999999</v>
      </c>
      <c r="L100" s="80">
        <f>SUM('Quarter supply'!P100)</f>
        <v>-16582.849999999999</v>
      </c>
      <c r="M100" s="83">
        <f t="shared" si="21"/>
        <v>12298.59</v>
      </c>
      <c r="N100" s="80">
        <f>SUM('Quarter supply'!X100)</f>
        <v>-586.74</v>
      </c>
      <c r="O100" s="80">
        <f t="shared" si="22"/>
        <v>37196.689999999995</v>
      </c>
      <c r="P100" s="85">
        <f t="shared" si="23"/>
        <v>0.33063667761835802</v>
      </c>
    </row>
    <row r="101" spans="1:16" x14ac:dyDescent="0.35">
      <c r="A101" s="50" t="s">
        <v>489</v>
      </c>
      <c r="B101" s="80">
        <f>SUM('Quarter supply'!AG101-'Quarter final consumption'!CB101)</f>
        <v>47247.26</v>
      </c>
      <c r="C101" s="80">
        <f>SUM('Quarter supply'!AH101:AL101)</f>
        <v>38267.43</v>
      </c>
      <c r="D101" s="80">
        <f>SUM('Quarter final consumption'!CB101)</f>
        <v>1337.74</v>
      </c>
      <c r="E101" s="80">
        <f t="shared" si="18"/>
        <v>36929.69</v>
      </c>
      <c r="F101" s="80">
        <f>'Quarter supply'!O101+'Quarter supply'!W101</f>
        <v>389.22</v>
      </c>
      <c r="G101" s="80">
        <v>493.76</v>
      </c>
      <c r="H101" s="81">
        <f t="shared" si="19"/>
        <v>0.78162606678143876</v>
      </c>
      <c r="I101" s="85">
        <f t="shared" si="20"/>
        <v>0.19968544207642935</v>
      </c>
      <c r="J101" s="80">
        <f>SUM('Quarter supply'!AG101)</f>
        <v>48585</v>
      </c>
      <c r="K101" s="80">
        <f>SUM('Quarter supply'!H101)</f>
        <v>38820.51</v>
      </c>
      <c r="L101" s="80">
        <f>SUM('Quarter supply'!P101)</f>
        <v>-19089.490000000002</v>
      </c>
      <c r="M101" s="83">
        <f t="shared" si="21"/>
        <v>19731.02</v>
      </c>
      <c r="N101" s="80">
        <f>SUM('Quarter supply'!X101)</f>
        <v>-510.31</v>
      </c>
      <c r="O101" s="80">
        <f t="shared" si="22"/>
        <v>49095.31</v>
      </c>
      <c r="P101" s="85">
        <f t="shared" si="23"/>
        <v>0.40189215629761788</v>
      </c>
    </row>
    <row r="102" spans="1:16" x14ac:dyDescent="0.35">
      <c r="A102" s="50" t="s">
        <v>492</v>
      </c>
      <c r="B102" s="80">
        <f>SUM('Quarter supply'!AG102-'Quarter final consumption'!CB102)</f>
        <v>48472.45</v>
      </c>
      <c r="C102" s="80">
        <f>SUM('Quarter supply'!AH102:AL102)</f>
        <v>38966.89</v>
      </c>
      <c r="D102" s="80">
        <f>SUM('Quarter final consumption'!CB102)</f>
        <v>1295.6100000000001</v>
      </c>
      <c r="E102" s="80">
        <f t="shared" ref="E102" si="24">SUM(C102-D102)</f>
        <v>37671.279999999999</v>
      </c>
      <c r="F102" s="80">
        <f>'Quarter supply'!O102+'Quarter supply'!W102</f>
        <v>427.6</v>
      </c>
      <c r="G102" s="80">
        <v>522.73</v>
      </c>
      <c r="H102" s="81">
        <f t="shared" ref="H102" si="25">SUM(E102/B102)</f>
        <v>0.77716888665623463</v>
      </c>
      <c r="I102" s="85">
        <f t="shared" ref="I102" si="26">IF((F102+G102)&gt;0,1-(E102+F102+G102)/B102,1-H102)</f>
        <v>0.20322554358197276</v>
      </c>
      <c r="J102" s="80">
        <f>SUM('Quarter supply'!AG102)</f>
        <v>49768.06</v>
      </c>
      <c r="K102" s="80">
        <f>SUM('Quarter supply'!H102)</f>
        <v>37786.920000000006</v>
      </c>
      <c r="L102" s="80">
        <f>SUM('Quarter supply'!P102)</f>
        <v>-18525.789999999997</v>
      </c>
      <c r="M102" s="83">
        <f t="shared" ref="M102" si="27">SUM(L102+K102)</f>
        <v>19261.130000000008</v>
      </c>
      <c r="N102" s="80">
        <f>SUM('Quarter supply'!X102)</f>
        <v>-417.51</v>
      </c>
      <c r="O102" s="80">
        <f t="shared" ref="O102" si="28">SUM(J102-N102)</f>
        <v>50185.57</v>
      </c>
      <c r="P102" s="85">
        <f t="shared" ref="P102" si="29">SUM(M102/O102)</f>
        <v>0.3837981714664197</v>
      </c>
    </row>
    <row r="103" spans="1:16" x14ac:dyDescent="0.35">
      <c r="A103" s="50" t="s">
        <v>493</v>
      </c>
      <c r="B103" s="80">
        <f>SUM('Quarter supply'!AG103-'Quarter final consumption'!CB103)</f>
        <v>38990.22</v>
      </c>
      <c r="C103" s="80">
        <f>SUM('Quarter supply'!AH103:AL103)</f>
        <v>31769.680000000004</v>
      </c>
      <c r="D103" s="80">
        <f>SUM('Quarter final consumption'!CB103)</f>
        <v>1301.44</v>
      </c>
      <c r="E103" s="80">
        <f t="shared" ref="E103" si="30">SUM(C103-D103)</f>
        <v>30468.240000000005</v>
      </c>
      <c r="F103" s="80">
        <f>'Quarter supply'!O103+'Quarter supply'!W103</f>
        <v>-340.44000000000005</v>
      </c>
      <c r="G103" s="80">
        <v>522.73</v>
      </c>
      <c r="H103" s="81">
        <f t="shared" ref="H103" si="31">SUM(E103/B103)</f>
        <v>0.7814328823997404</v>
      </c>
      <c r="I103" s="85">
        <f t="shared" ref="I103" si="32">IF((F103+G103)&gt;0,1-(E103+F103+G103)/B103,1-H103)</f>
        <v>0.21389184262104688</v>
      </c>
      <c r="J103" s="80">
        <f>SUM('Quarter supply'!AG103)</f>
        <v>40291.660000000003</v>
      </c>
      <c r="K103" s="80">
        <f>SUM('Quarter supply'!H103)</f>
        <v>35261.950000000004</v>
      </c>
      <c r="L103" s="80">
        <f>SUM('Quarter supply'!P103)</f>
        <v>-21494.76</v>
      </c>
      <c r="M103" s="83">
        <f t="shared" ref="M103" si="33">SUM(L103+K103)</f>
        <v>13767.190000000006</v>
      </c>
      <c r="N103" s="80">
        <f>SUM('Quarter supply'!X103)</f>
        <v>-586.92999999999995</v>
      </c>
      <c r="O103" s="80">
        <f t="shared" ref="O103" si="34">SUM(J103-N103)</f>
        <v>40878.590000000004</v>
      </c>
      <c r="P103" s="85">
        <f t="shared" ref="P103" si="35">SUM(M103/O103)</f>
        <v>0.33678240859090308</v>
      </c>
    </row>
    <row r="104" spans="1:16" x14ac:dyDescent="0.35">
      <c r="A104" s="50" t="s">
        <v>496</v>
      </c>
      <c r="B104" s="80">
        <f>SUM('Quarter supply'!AG104-'Quarter final consumption'!CB104)</f>
        <v>36140.660000000003</v>
      </c>
      <c r="C104" s="80">
        <f>SUM('Quarter supply'!AH104:AL104)</f>
        <v>29663.439999999999</v>
      </c>
      <c r="D104" s="80">
        <f>SUM('Quarter final consumption'!CB104)</f>
        <v>1332.6999999999998</v>
      </c>
      <c r="E104" s="80">
        <f t="shared" ref="E104" si="36">SUM(C104-D104)</f>
        <v>28330.739999999998</v>
      </c>
      <c r="F104" s="80">
        <f>'Quarter supply'!O104+'Quarter supply'!W104</f>
        <v>-417.28999999999996</v>
      </c>
      <c r="G104" s="80">
        <v>522.73</v>
      </c>
      <c r="H104" s="81">
        <f t="shared" ref="H104" si="37">SUM(E104/B104)</f>
        <v>0.78390212021584538</v>
      </c>
      <c r="I104" s="85">
        <f t="shared" ref="I104" si="38">IF((F104+G104)&gt;0,1-(E104+F104+G104)/B104,1-H104)</f>
        <v>0.21318039017549784</v>
      </c>
      <c r="J104" s="80">
        <f>SUM('Quarter supply'!AG104)</f>
        <v>37473.360000000001</v>
      </c>
      <c r="K104" s="80">
        <f>SUM('Quarter supply'!H104)</f>
        <v>34809.19</v>
      </c>
      <c r="L104" s="80">
        <f>SUM('Quarter supply'!P104)</f>
        <v>-21036.25</v>
      </c>
      <c r="M104" s="83">
        <f t="shared" ref="M104" si="39">SUM(L104+K104)</f>
        <v>13772.940000000002</v>
      </c>
      <c r="N104" s="80">
        <f>SUM('Quarter supply'!X104)</f>
        <v>-622.44000000000005</v>
      </c>
      <c r="O104" s="80">
        <f t="shared" ref="O104" si="40">SUM(J104-N104)</f>
        <v>38095.800000000003</v>
      </c>
      <c r="P104" s="85">
        <f t="shared" ref="P104" si="41">SUM(M104/O104)</f>
        <v>0.36153434236845011</v>
      </c>
    </row>
    <row r="105" spans="1:16" x14ac:dyDescent="0.35">
      <c r="A105" s="50" t="s">
        <v>499</v>
      </c>
      <c r="B105" s="80">
        <f>SUM('Quarter supply'!AG105-'Quarter final consumption'!CB105)</f>
        <v>44613.599999999991</v>
      </c>
      <c r="C105" s="80">
        <f>SUM('Quarter supply'!AH105:AL105)</f>
        <v>36283.35</v>
      </c>
      <c r="D105" s="80">
        <f>SUM('Quarter final consumption'!CB105)</f>
        <v>1154.46</v>
      </c>
      <c r="E105" s="80">
        <f t="shared" ref="E105" si="42">SUM(C105-D105)</f>
        <v>35128.89</v>
      </c>
      <c r="F105" s="80">
        <f>'Quarter supply'!O105+'Quarter supply'!W105</f>
        <v>-126.41000000000003</v>
      </c>
      <c r="G105" s="80">
        <v>522.73</v>
      </c>
      <c r="H105" s="81">
        <f t="shared" ref="H105" si="43">SUM(E105/B105)</f>
        <v>0.78740316854053483</v>
      </c>
      <c r="I105" s="85">
        <f t="shared" ref="I105" si="44">IF((F105+G105)&gt;0,1-(E105+F105+G105)/B105,1-H105)</f>
        <v>0.20371344164111382</v>
      </c>
      <c r="J105" s="80">
        <f>SUM('Quarter supply'!AG105)</f>
        <v>45768.05999999999</v>
      </c>
      <c r="K105" s="80">
        <f>SUM('Quarter supply'!H105)</f>
        <v>38655.14</v>
      </c>
      <c r="L105" s="80">
        <f>SUM('Quarter supply'!P105)</f>
        <v>-20970.650000000001</v>
      </c>
      <c r="M105" s="83">
        <f t="shared" ref="M105" si="45">SUM(L105+K105)</f>
        <v>17684.489999999998</v>
      </c>
      <c r="N105" s="80">
        <f>SUM('Quarter supply'!X105)</f>
        <v>-467.48</v>
      </c>
      <c r="O105" s="80">
        <f t="shared" ref="O105" si="46">SUM(J105-N105)</f>
        <v>46235.539999999994</v>
      </c>
      <c r="P105" s="85">
        <f t="shared" ref="P105" si="47">SUM(M105/O105)</f>
        <v>0.38248693537482203</v>
      </c>
    </row>
    <row r="106" spans="1:16" x14ac:dyDescent="0.35">
      <c r="A106" s="50" t="s">
        <v>502</v>
      </c>
      <c r="B106" s="80">
        <f>SUM('Quarter supply'!AG106-'Quarter final consumption'!CB106)</f>
        <v>47481.47</v>
      </c>
      <c r="C106" s="80">
        <f>SUM('Quarter supply'!AH106:AL106)</f>
        <v>38056.78</v>
      </c>
      <c r="D106" s="80">
        <f>SUM('Quarter final consumption'!CB106)</f>
        <v>1123.4099999999999</v>
      </c>
      <c r="E106" s="80">
        <f t="shared" ref="E106" si="48">SUM(C106-D106)</f>
        <v>36933.369999999995</v>
      </c>
      <c r="F106" s="80">
        <f>'Quarter supply'!O106+'Quarter supply'!W106</f>
        <v>621.08999999999992</v>
      </c>
      <c r="G106" s="80">
        <v>554.76</v>
      </c>
      <c r="H106" s="81">
        <f t="shared" ref="H106" si="49">SUM(E106/B106)</f>
        <v>0.77784807420663249</v>
      </c>
      <c r="I106" s="85">
        <f t="shared" ref="I106" si="50">IF((F106+G106)&gt;0,1-(E106+F106+G106)/B106,1-H106)</f>
        <v>0.19738752822943362</v>
      </c>
      <c r="J106" s="80">
        <f>SUM('Quarter supply'!AG106)</f>
        <v>48604.88</v>
      </c>
      <c r="K106" s="80">
        <f>SUM('Quarter supply'!H106)</f>
        <v>38605.31</v>
      </c>
      <c r="L106" s="80">
        <f>SUM('Quarter supply'!P106)</f>
        <v>-17928.380000000005</v>
      </c>
      <c r="M106" s="83">
        <f t="shared" ref="M106" si="51">SUM(L106+K106)</f>
        <v>20676.929999999993</v>
      </c>
      <c r="N106" s="80">
        <f>SUM('Quarter supply'!X106)</f>
        <v>-449.55</v>
      </c>
      <c r="O106" s="80">
        <f t="shared" ref="O106" si="52">SUM(J106-N106)</f>
        <v>49054.43</v>
      </c>
      <c r="P106" s="85">
        <f t="shared" ref="P106" si="53">SUM(M106/O106)</f>
        <v>0.42150994313867257</v>
      </c>
    </row>
    <row r="107" spans="1:16" x14ac:dyDescent="0.35">
      <c r="A107" s="50" t="s">
        <v>503</v>
      </c>
      <c r="B107" s="80">
        <f>SUM('Quarter supply'!AG107-'Quarter final consumption'!CB107)</f>
        <v>37439.589999999997</v>
      </c>
      <c r="C107" s="80">
        <f>SUM('Quarter supply'!AH107:AL107)</f>
        <v>29957.07</v>
      </c>
      <c r="D107" s="80">
        <f>SUM('Quarter final consumption'!CB107)</f>
        <v>1179.6500000000001</v>
      </c>
      <c r="E107" s="80">
        <f t="shared" ref="E107" si="54">SUM(C107-D107)</f>
        <v>28777.42</v>
      </c>
      <c r="F107" s="80">
        <f>'Quarter supply'!O107+'Quarter supply'!W107</f>
        <v>652.70000000000005</v>
      </c>
      <c r="G107" s="80">
        <v>554.76</v>
      </c>
      <c r="H107" s="81">
        <f t="shared" ref="H107" si="55">SUM(E107/B107)</f>
        <v>0.76863608816229023</v>
      </c>
      <c r="I107" s="85">
        <f t="shared" ref="I107" si="56">IF((F107+G107)&gt;0,1-(E107+F107+G107)/B107,1-H107)</f>
        <v>0.1991130244748941</v>
      </c>
      <c r="J107" s="80">
        <f>SUM('Quarter supply'!AG107)</f>
        <v>38619.24</v>
      </c>
      <c r="K107" s="80">
        <f>SUM('Quarter supply'!H107)</f>
        <v>32488.010000000002</v>
      </c>
      <c r="L107" s="80">
        <f>SUM('Quarter supply'!P107)</f>
        <v>-18210.340000000004</v>
      </c>
      <c r="M107" s="83">
        <f t="shared" ref="M107" si="57">SUM(L107+K107)</f>
        <v>14277.669999999998</v>
      </c>
      <c r="N107" s="80">
        <f>SUM('Quarter supply'!X107)</f>
        <v>-554.75</v>
      </c>
      <c r="O107" s="80">
        <f t="shared" ref="O107" si="58">SUM(J107-N107)</f>
        <v>39173.99</v>
      </c>
      <c r="P107" s="85">
        <f t="shared" ref="P107" si="59">SUM(M107/O107)</f>
        <v>0.36446810753767994</v>
      </c>
    </row>
    <row r="108" spans="1:16" x14ac:dyDescent="0.35">
      <c r="A108" s="50" t="s">
        <v>506</v>
      </c>
      <c r="B108" s="80">
        <f>SUM('Quarter supply'!AG108-'Quarter final consumption'!CB108)</f>
        <v>34420.369999999995</v>
      </c>
      <c r="C108" s="80">
        <f>SUM('Quarter supply'!AH108:AL108)</f>
        <v>26966.97</v>
      </c>
      <c r="D108" s="80">
        <f>SUM('Quarter final consumption'!CB108)</f>
        <v>1126.53</v>
      </c>
      <c r="E108" s="80">
        <f t="shared" ref="E108" si="60">SUM(C108-D108)</f>
        <v>25840.440000000002</v>
      </c>
      <c r="F108" s="80">
        <f>'Quarter supply'!O108+'Quarter supply'!W108</f>
        <v>332.81</v>
      </c>
      <c r="G108" s="80">
        <v>554.76</v>
      </c>
      <c r="H108" s="81">
        <f t="shared" ref="H108" si="61">SUM(E108/B108)</f>
        <v>0.75073103513994788</v>
      </c>
      <c r="I108" s="85">
        <f t="shared" ref="I108" si="62">IF((F108+G108)&gt;0,1-(E108+F108+G108)/B108,1-H108)</f>
        <v>0.22348278069062</v>
      </c>
      <c r="J108" s="80">
        <f>SUM('Quarter supply'!AG108)</f>
        <v>35546.899999999994</v>
      </c>
      <c r="K108" s="80">
        <f>SUM('Quarter supply'!H108)</f>
        <v>29757.769999999997</v>
      </c>
      <c r="L108" s="80">
        <f>SUM('Quarter supply'!P108)</f>
        <v>-16243.2</v>
      </c>
      <c r="M108" s="83">
        <f t="shared" ref="M108" si="63">SUM(L108+K108)</f>
        <v>13514.569999999996</v>
      </c>
      <c r="N108" s="80">
        <f>SUM('Quarter supply'!X108)</f>
        <v>-608.32000000000005</v>
      </c>
      <c r="O108" s="80">
        <f t="shared" ref="O108" si="64">SUM(J108-N108)</f>
        <v>36155.219999999994</v>
      </c>
      <c r="P108" s="85">
        <f t="shared" ref="P108" si="65">SUM(M108/O108)</f>
        <v>0.37379305118320394</v>
      </c>
    </row>
    <row r="109" spans="1:16" x14ac:dyDescent="0.35">
      <c r="A109" s="50" t="s">
        <v>508</v>
      </c>
      <c r="B109" s="80">
        <f>SUM('Quarter supply'!AG109-'Quarter final consumption'!CB109)</f>
        <v>44426.99</v>
      </c>
      <c r="C109" s="80">
        <f>SUM('Quarter supply'!AH109:AL109)</f>
        <v>34995.959999999992</v>
      </c>
      <c r="D109" s="80">
        <f>SUM('Quarter final consumption'!CB109)</f>
        <v>1044.99</v>
      </c>
      <c r="E109" s="80">
        <f t="shared" ref="E109" si="66">SUM(C109-D109)</f>
        <v>33950.969999999994</v>
      </c>
      <c r="F109" s="80">
        <f>'Quarter supply'!O109+'Quarter supply'!W109</f>
        <v>442.71999999999997</v>
      </c>
      <c r="G109" s="80">
        <v>554.76</v>
      </c>
      <c r="H109" s="81">
        <f t="shared" ref="H109" si="67">SUM(E109/B109)</f>
        <v>0.76419694424492846</v>
      </c>
      <c r="I109" s="85">
        <f t="shared" ref="I109" si="68">IF((F109+G109)&gt;0,1-(E109+F109+G109)/B109,1-H109)</f>
        <v>0.21335093824722318</v>
      </c>
      <c r="J109" s="80">
        <f>SUM('Quarter supply'!AG109)</f>
        <v>45471.979999999996</v>
      </c>
      <c r="K109" s="80">
        <f>SUM('Quarter supply'!H109)</f>
        <v>35675.49</v>
      </c>
      <c r="L109" s="80">
        <f>SUM('Quarter supply'!P109)</f>
        <v>-15444.28</v>
      </c>
      <c r="M109" s="83">
        <f t="shared" ref="M109" si="69">SUM(L109+K109)</f>
        <v>20231.21</v>
      </c>
      <c r="N109" s="80">
        <f>SUM('Quarter supply'!X109)</f>
        <v>-473.76</v>
      </c>
      <c r="O109" s="80">
        <f t="shared" ref="O109" si="70">SUM(J109-N109)</f>
        <v>45945.74</v>
      </c>
      <c r="P109" s="85">
        <f t="shared" ref="P109" si="71">SUM(M109/O109)</f>
        <v>0.44032830900100856</v>
      </c>
    </row>
    <row r="110" spans="1:16" x14ac:dyDescent="0.35">
      <c r="A110" s="50" t="s">
        <v>509</v>
      </c>
      <c r="B110" s="80">
        <f>SUM('Quarter supply'!AG110-'Quarter final consumption'!CB110)</f>
        <v>47067.55</v>
      </c>
      <c r="C110" s="80">
        <f>SUM('Quarter supply'!AH110:AL110)</f>
        <v>37573.629999999997</v>
      </c>
      <c r="D110" s="80">
        <f>SUM('Quarter final consumption'!CB110)</f>
        <v>1096.3200000000002</v>
      </c>
      <c r="E110" s="80">
        <f t="shared" ref="E110" si="72">SUM(C110-D110)</f>
        <v>36477.31</v>
      </c>
      <c r="F110" s="80">
        <f>'Quarter supply'!O110+'Quarter supply'!W110</f>
        <v>776.15000000000009</v>
      </c>
      <c r="G110" s="80">
        <v>568.74</v>
      </c>
      <c r="H110" s="81">
        <f t="shared" ref="H110" si="73">SUM(E110/B110)</f>
        <v>0.77499912360001733</v>
      </c>
      <c r="I110" s="85">
        <f t="shared" ref="I110" si="74">IF((F110+G110)&gt;0,1-(E110+F110+G110)/B110,1-H110)</f>
        <v>0.1964272625195066</v>
      </c>
      <c r="J110" s="80">
        <f>SUM('Quarter supply'!AG110)</f>
        <v>48163.87</v>
      </c>
      <c r="K110" s="80">
        <f>SUM('Quarter supply'!H110)</f>
        <v>35774.129999999997</v>
      </c>
      <c r="L110" s="80">
        <f>SUM('Quarter supply'!P110)</f>
        <v>-14595.95</v>
      </c>
      <c r="M110" s="83">
        <f t="shared" ref="M110" si="75">SUM(L110+K110)</f>
        <v>21178.179999999997</v>
      </c>
      <c r="N110" s="80">
        <f>SUM('Quarter supply'!X110)</f>
        <v>-419.84</v>
      </c>
      <c r="O110" s="80">
        <f t="shared" ref="O110" si="76">SUM(J110-N110)</f>
        <v>48583.71</v>
      </c>
      <c r="P110" s="85">
        <f t="shared" ref="P110" si="77">SUM(M110/O110)</f>
        <v>0.43591113152947764</v>
      </c>
    </row>
    <row r="111" spans="1:16" x14ac:dyDescent="0.35">
      <c r="A111" s="50" t="s">
        <v>511</v>
      </c>
      <c r="B111" s="80">
        <f>SUM('Quarter supply'!AG111-'Quarter final consumption'!CB111)</f>
        <v>37481.089999999997</v>
      </c>
      <c r="C111" s="80">
        <f>SUM('Quarter supply'!AH111:AL111)</f>
        <v>28683.539999999994</v>
      </c>
      <c r="D111" s="80">
        <f>SUM('Quarter final consumption'!CB111)</f>
        <v>1194.1799999999998</v>
      </c>
      <c r="E111" s="80">
        <f t="shared" ref="E111" si="78">SUM(C111-D111)</f>
        <v>27489.359999999993</v>
      </c>
      <c r="F111" s="80">
        <f>'Quarter supply'!O111+'Quarter supply'!W111</f>
        <v>792.62000000000012</v>
      </c>
      <c r="G111" s="80">
        <v>568.74</v>
      </c>
      <c r="H111" s="81">
        <f t="shared" ref="H111" si="79">SUM(E111/B111)</f>
        <v>0.73341943897576078</v>
      </c>
      <c r="I111" s="85">
        <f t="shared" ref="I111" si="80">IF((F111+G111)&gt;0,1-(E111+F111+G111)/B111,1-H111)</f>
        <v>0.23025931209577954</v>
      </c>
      <c r="J111" s="80">
        <f>SUM('Quarter supply'!AG111)</f>
        <v>38675.269999999997</v>
      </c>
      <c r="K111" s="80">
        <f>SUM('Quarter supply'!H111)</f>
        <v>33435.920000000006</v>
      </c>
      <c r="L111" s="80">
        <f>SUM('Quarter supply'!P111)</f>
        <v>-16948.47</v>
      </c>
      <c r="M111" s="83">
        <f t="shared" ref="M111" si="81">SUM(L111+K111)</f>
        <v>16487.450000000004</v>
      </c>
      <c r="N111" s="80">
        <f>SUM('Quarter supply'!X111)</f>
        <v>-551.02</v>
      </c>
      <c r="O111" s="80">
        <f t="shared" ref="O111" si="82">SUM(J111-N111)</f>
        <v>39226.289999999994</v>
      </c>
      <c r="P111" s="85">
        <f t="shared" ref="P111" si="83">SUM(M111/O111)</f>
        <v>0.42031632356768911</v>
      </c>
    </row>
    <row r="112" spans="1:16" x14ac:dyDescent="0.35">
      <c r="A112" s="50" t="s">
        <v>513</v>
      </c>
      <c r="B112" s="80">
        <f>SUM('Quarter supply'!AG112-'Quarter final consumption'!CB112)</f>
        <v>34731.799999999996</v>
      </c>
      <c r="C112" s="80">
        <f>SUM('Quarter supply'!AH112:AL112)</f>
        <v>26193.239999999998</v>
      </c>
      <c r="D112" s="80">
        <f>SUM('Quarter final consumption'!CB112)</f>
        <v>1178.6299999999999</v>
      </c>
      <c r="E112" s="80">
        <f t="shared" ref="E112:E115" si="84">SUM(C112-D112)</f>
        <v>25014.609999999997</v>
      </c>
      <c r="F112" s="80">
        <f>'Quarter supply'!O112+'Quarter supply'!W112</f>
        <v>699.64</v>
      </c>
      <c r="G112" s="80">
        <v>568.74</v>
      </c>
      <c r="H112" s="81">
        <f t="shared" ref="H112" si="85">SUM(E112/B112)</f>
        <v>0.72022210193540215</v>
      </c>
      <c r="I112" s="85">
        <f t="shared" ref="I112" si="86">IF((F112+G112)&gt;0,1-(E112+F112+G112)/B112,1-H112)</f>
        <v>0.24325862754017924</v>
      </c>
      <c r="J112" s="80">
        <f>SUM('Quarter supply'!AG112)</f>
        <v>35910.429999999993</v>
      </c>
      <c r="K112" s="80">
        <f>SUM('Quarter supply'!H112)</f>
        <v>32566.520000000004</v>
      </c>
      <c r="L112" s="80">
        <f>SUM('Quarter supply'!P112)</f>
        <v>-17099.170000000002</v>
      </c>
      <c r="M112" s="83">
        <f t="shared" ref="M112:M113" si="87">SUM(L112+K112)</f>
        <v>15467.350000000002</v>
      </c>
      <c r="N112" s="80">
        <f>SUM('Quarter supply'!X112)</f>
        <v>-614.19000000000005</v>
      </c>
      <c r="O112" s="80">
        <f t="shared" ref="O112:O113" si="88">SUM(J112-N112)</f>
        <v>36524.619999999995</v>
      </c>
      <c r="P112" s="85">
        <f t="shared" ref="P112:P113" si="89">SUM(M112/O112)</f>
        <v>0.4234773695113051</v>
      </c>
    </row>
    <row r="113" spans="1:16" x14ac:dyDescent="0.35">
      <c r="A113" s="50" t="s">
        <v>514</v>
      </c>
      <c r="B113" s="80">
        <f>SUM('Quarter supply'!AG113-'Quarter final consumption'!CB113)</f>
        <v>45138.079999999994</v>
      </c>
      <c r="C113" s="80">
        <f>SUM('Quarter supply'!AH113:AL113)</f>
        <v>35685.69</v>
      </c>
      <c r="D113" s="80">
        <f>SUM('Quarter final consumption'!CB113)</f>
        <v>1065.51</v>
      </c>
      <c r="E113" s="80">
        <f t="shared" si="84"/>
        <v>34620.18</v>
      </c>
      <c r="F113" s="80">
        <f>'Quarter supply'!O113+'Quarter supply'!W113</f>
        <v>604.13</v>
      </c>
      <c r="G113" s="80">
        <v>568.74</v>
      </c>
      <c r="H113" s="81">
        <f t="shared" ref="H113" si="90">SUM(E113/B113)</f>
        <v>0.76698388588969679</v>
      </c>
      <c r="I113" s="85">
        <f t="shared" ref="I113" si="91">IF((F113+G113)&gt;0,1-(E113+F113+G113)/B113,1-H113)</f>
        <v>0.20703206693771647</v>
      </c>
      <c r="J113" s="80">
        <f>SUM('Quarter supply'!AG113)</f>
        <v>46203.59</v>
      </c>
      <c r="K113" s="80">
        <f>SUM('Quarter supply'!H113)</f>
        <v>37143.4</v>
      </c>
      <c r="L113" s="80">
        <f>SUM('Quarter supply'!P113)</f>
        <v>-15432.369999999997</v>
      </c>
      <c r="M113" s="83">
        <f t="shared" si="87"/>
        <v>21711.030000000006</v>
      </c>
      <c r="N113" s="80">
        <f>SUM('Quarter supply'!X113)</f>
        <v>-469.91</v>
      </c>
      <c r="O113" s="80">
        <f t="shared" si="88"/>
        <v>46673.5</v>
      </c>
      <c r="P113" s="85">
        <f t="shared" si="89"/>
        <v>0.46516824322152839</v>
      </c>
    </row>
    <row r="114" spans="1:16" x14ac:dyDescent="0.35">
      <c r="A114" s="50" t="s">
        <v>517</v>
      </c>
      <c r="B114" s="80">
        <f>SUM('Quarter supply'!AG114-'Quarter final consumption'!CB114)</f>
        <v>47949.44000000001</v>
      </c>
      <c r="C114" s="80">
        <f>SUM('Quarter supply'!AH114:AL114)</f>
        <v>38321.290000000008</v>
      </c>
      <c r="D114" s="80">
        <f>SUM('Quarter final consumption'!CB114)</f>
        <v>1008.76</v>
      </c>
      <c r="E114" s="80">
        <f t="shared" si="84"/>
        <v>37312.530000000006</v>
      </c>
      <c r="F114" s="80">
        <f>'Quarter supply'!O114+'Quarter supply'!W114</f>
        <v>673.48</v>
      </c>
      <c r="G114" s="80">
        <v>568.74</v>
      </c>
      <c r="H114" s="81">
        <f t="shared" ref="H114" si="92">SUM(E114/B114)</f>
        <v>0.7781640411233165</v>
      </c>
      <c r="I114" s="85">
        <f t="shared" ref="I114" si="93">IF((F114+G114)&gt;0,1-(E114+F114+G114)/B114,1-H114)</f>
        <v>0.19592908697161016</v>
      </c>
      <c r="J114" s="80">
        <f>SUM('Quarter supply'!AG114)</f>
        <v>48958.200000000012</v>
      </c>
      <c r="K114" s="80">
        <f>SUM('Quarter supply'!H114)</f>
        <v>37804.980000000003</v>
      </c>
      <c r="L114" s="80">
        <f>SUM('Quarter supply'!P114)</f>
        <v>-14795.279999999999</v>
      </c>
      <c r="M114" s="83">
        <f t="shared" ref="M114:M115" si="94">SUM(L114+K114)</f>
        <v>23009.700000000004</v>
      </c>
      <c r="N114" s="80">
        <f>SUM('Quarter supply'!X114)</f>
        <v>-443.5</v>
      </c>
      <c r="O114" s="80">
        <f t="shared" ref="O114:O115" si="95">SUM(J114-N114)</f>
        <v>49401.700000000012</v>
      </c>
      <c r="P114" s="85">
        <f t="shared" ref="P114:P115" si="96">SUM(M114/O114)</f>
        <v>0.46576737237787363</v>
      </c>
    </row>
    <row r="115" spans="1:16" x14ac:dyDescent="0.35">
      <c r="A115" s="50" t="s">
        <v>520</v>
      </c>
      <c r="B115" s="80">
        <f>SUM('Quarter supply'!AG115-'Quarter final consumption'!CB115)</f>
        <v>35905.39</v>
      </c>
      <c r="C115" s="80">
        <f>SUM('Quarter supply'!AH115:AL115)</f>
        <v>27157.480000000003</v>
      </c>
      <c r="D115" s="80">
        <f>SUM('Quarter final consumption'!CB115)</f>
        <v>1002.57</v>
      </c>
      <c r="E115" s="80">
        <f t="shared" si="84"/>
        <v>26154.910000000003</v>
      </c>
      <c r="F115" s="80">
        <f>'Quarter supply'!O115+'Quarter supply'!W115</f>
        <v>634.74</v>
      </c>
      <c r="G115" s="80">
        <v>568.74</v>
      </c>
      <c r="H115" s="81">
        <f t="shared" ref="H115" si="97">SUM(E115/B115)</f>
        <v>0.72843965766699659</v>
      </c>
      <c r="I115" s="85">
        <f t="shared" ref="I115" si="98">IF((F115+G115)&gt;0,1-(E115+F115+G115)/B115,1-H115)</f>
        <v>0.23804225493721121</v>
      </c>
      <c r="J115" s="80">
        <f>SUM('Quarter supply'!AG115)</f>
        <v>36907.96</v>
      </c>
      <c r="K115" s="80">
        <f>SUM('Quarter supply'!H115)</f>
        <v>31404.76</v>
      </c>
      <c r="L115" s="80">
        <f>SUM('Quarter supply'!P115)</f>
        <v>-17718.12</v>
      </c>
      <c r="M115" s="83">
        <f t="shared" si="94"/>
        <v>13686.64</v>
      </c>
      <c r="N115" s="80">
        <f>SUM('Quarter supply'!X115)</f>
        <v>-476.27</v>
      </c>
      <c r="O115" s="80">
        <f t="shared" si="95"/>
        <v>37384.229999999996</v>
      </c>
      <c r="P115" s="85">
        <f t="shared" si="96"/>
        <v>0.36610731316386619</v>
      </c>
    </row>
    <row r="116" spans="1:16" x14ac:dyDescent="0.35">
      <c r="A116" s="50" t="s">
        <v>522</v>
      </c>
      <c r="B116" s="80">
        <f>SUM('Quarter supply'!AG116-'Quarter final consumption'!CB116)</f>
        <v>34389.49</v>
      </c>
      <c r="C116" s="80">
        <f>SUM('Quarter supply'!AH116:AL116)</f>
        <v>26148.09</v>
      </c>
      <c r="D116" s="80">
        <f>SUM('Quarter final consumption'!CB116)</f>
        <v>1090.43</v>
      </c>
      <c r="E116" s="80">
        <f t="shared" ref="E116" si="99">SUM(C116-D116)</f>
        <v>25057.66</v>
      </c>
      <c r="F116" s="80">
        <f>'Quarter supply'!O116+'Quarter supply'!W116</f>
        <v>696.42000000000007</v>
      </c>
      <c r="G116" s="80">
        <v>568.74</v>
      </c>
      <c r="H116" s="81">
        <f t="shared" ref="H116" si="100">SUM(E116/B116)</f>
        <v>0.72864296620857127</v>
      </c>
      <c r="I116" s="85">
        <f t="shared" ref="I116" si="101">IF((F116+G116)&gt;0,1-(E116+F116+G116)/B116,1-H116)</f>
        <v>0.23456788687473984</v>
      </c>
      <c r="J116" s="80">
        <f>SUM('Quarter supply'!AG116)</f>
        <v>35479.919999999998</v>
      </c>
      <c r="K116" s="80">
        <f>SUM('Quarter supply'!H116)</f>
        <v>31609.530000000002</v>
      </c>
      <c r="L116" s="80">
        <f>SUM('Quarter supply'!P116)</f>
        <v>-16489.400000000001</v>
      </c>
      <c r="M116" s="83">
        <f t="shared" ref="M116" si="102">SUM(L116+K116)</f>
        <v>15120.130000000001</v>
      </c>
      <c r="N116" s="80">
        <f>SUM('Quarter supply'!X116)</f>
        <v>-588.57000000000005</v>
      </c>
      <c r="O116" s="80">
        <f t="shared" ref="O116" si="103">SUM(J116-N116)</f>
        <v>36068.49</v>
      </c>
      <c r="P116" s="85">
        <f t="shared" ref="P116" si="104">SUM(M116/O116)</f>
        <v>0.41920607155996831</v>
      </c>
    </row>
    <row r="117" spans="1:16" x14ac:dyDescent="0.35">
      <c r="A117" s="50" t="s">
        <v>523</v>
      </c>
      <c r="B117" s="80">
        <f>SUM('Quarter supply'!AG117-'Quarter final consumption'!CB117)</f>
        <v>43785.55</v>
      </c>
      <c r="C117" s="80">
        <f>SUM('Quarter supply'!AH117:AL117)</f>
        <v>34503.25</v>
      </c>
      <c r="D117" s="80">
        <f>SUM('Quarter final consumption'!CB117)</f>
        <v>1114.98</v>
      </c>
      <c r="E117" s="80">
        <f t="shared" ref="E117" si="105">SUM(C117-D117)</f>
        <v>33388.269999999997</v>
      </c>
      <c r="F117" s="80">
        <f>'Quarter supply'!O117+'Quarter supply'!W117</f>
        <v>551.65</v>
      </c>
      <c r="G117" s="80">
        <v>568.74</v>
      </c>
      <c r="H117" s="81">
        <f t="shared" ref="H117" si="106">SUM(E117/B117)</f>
        <v>0.76254083824458052</v>
      </c>
      <c r="I117" s="85">
        <f t="shared" ref="I117" si="107">IF((F117+G117)&gt;0,1-(E117+F117+G117)/B117,1-H117)</f>
        <v>0.21187103964664156</v>
      </c>
      <c r="J117" s="80">
        <f>SUM('Quarter supply'!AG117)</f>
        <v>44900.530000000006</v>
      </c>
      <c r="K117" s="80">
        <f>SUM('Quarter supply'!H117)</f>
        <v>35327.42</v>
      </c>
      <c r="L117" s="80">
        <f>SUM('Quarter supply'!P117)</f>
        <v>-13964.19</v>
      </c>
      <c r="M117" s="83">
        <f t="shared" ref="M117" si="108">SUM(L117+K117)</f>
        <v>21363.229999999996</v>
      </c>
      <c r="N117" s="80">
        <f>SUM('Quarter supply'!X117)</f>
        <v>-411.4</v>
      </c>
      <c r="O117" s="80">
        <f t="shared" ref="O117" si="109">SUM(J117-N117)</f>
        <v>45311.930000000008</v>
      </c>
      <c r="P117" s="85">
        <f t="shared" ref="P117" si="110">SUM(M117/O117)</f>
        <v>0.47147031697833203</v>
      </c>
    </row>
  </sheetData>
  <pageMargins left="0.7" right="0.7" top="0.75" bottom="0.75" header="0.3" footer="0.3"/>
  <pageSetup paperSize="9" orientation="portrait" r:id="rId1"/>
  <ignoredErrors>
    <ignoredError sqref="H105:I105 P105 H106:I106 P108 H108:I108 H113:I113 P113 B117:P117" evalError="1"/>
  </ignoredError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DA5A-26D3-4FEC-8815-33768AD29395}">
  <dimension ref="A1:AA29"/>
  <sheetViews>
    <sheetView showGridLines="0" zoomScaleNormal="100" workbookViewId="0">
      <pane xSplit="1" ySplit="5" topLeftCell="B23" activePane="bottomRight" state="frozen"/>
      <selection pane="topRight"/>
      <selection pane="bottomLeft"/>
      <selection pane="bottomRight" activeCell="B23" sqref="B23"/>
    </sheetView>
  </sheetViews>
  <sheetFormatPr defaultColWidth="9.1796875" defaultRowHeight="10" x14ac:dyDescent="0.2"/>
  <cols>
    <col min="1" max="1" width="17.26953125" style="18" customWidth="1"/>
    <col min="2" max="2" width="24.453125" style="18" customWidth="1"/>
    <col min="3" max="3" width="9.54296875" style="18" customWidth="1"/>
    <col min="4" max="4" width="11.1796875" style="18" customWidth="1"/>
    <col min="5" max="5" width="10.54296875" style="18" customWidth="1"/>
    <col min="6" max="6" width="16.54296875" style="18" customWidth="1"/>
    <col min="7" max="7" width="27.1796875" style="18" customWidth="1"/>
    <col min="8" max="8" width="12.453125" style="18" customWidth="1"/>
    <col min="9" max="9" width="13.7265625" style="18" customWidth="1"/>
    <col min="10" max="10" width="15.26953125" style="18" customWidth="1"/>
    <col min="11" max="11" width="23.81640625" style="18" customWidth="1"/>
    <col min="12" max="12" width="24.1796875" style="18" customWidth="1"/>
    <col min="13" max="13" width="9.54296875" style="18" customWidth="1"/>
    <col min="14" max="14" width="10.81640625" style="18" customWidth="1"/>
    <col min="15" max="15" width="8.81640625" style="18" customWidth="1"/>
    <col min="16" max="16" width="27.1796875" style="18" customWidth="1"/>
    <col min="17" max="17" width="10.54296875" style="18" customWidth="1"/>
    <col min="18" max="18" width="13.26953125" style="18" customWidth="1"/>
    <col min="19" max="19" width="11.54296875" style="18" customWidth="1"/>
    <col min="20" max="20" width="21.81640625" style="18" customWidth="1"/>
    <col min="21" max="21" width="9.453125" style="18" customWidth="1"/>
    <col min="22" max="22" width="10.453125" style="18" customWidth="1"/>
    <col min="23" max="23" width="10.81640625" style="18" customWidth="1"/>
    <col min="24" max="24" width="27.1796875" style="18" customWidth="1"/>
    <col min="25" max="26" width="13.1796875" style="18" customWidth="1"/>
    <col min="27" max="27" width="11.453125" style="18" customWidth="1"/>
    <col min="28" max="257" width="9.1796875" style="18"/>
    <col min="258" max="258" width="2.54296875" style="18" customWidth="1"/>
    <col min="259" max="259" width="9.26953125" style="18" customWidth="1"/>
    <col min="260" max="260" width="0" style="18" hidden="1" customWidth="1"/>
    <col min="261" max="264" width="9.26953125" style="18" customWidth="1"/>
    <col min="265" max="270" width="7.453125" style="18" customWidth="1"/>
    <col min="271" max="271" width="25.81640625" style="18" customWidth="1"/>
    <col min="272" max="275" width="9.26953125" style="18" customWidth="1"/>
    <col min="276" max="276" width="7.453125" style="18" customWidth="1"/>
    <col min="277" max="280" width="9.26953125" style="18" customWidth="1"/>
    <col min="281" max="281" width="10.54296875" style="18" customWidth="1"/>
    <col min="282" max="282" width="13.54296875" style="18" customWidth="1"/>
    <col min="283" max="513" width="9.1796875" style="18"/>
    <col min="514" max="514" width="2.54296875" style="18" customWidth="1"/>
    <col min="515" max="515" width="9.26953125" style="18" customWidth="1"/>
    <col min="516" max="516" width="0" style="18" hidden="1" customWidth="1"/>
    <col min="517" max="520" width="9.26953125" style="18" customWidth="1"/>
    <col min="521" max="526" width="7.453125" style="18" customWidth="1"/>
    <col min="527" max="527" width="25.81640625" style="18" customWidth="1"/>
    <col min="528" max="531" width="9.26953125" style="18" customWidth="1"/>
    <col min="532" max="532" width="7.453125" style="18" customWidth="1"/>
    <col min="533" max="536" width="9.26953125" style="18" customWidth="1"/>
    <col min="537" max="537" width="10.54296875" style="18" customWidth="1"/>
    <col min="538" max="538" width="13.54296875" style="18" customWidth="1"/>
    <col min="539" max="769" width="9.1796875" style="18"/>
    <col min="770" max="770" width="2.54296875" style="18" customWidth="1"/>
    <col min="771" max="771" width="9.26953125" style="18" customWidth="1"/>
    <col min="772" max="772" width="0" style="18" hidden="1" customWidth="1"/>
    <col min="773" max="776" width="9.26953125" style="18" customWidth="1"/>
    <col min="777" max="782" width="7.453125" style="18" customWidth="1"/>
    <col min="783" max="783" width="25.81640625" style="18" customWidth="1"/>
    <col min="784" max="787" width="9.26953125" style="18" customWidth="1"/>
    <col min="788" max="788" width="7.453125" style="18" customWidth="1"/>
    <col min="789" max="792" width="9.26953125" style="18" customWidth="1"/>
    <col min="793" max="793" width="10.54296875" style="18" customWidth="1"/>
    <col min="794" max="794" width="13.54296875" style="18" customWidth="1"/>
    <col min="795" max="1025" width="9.1796875" style="18"/>
    <col min="1026" max="1026" width="2.54296875" style="18" customWidth="1"/>
    <col min="1027" max="1027" width="9.26953125" style="18" customWidth="1"/>
    <col min="1028" max="1028" width="0" style="18" hidden="1" customWidth="1"/>
    <col min="1029" max="1032" width="9.26953125" style="18" customWidth="1"/>
    <col min="1033" max="1038" width="7.453125" style="18" customWidth="1"/>
    <col min="1039" max="1039" width="25.81640625" style="18" customWidth="1"/>
    <col min="1040" max="1043" width="9.26953125" style="18" customWidth="1"/>
    <col min="1044" max="1044" width="7.453125" style="18" customWidth="1"/>
    <col min="1045" max="1048" width="9.26953125" style="18" customWidth="1"/>
    <col min="1049" max="1049" width="10.54296875" style="18" customWidth="1"/>
    <col min="1050" max="1050" width="13.54296875" style="18" customWidth="1"/>
    <col min="1051" max="1281" width="9.1796875" style="18"/>
    <col min="1282" max="1282" width="2.54296875" style="18" customWidth="1"/>
    <col min="1283" max="1283" width="9.26953125" style="18" customWidth="1"/>
    <col min="1284" max="1284" width="0" style="18" hidden="1" customWidth="1"/>
    <col min="1285" max="1288" width="9.26953125" style="18" customWidth="1"/>
    <col min="1289" max="1294" width="7.453125" style="18" customWidth="1"/>
    <col min="1295" max="1295" width="25.81640625" style="18" customWidth="1"/>
    <col min="1296" max="1299" width="9.26953125" style="18" customWidth="1"/>
    <col min="1300" max="1300" width="7.453125" style="18" customWidth="1"/>
    <col min="1301" max="1304" width="9.26953125" style="18" customWidth="1"/>
    <col min="1305" max="1305" width="10.54296875" style="18" customWidth="1"/>
    <col min="1306" max="1306" width="13.54296875" style="18" customWidth="1"/>
    <col min="1307" max="1537" width="9.1796875" style="18"/>
    <col min="1538" max="1538" width="2.54296875" style="18" customWidth="1"/>
    <col min="1539" max="1539" width="9.26953125" style="18" customWidth="1"/>
    <col min="1540" max="1540" width="0" style="18" hidden="1" customWidth="1"/>
    <col min="1541" max="1544" width="9.26953125" style="18" customWidth="1"/>
    <col min="1545" max="1550" width="7.453125" style="18" customWidth="1"/>
    <col min="1551" max="1551" width="25.81640625" style="18" customWidth="1"/>
    <col min="1552" max="1555" width="9.26953125" style="18" customWidth="1"/>
    <col min="1556" max="1556" width="7.453125" style="18" customWidth="1"/>
    <col min="1557" max="1560" width="9.26953125" style="18" customWidth="1"/>
    <col min="1561" max="1561" width="10.54296875" style="18" customWidth="1"/>
    <col min="1562" max="1562" width="13.54296875" style="18" customWidth="1"/>
    <col min="1563" max="1793" width="9.1796875" style="18"/>
    <col min="1794" max="1794" width="2.54296875" style="18" customWidth="1"/>
    <col min="1795" max="1795" width="9.26953125" style="18" customWidth="1"/>
    <col min="1796" max="1796" width="0" style="18" hidden="1" customWidth="1"/>
    <col min="1797" max="1800" width="9.26953125" style="18" customWidth="1"/>
    <col min="1801" max="1806" width="7.453125" style="18" customWidth="1"/>
    <col min="1807" max="1807" width="25.81640625" style="18" customWidth="1"/>
    <col min="1808" max="1811" width="9.26953125" style="18" customWidth="1"/>
    <col min="1812" max="1812" width="7.453125" style="18" customWidth="1"/>
    <col min="1813" max="1816" width="9.26953125" style="18" customWidth="1"/>
    <col min="1817" max="1817" width="10.54296875" style="18" customWidth="1"/>
    <col min="1818" max="1818" width="13.54296875" style="18" customWidth="1"/>
    <col min="1819" max="2049" width="9.1796875" style="18"/>
    <col min="2050" max="2050" width="2.54296875" style="18" customWidth="1"/>
    <col min="2051" max="2051" width="9.26953125" style="18" customWidth="1"/>
    <col min="2052" max="2052" width="0" style="18" hidden="1" customWidth="1"/>
    <col min="2053" max="2056" width="9.26953125" style="18" customWidth="1"/>
    <col min="2057" max="2062" width="7.453125" style="18" customWidth="1"/>
    <col min="2063" max="2063" width="25.81640625" style="18" customWidth="1"/>
    <col min="2064" max="2067" width="9.26953125" style="18" customWidth="1"/>
    <col min="2068" max="2068" width="7.453125" style="18" customWidth="1"/>
    <col min="2069" max="2072" width="9.26953125" style="18" customWidth="1"/>
    <col min="2073" max="2073" width="10.54296875" style="18" customWidth="1"/>
    <col min="2074" max="2074" width="13.54296875" style="18" customWidth="1"/>
    <col min="2075" max="2305" width="9.1796875" style="18"/>
    <col min="2306" max="2306" width="2.54296875" style="18" customWidth="1"/>
    <col min="2307" max="2307" width="9.26953125" style="18" customWidth="1"/>
    <col min="2308" max="2308" width="0" style="18" hidden="1" customWidth="1"/>
    <col min="2309" max="2312" width="9.26953125" style="18" customWidth="1"/>
    <col min="2313" max="2318" width="7.453125" style="18" customWidth="1"/>
    <col min="2319" max="2319" width="25.81640625" style="18" customWidth="1"/>
    <col min="2320" max="2323" width="9.26953125" style="18" customWidth="1"/>
    <col min="2324" max="2324" width="7.453125" style="18" customWidth="1"/>
    <col min="2325" max="2328" width="9.26953125" style="18" customWidth="1"/>
    <col min="2329" max="2329" width="10.54296875" style="18" customWidth="1"/>
    <col min="2330" max="2330" width="13.54296875" style="18" customWidth="1"/>
    <col min="2331" max="2561" width="9.1796875" style="18"/>
    <col min="2562" max="2562" width="2.54296875" style="18" customWidth="1"/>
    <col min="2563" max="2563" width="9.26953125" style="18" customWidth="1"/>
    <col min="2564" max="2564" width="0" style="18" hidden="1" customWidth="1"/>
    <col min="2565" max="2568" width="9.26953125" style="18" customWidth="1"/>
    <col min="2569" max="2574" width="7.453125" style="18" customWidth="1"/>
    <col min="2575" max="2575" width="25.81640625" style="18" customWidth="1"/>
    <col min="2576" max="2579" width="9.26953125" style="18" customWidth="1"/>
    <col min="2580" max="2580" width="7.453125" style="18" customWidth="1"/>
    <col min="2581" max="2584" width="9.26953125" style="18" customWidth="1"/>
    <col min="2585" max="2585" width="10.54296875" style="18" customWidth="1"/>
    <col min="2586" max="2586" width="13.54296875" style="18" customWidth="1"/>
    <col min="2587" max="2817" width="9.1796875" style="18"/>
    <col min="2818" max="2818" width="2.54296875" style="18" customWidth="1"/>
    <col min="2819" max="2819" width="9.26953125" style="18" customWidth="1"/>
    <col min="2820" max="2820" width="0" style="18" hidden="1" customWidth="1"/>
    <col min="2821" max="2824" width="9.26953125" style="18" customWidth="1"/>
    <col min="2825" max="2830" width="7.453125" style="18" customWidth="1"/>
    <col min="2831" max="2831" width="25.81640625" style="18" customWidth="1"/>
    <col min="2832" max="2835" width="9.26953125" style="18" customWidth="1"/>
    <col min="2836" max="2836" width="7.453125" style="18" customWidth="1"/>
    <col min="2837" max="2840" width="9.26953125" style="18" customWidth="1"/>
    <col min="2841" max="2841" width="10.54296875" style="18" customWidth="1"/>
    <col min="2842" max="2842" width="13.54296875" style="18" customWidth="1"/>
    <col min="2843" max="3073" width="9.1796875" style="18"/>
    <col min="3074" max="3074" width="2.54296875" style="18" customWidth="1"/>
    <col min="3075" max="3075" width="9.26953125" style="18" customWidth="1"/>
    <col min="3076" max="3076" width="0" style="18" hidden="1" customWidth="1"/>
    <col min="3077" max="3080" width="9.26953125" style="18" customWidth="1"/>
    <col min="3081" max="3086" width="7.453125" style="18" customWidth="1"/>
    <col min="3087" max="3087" width="25.81640625" style="18" customWidth="1"/>
    <col min="3088" max="3091" width="9.26953125" style="18" customWidth="1"/>
    <col min="3092" max="3092" width="7.453125" style="18" customWidth="1"/>
    <col min="3093" max="3096" width="9.26953125" style="18" customWidth="1"/>
    <col min="3097" max="3097" width="10.54296875" style="18" customWidth="1"/>
    <col min="3098" max="3098" width="13.54296875" style="18" customWidth="1"/>
    <col min="3099" max="3329" width="9.1796875" style="18"/>
    <col min="3330" max="3330" width="2.54296875" style="18" customWidth="1"/>
    <col min="3331" max="3331" width="9.26953125" style="18" customWidth="1"/>
    <col min="3332" max="3332" width="0" style="18" hidden="1" customWidth="1"/>
    <col min="3333" max="3336" width="9.26953125" style="18" customWidth="1"/>
    <col min="3337" max="3342" width="7.453125" style="18" customWidth="1"/>
    <col min="3343" max="3343" width="25.81640625" style="18" customWidth="1"/>
    <col min="3344" max="3347" width="9.26953125" style="18" customWidth="1"/>
    <col min="3348" max="3348" width="7.453125" style="18" customWidth="1"/>
    <col min="3349" max="3352" width="9.26953125" style="18" customWidth="1"/>
    <col min="3353" max="3353" width="10.54296875" style="18" customWidth="1"/>
    <col min="3354" max="3354" width="13.54296875" style="18" customWidth="1"/>
    <col min="3355" max="3585" width="9.1796875" style="18"/>
    <col min="3586" max="3586" width="2.54296875" style="18" customWidth="1"/>
    <col min="3587" max="3587" width="9.26953125" style="18" customWidth="1"/>
    <col min="3588" max="3588" width="0" style="18" hidden="1" customWidth="1"/>
    <col min="3589" max="3592" width="9.26953125" style="18" customWidth="1"/>
    <col min="3593" max="3598" width="7.453125" style="18" customWidth="1"/>
    <col min="3599" max="3599" width="25.81640625" style="18" customWidth="1"/>
    <col min="3600" max="3603" width="9.26953125" style="18" customWidth="1"/>
    <col min="3604" max="3604" width="7.453125" style="18" customWidth="1"/>
    <col min="3605" max="3608" width="9.26953125" style="18" customWidth="1"/>
    <col min="3609" max="3609" width="10.54296875" style="18" customWidth="1"/>
    <col min="3610" max="3610" width="13.54296875" style="18" customWidth="1"/>
    <col min="3611" max="3841" width="9.1796875" style="18"/>
    <col min="3842" max="3842" width="2.54296875" style="18" customWidth="1"/>
    <col min="3843" max="3843" width="9.26953125" style="18" customWidth="1"/>
    <col min="3844" max="3844" width="0" style="18" hidden="1" customWidth="1"/>
    <col min="3845" max="3848" width="9.26953125" style="18" customWidth="1"/>
    <col min="3849" max="3854" width="7.453125" style="18" customWidth="1"/>
    <col min="3855" max="3855" width="25.81640625" style="18" customWidth="1"/>
    <col min="3856" max="3859" width="9.26953125" style="18" customWidth="1"/>
    <col min="3860" max="3860" width="7.453125" style="18" customWidth="1"/>
    <col min="3861" max="3864" width="9.26953125" style="18" customWidth="1"/>
    <col min="3865" max="3865" width="10.54296875" style="18" customWidth="1"/>
    <col min="3866" max="3866" width="13.54296875" style="18" customWidth="1"/>
    <col min="3867" max="4097" width="9.1796875" style="18"/>
    <col min="4098" max="4098" width="2.54296875" style="18" customWidth="1"/>
    <col min="4099" max="4099" width="9.26953125" style="18" customWidth="1"/>
    <col min="4100" max="4100" width="0" style="18" hidden="1" customWidth="1"/>
    <col min="4101" max="4104" width="9.26953125" style="18" customWidth="1"/>
    <col min="4105" max="4110" width="7.453125" style="18" customWidth="1"/>
    <col min="4111" max="4111" width="25.81640625" style="18" customWidth="1"/>
    <col min="4112" max="4115" width="9.26953125" style="18" customWidth="1"/>
    <col min="4116" max="4116" width="7.453125" style="18" customWidth="1"/>
    <col min="4117" max="4120" width="9.26953125" style="18" customWidth="1"/>
    <col min="4121" max="4121" width="10.54296875" style="18" customWidth="1"/>
    <col min="4122" max="4122" width="13.54296875" style="18" customWidth="1"/>
    <col min="4123" max="4353" width="9.1796875" style="18"/>
    <col min="4354" max="4354" width="2.54296875" style="18" customWidth="1"/>
    <col min="4355" max="4355" width="9.26953125" style="18" customWidth="1"/>
    <col min="4356" max="4356" width="0" style="18" hidden="1" customWidth="1"/>
    <col min="4357" max="4360" width="9.26953125" style="18" customWidth="1"/>
    <col min="4361" max="4366" width="7.453125" style="18" customWidth="1"/>
    <col min="4367" max="4367" width="25.81640625" style="18" customWidth="1"/>
    <col min="4368" max="4371" width="9.26953125" style="18" customWidth="1"/>
    <col min="4372" max="4372" width="7.453125" style="18" customWidth="1"/>
    <col min="4373" max="4376" width="9.26953125" style="18" customWidth="1"/>
    <col min="4377" max="4377" width="10.54296875" style="18" customWidth="1"/>
    <col min="4378" max="4378" width="13.54296875" style="18" customWidth="1"/>
    <col min="4379" max="4609" width="9.1796875" style="18"/>
    <col min="4610" max="4610" width="2.54296875" style="18" customWidth="1"/>
    <col min="4611" max="4611" width="9.26953125" style="18" customWidth="1"/>
    <col min="4612" max="4612" width="0" style="18" hidden="1" customWidth="1"/>
    <col min="4613" max="4616" width="9.26953125" style="18" customWidth="1"/>
    <col min="4617" max="4622" width="7.453125" style="18" customWidth="1"/>
    <col min="4623" max="4623" width="25.81640625" style="18" customWidth="1"/>
    <col min="4624" max="4627" width="9.26953125" style="18" customWidth="1"/>
    <col min="4628" max="4628" width="7.453125" style="18" customWidth="1"/>
    <col min="4629" max="4632" width="9.26953125" style="18" customWidth="1"/>
    <col min="4633" max="4633" width="10.54296875" style="18" customWidth="1"/>
    <col min="4634" max="4634" width="13.54296875" style="18" customWidth="1"/>
    <col min="4635" max="4865" width="9.1796875" style="18"/>
    <col min="4866" max="4866" width="2.54296875" style="18" customWidth="1"/>
    <col min="4867" max="4867" width="9.26953125" style="18" customWidth="1"/>
    <col min="4868" max="4868" width="0" style="18" hidden="1" customWidth="1"/>
    <col min="4869" max="4872" width="9.26953125" style="18" customWidth="1"/>
    <col min="4873" max="4878" width="7.453125" style="18" customWidth="1"/>
    <col min="4879" max="4879" width="25.81640625" style="18" customWidth="1"/>
    <col min="4880" max="4883" width="9.26953125" style="18" customWidth="1"/>
    <col min="4884" max="4884" width="7.453125" style="18" customWidth="1"/>
    <col min="4885" max="4888" width="9.26953125" style="18" customWidth="1"/>
    <col min="4889" max="4889" width="10.54296875" style="18" customWidth="1"/>
    <col min="4890" max="4890" width="13.54296875" style="18" customWidth="1"/>
    <col min="4891" max="5121" width="9.1796875" style="18"/>
    <col min="5122" max="5122" width="2.54296875" style="18" customWidth="1"/>
    <col min="5123" max="5123" width="9.26953125" style="18" customWidth="1"/>
    <col min="5124" max="5124" width="0" style="18" hidden="1" customWidth="1"/>
    <col min="5125" max="5128" width="9.26953125" style="18" customWidth="1"/>
    <col min="5129" max="5134" width="7.453125" style="18" customWidth="1"/>
    <col min="5135" max="5135" width="25.81640625" style="18" customWidth="1"/>
    <col min="5136" max="5139" width="9.26953125" style="18" customWidth="1"/>
    <col min="5140" max="5140" width="7.453125" style="18" customWidth="1"/>
    <col min="5141" max="5144" width="9.26953125" style="18" customWidth="1"/>
    <col min="5145" max="5145" width="10.54296875" style="18" customWidth="1"/>
    <col min="5146" max="5146" width="13.54296875" style="18" customWidth="1"/>
    <col min="5147" max="5377" width="9.1796875" style="18"/>
    <col min="5378" max="5378" width="2.54296875" style="18" customWidth="1"/>
    <col min="5379" max="5379" width="9.26953125" style="18" customWidth="1"/>
    <col min="5380" max="5380" width="0" style="18" hidden="1" customWidth="1"/>
    <col min="5381" max="5384" width="9.26953125" style="18" customWidth="1"/>
    <col min="5385" max="5390" width="7.453125" style="18" customWidth="1"/>
    <col min="5391" max="5391" width="25.81640625" style="18" customWidth="1"/>
    <col min="5392" max="5395" width="9.26953125" style="18" customWidth="1"/>
    <col min="5396" max="5396" width="7.453125" style="18" customWidth="1"/>
    <col min="5397" max="5400" width="9.26953125" style="18" customWidth="1"/>
    <col min="5401" max="5401" width="10.54296875" style="18" customWidth="1"/>
    <col min="5402" max="5402" width="13.54296875" style="18" customWidth="1"/>
    <col min="5403" max="5633" width="9.1796875" style="18"/>
    <col min="5634" max="5634" width="2.54296875" style="18" customWidth="1"/>
    <col min="5635" max="5635" width="9.26953125" style="18" customWidth="1"/>
    <col min="5636" max="5636" width="0" style="18" hidden="1" customWidth="1"/>
    <col min="5637" max="5640" width="9.26953125" style="18" customWidth="1"/>
    <col min="5641" max="5646" width="7.453125" style="18" customWidth="1"/>
    <col min="5647" max="5647" width="25.81640625" style="18" customWidth="1"/>
    <col min="5648" max="5651" width="9.26953125" style="18" customWidth="1"/>
    <col min="5652" max="5652" width="7.453125" style="18" customWidth="1"/>
    <col min="5653" max="5656" width="9.26953125" style="18" customWidth="1"/>
    <col min="5657" max="5657" width="10.54296875" style="18" customWidth="1"/>
    <col min="5658" max="5658" width="13.54296875" style="18" customWidth="1"/>
    <col min="5659" max="5889" width="9.1796875" style="18"/>
    <col min="5890" max="5890" width="2.54296875" style="18" customWidth="1"/>
    <col min="5891" max="5891" width="9.26953125" style="18" customWidth="1"/>
    <col min="5892" max="5892" width="0" style="18" hidden="1" customWidth="1"/>
    <col min="5893" max="5896" width="9.26953125" style="18" customWidth="1"/>
    <col min="5897" max="5902" width="7.453125" style="18" customWidth="1"/>
    <col min="5903" max="5903" width="25.81640625" style="18" customWidth="1"/>
    <col min="5904" max="5907" width="9.26953125" style="18" customWidth="1"/>
    <col min="5908" max="5908" width="7.453125" style="18" customWidth="1"/>
    <col min="5909" max="5912" width="9.26953125" style="18" customWidth="1"/>
    <col min="5913" max="5913" width="10.54296875" style="18" customWidth="1"/>
    <col min="5914" max="5914" width="13.54296875" style="18" customWidth="1"/>
    <col min="5915" max="6145" width="9.1796875" style="18"/>
    <col min="6146" max="6146" width="2.54296875" style="18" customWidth="1"/>
    <col min="6147" max="6147" width="9.26953125" style="18" customWidth="1"/>
    <col min="6148" max="6148" width="0" style="18" hidden="1" customWidth="1"/>
    <col min="6149" max="6152" width="9.26953125" style="18" customWidth="1"/>
    <col min="6153" max="6158" width="7.453125" style="18" customWidth="1"/>
    <col min="6159" max="6159" width="25.81640625" style="18" customWidth="1"/>
    <col min="6160" max="6163" width="9.26953125" style="18" customWidth="1"/>
    <col min="6164" max="6164" width="7.453125" style="18" customWidth="1"/>
    <col min="6165" max="6168" width="9.26953125" style="18" customWidth="1"/>
    <col min="6169" max="6169" width="10.54296875" style="18" customWidth="1"/>
    <col min="6170" max="6170" width="13.54296875" style="18" customWidth="1"/>
    <col min="6171" max="6401" width="9.1796875" style="18"/>
    <col min="6402" max="6402" width="2.54296875" style="18" customWidth="1"/>
    <col min="6403" max="6403" width="9.26953125" style="18" customWidth="1"/>
    <col min="6404" max="6404" width="0" style="18" hidden="1" customWidth="1"/>
    <col min="6405" max="6408" width="9.26953125" style="18" customWidth="1"/>
    <col min="6409" max="6414" width="7.453125" style="18" customWidth="1"/>
    <col min="6415" max="6415" width="25.81640625" style="18" customWidth="1"/>
    <col min="6416" max="6419" width="9.26953125" style="18" customWidth="1"/>
    <col min="6420" max="6420" width="7.453125" style="18" customWidth="1"/>
    <col min="6421" max="6424" width="9.26953125" style="18" customWidth="1"/>
    <col min="6425" max="6425" width="10.54296875" style="18" customWidth="1"/>
    <col min="6426" max="6426" width="13.54296875" style="18" customWidth="1"/>
    <col min="6427" max="6657" width="9.1796875" style="18"/>
    <col min="6658" max="6658" width="2.54296875" style="18" customWidth="1"/>
    <col min="6659" max="6659" width="9.26953125" style="18" customWidth="1"/>
    <col min="6660" max="6660" width="0" style="18" hidden="1" customWidth="1"/>
    <col min="6661" max="6664" width="9.26953125" style="18" customWidth="1"/>
    <col min="6665" max="6670" width="7.453125" style="18" customWidth="1"/>
    <col min="6671" max="6671" width="25.81640625" style="18" customWidth="1"/>
    <col min="6672" max="6675" width="9.26953125" style="18" customWidth="1"/>
    <col min="6676" max="6676" width="7.453125" style="18" customWidth="1"/>
    <col min="6677" max="6680" width="9.26953125" style="18" customWidth="1"/>
    <col min="6681" max="6681" width="10.54296875" style="18" customWidth="1"/>
    <col min="6682" max="6682" width="13.54296875" style="18" customWidth="1"/>
    <col min="6683" max="6913" width="9.1796875" style="18"/>
    <col min="6914" max="6914" width="2.54296875" style="18" customWidth="1"/>
    <col min="6915" max="6915" width="9.26953125" style="18" customWidth="1"/>
    <col min="6916" max="6916" width="0" style="18" hidden="1" customWidth="1"/>
    <col min="6917" max="6920" width="9.26953125" style="18" customWidth="1"/>
    <col min="6921" max="6926" width="7.453125" style="18" customWidth="1"/>
    <col min="6927" max="6927" width="25.81640625" style="18" customWidth="1"/>
    <col min="6928" max="6931" width="9.26953125" style="18" customWidth="1"/>
    <col min="6932" max="6932" width="7.453125" style="18" customWidth="1"/>
    <col min="6933" max="6936" width="9.26953125" style="18" customWidth="1"/>
    <col min="6937" max="6937" width="10.54296875" style="18" customWidth="1"/>
    <col min="6938" max="6938" width="13.54296875" style="18" customWidth="1"/>
    <col min="6939" max="7169" width="9.1796875" style="18"/>
    <col min="7170" max="7170" width="2.54296875" style="18" customWidth="1"/>
    <col min="7171" max="7171" width="9.26953125" style="18" customWidth="1"/>
    <col min="7172" max="7172" width="0" style="18" hidden="1" customWidth="1"/>
    <col min="7173" max="7176" width="9.26953125" style="18" customWidth="1"/>
    <col min="7177" max="7182" width="7.453125" style="18" customWidth="1"/>
    <col min="7183" max="7183" width="25.81640625" style="18" customWidth="1"/>
    <col min="7184" max="7187" width="9.26953125" style="18" customWidth="1"/>
    <col min="7188" max="7188" width="7.453125" style="18" customWidth="1"/>
    <col min="7189" max="7192" width="9.26953125" style="18" customWidth="1"/>
    <col min="7193" max="7193" width="10.54296875" style="18" customWidth="1"/>
    <col min="7194" max="7194" width="13.54296875" style="18" customWidth="1"/>
    <col min="7195" max="7425" width="9.1796875" style="18"/>
    <col min="7426" max="7426" width="2.54296875" style="18" customWidth="1"/>
    <col min="7427" max="7427" width="9.26953125" style="18" customWidth="1"/>
    <col min="7428" max="7428" width="0" style="18" hidden="1" customWidth="1"/>
    <col min="7429" max="7432" width="9.26953125" style="18" customWidth="1"/>
    <col min="7433" max="7438" width="7.453125" style="18" customWidth="1"/>
    <col min="7439" max="7439" width="25.81640625" style="18" customWidth="1"/>
    <col min="7440" max="7443" width="9.26953125" style="18" customWidth="1"/>
    <col min="7444" max="7444" width="7.453125" style="18" customWidth="1"/>
    <col min="7445" max="7448" width="9.26953125" style="18" customWidth="1"/>
    <col min="7449" max="7449" width="10.54296875" style="18" customWidth="1"/>
    <col min="7450" max="7450" width="13.54296875" style="18" customWidth="1"/>
    <col min="7451" max="7681" width="9.1796875" style="18"/>
    <col min="7682" max="7682" width="2.54296875" style="18" customWidth="1"/>
    <col min="7683" max="7683" width="9.26953125" style="18" customWidth="1"/>
    <col min="7684" max="7684" width="0" style="18" hidden="1" customWidth="1"/>
    <col min="7685" max="7688" width="9.26953125" style="18" customWidth="1"/>
    <col min="7689" max="7694" width="7.453125" style="18" customWidth="1"/>
    <col min="7695" max="7695" width="25.81640625" style="18" customWidth="1"/>
    <col min="7696" max="7699" width="9.26953125" style="18" customWidth="1"/>
    <col min="7700" max="7700" width="7.453125" style="18" customWidth="1"/>
    <col min="7701" max="7704" width="9.26953125" style="18" customWidth="1"/>
    <col min="7705" max="7705" width="10.54296875" style="18" customWidth="1"/>
    <col min="7706" max="7706" width="13.54296875" style="18" customWidth="1"/>
    <col min="7707" max="7937" width="9.1796875" style="18"/>
    <col min="7938" max="7938" width="2.54296875" style="18" customWidth="1"/>
    <col min="7939" max="7939" width="9.26953125" style="18" customWidth="1"/>
    <col min="7940" max="7940" width="0" style="18" hidden="1" customWidth="1"/>
    <col min="7941" max="7944" width="9.26953125" style="18" customWidth="1"/>
    <col min="7945" max="7950" width="7.453125" style="18" customWidth="1"/>
    <col min="7951" max="7951" width="25.81640625" style="18" customWidth="1"/>
    <col min="7952" max="7955" width="9.26953125" style="18" customWidth="1"/>
    <col min="7956" max="7956" width="7.453125" style="18" customWidth="1"/>
    <col min="7957" max="7960" width="9.26953125" style="18" customWidth="1"/>
    <col min="7961" max="7961" width="10.54296875" style="18" customWidth="1"/>
    <col min="7962" max="7962" width="13.54296875" style="18" customWidth="1"/>
    <col min="7963" max="8193" width="9.1796875" style="18"/>
    <col min="8194" max="8194" width="2.54296875" style="18" customWidth="1"/>
    <col min="8195" max="8195" width="9.26953125" style="18" customWidth="1"/>
    <col min="8196" max="8196" width="0" style="18" hidden="1" customWidth="1"/>
    <col min="8197" max="8200" width="9.26953125" style="18" customWidth="1"/>
    <col min="8201" max="8206" width="7.453125" style="18" customWidth="1"/>
    <col min="8207" max="8207" width="25.81640625" style="18" customWidth="1"/>
    <col min="8208" max="8211" width="9.26953125" style="18" customWidth="1"/>
    <col min="8212" max="8212" width="7.453125" style="18" customWidth="1"/>
    <col min="8213" max="8216" width="9.26953125" style="18" customWidth="1"/>
    <col min="8217" max="8217" width="10.54296875" style="18" customWidth="1"/>
    <col min="8218" max="8218" width="13.54296875" style="18" customWidth="1"/>
    <col min="8219" max="8449" width="9.1796875" style="18"/>
    <col min="8450" max="8450" width="2.54296875" style="18" customWidth="1"/>
    <col min="8451" max="8451" width="9.26953125" style="18" customWidth="1"/>
    <col min="8452" max="8452" width="0" style="18" hidden="1" customWidth="1"/>
    <col min="8453" max="8456" width="9.26953125" style="18" customWidth="1"/>
    <col min="8457" max="8462" width="7.453125" style="18" customWidth="1"/>
    <col min="8463" max="8463" width="25.81640625" style="18" customWidth="1"/>
    <col min="8464" max="8467" width="9.26953125" style="18" customWidth="1"/>
    <col min="8468" max="8468" width="7.453125" style="18" customWidth="1"/>
    <col min="8469" max="8472" width="9.26953125" style="18" customWidth="1"/>
    <col min="8473" max="8473" width="10.54296875" style="18" customWidth="1"/>
    <col min="8474" max="8474" width="13.54296875" style="18" customWidth="1"/>
    <col min="8475" max="8705" width="9.1796875" style="18"/>
    <col min="8706" max="8706" width="2.54296875" style="18" customWidth="1"/>
    <col min="8707" max="8707" width="9.26953125" style="18" customWidth="1"/>
    <col min="8708" max="8708" width="0" style="18" hidden="1" customWidth="1"/>
    <col min="8709" max="8712" width="9.26953125" style="18" customWidth="1"/>
    <col min="8713" max="8718" width="7.453125" style="18" customWidth="1"/>
    <col min="8719" max="8719" width="25.81640625" style="18" customWidth="1"/>
    <col min="8720" max="8723" width="9.26953125" style="18" customWidth="1"/>
    <col min="8724" max="8724" width="7.453125" style="18" customWidth="1"/>
    <col min="8725" max="8728" width="9.26953125" style="18" customWidth="1"/>
    <col min="8729" max="8729" width="10.54296875" style="18" customWidth="1"/>
    <col min="8730" max="8730" width="13.54296875" style="18" customWidth="1"/>
    <col min="8731" max="8961" width="9.1796875" style="18"/>
    <col min="8962" max="8962" width="2.54296875" style="18" customWidth="1"/>
    <col min="8963" max="8963" width="9.26953125" style="18" customWidth="1"/>
    <col min="8964" max="8964" width="0" style="18" hidden="1" customWidth="1"/>
    <col min="8965" max="8968" width="9.26953125" style="18" customWidth="1"/>
    <col min="8969" max="8974" width="7.453125" style="18" customWidth="1"/>
    <col min="8975" max="8975" width="25.81640625" style="18" customWidth="1"/>
    <col min="8976" max="8979" width="9.26953125" style="18" customWidth="1"/>
    <col min="8980" max="8980" width="7.453125" style="18" customWidth="1"/>
    <col min="8981" max="8984" width="9.26953125" style="18" customWidth="1"/>
    <col min="8985" max="8985" width="10.54296875" style="18" customWidth="1"/>
    <col min="8986" max="8986" width="13.54296875" style="18" customWidth="1"/>
    <col min="8987" max="9217" width="9.1796875" style="18"/>
    <col min="9218" max="9218" width="2.54296875" style="18" customWidth="1"/>
    <col min="9219" max="9219" width="9.26953125" style="18" customWidth="1"/>
    <col min="9220" max="9220" width="0" style="18" hidden="1" customWidth="1"/>
    <col min="9221" max="9224" width="9.26953125" style="18" customWidth="1"/>
    <col min="9225" max="9230" width="7.453125" style="18" customWidth="1"/>
    <col min="9231" max="9231" width="25.81640625" style="18" customWidth="1"/>
    <col min="9232" max="9235" width="9.26953125" style="18" customWidth="1"/>
    <col min="9236" max="9236" width="7.453125" style="18" customWidth="1"/>
    <col min="9237" max="9240" width="9.26953125" style="18" customWidth="1"/>
    <col min="9241" max="9241" width="10.54296875" style="18" customWidth="1"/>
    <col min="9242" max="9242" width="13.54296875" style="18" customWidth="1"/>
    <col min="9243" max="9473" width="9.1796875" style="18"/>
    <col min="9474" max="9474" width="2.54296875" style="18" customWidth="1"/>
    <col min="9475" max="9475" width="9.26953125" style="18" customWidth="1"/>
    <col min="9476" max="9476" width="0" style="18" hidden="1" customWidth="1"/>
    <col min="9477" max="9480" width="9.26953125" style="18" customWidth="1"/>
    <col min="9481" max="9486" width="7.453125" style="18" customWidth="1"/>
    <col min="9487" max="9487" width="25.81640625" style="18" customWidth="1"/>
    <col min="9488" max="9491" width="9.26953125" style="18" customWidth="1"/>
    <col min="9492" max="9492" width="7.453125" style="18" customWidth="1"/>
    <col min="9493" max="9496" width="9.26953125" style="18" customWidth="1"/>
    <col min="9497" max="9497" width="10.54296875" style="18" customWidth="1"/>
    <col min="9498" max="9498" width="13.54296875" style="18" customWidth="1"/>
    <col min="9499" max="9729" width="9.1796875" style="18"/>
    <col min="9730" max="9730" width="2.54296875" style="18" customWidth="1"/>
    <col min="9731" max="9731" width="9.26953125" style="18" customWidth="1"/>
    <col min="9732" max="9732" width="0" style="18" hidden="1" customWidth="1"/>
    <col min="9733" max="9736" width="9.26953125" style="18" customWidth="1"/>
    <col min="9737" max="9742" width="7.453125" style="18" customWidth="1"/>
    <col min="9743" max="9743" width="25.81640625" style="18" customWidth="1"/>
    <col min="9744" max="9747" width="9.26953125" style="18" customWidth="1"/>
    <col min="9748" max="9748" width="7.453125" style="18" customWidth="1"/>
    <col min="9749" max="9752" width="9.26953125" style="18" customWidth="1"/>
    <col min="9753" max="9753" width="10.54296875" style="18" customWidth="1"/>
    <col min="9754" max="9754" width="13.54296875" style="18" customWidth="1"/>
    <col min="9755" max="9985" width="9.1796875" style="18"/>
    <col min="9986" max="9986" width="2.54296875" style="18" customWidth="1"/>
    <col min="9987" max="9987" width="9.26953125" style="18" customWidth="1"/>
    <col min="9988" max="9988" width="0" style="18" hidden="1" customWidth="1"/>
    <col min="9989" max="9992" width="9.26953125" style="18" customWidth="1"/>
    <col min="9993" max="9998" width="7.453125" style="18" customWidth="1"/>
    <col min="9999" max="9999" width="25.81640625" style="18" customWidth="1"/>
    <col min="10000" max="10003" width="9.26953125" style="18" customWidth="1"/>
    <col min="10004" max="10004" width="7.453125" style="18" customWidth="1"/>
    <col min="10005" max="10008" width="9.26953125" style="18" customWidth="1"/>
    <col min="10009" max="10009" width="10.54296875" style="18" customWidth="1"/>
    <col min="10010" max="10010" width="13.54296875" style="18" customWidth="1"/>
    <col min="10011" max="10241" width="9.1796875" style="18"/>
    <col min="10242" max="10242" width="2.54296875" style="18" customWidth="1"/>
    <col min="10243" max="10243" width="9.26953125" style="18" customWidth="1"/>
    <col min="10244" max="10244" width="0" style="18" hidden="1" customWidth="1"/>
    <col min="10245" max="10248" width="9.26953125" style="18" customWidth="1"/>
    <col min="10249" max="10254" width="7.453125" style="18" customWidth="1"/>
    <col min="10255" max="10255" width="25.81640625" style="18" customWidth="1"/>
    <col min="10256" max="10259" width="9.26953125" style="18" customWidth="1"/>
    <col min="10260" max="10260" width="7.453125" style="18" customWidth="1"/>
    <col min="10261" max="10264" width="9.26953125" style="18" customWidth="1"/>
    <col min="10265" max="10265" width="10.54296875" style="18" customWidth="1"/>
    <col min="10266" max="10266" width="13.54296875" style="18" customWidth="1"/>
    <col min="10267" max="10497" width="9.1796875" style="18"/>
    <col min="10498" max="10498" width="2.54296875" style="18" customWidth="1"/>
    <col min="10499" max="10499" width="9.26953125" style="18" customWidth="1"/>
    <col min="10500" max="10500" width="0" style="18" hidden="1" customWidth="1"/>
    <col min="10501" max="10504" width="9.26953125" style="18" customWidth="1"/>
    <col min="10505" max="10510" width="7.453125" style="18" customWidth="1"/>
    <col min="10511" max="10511" width="25.81640625" style="18" customWidth="1"/>
    <col min="10512" max="10515" width="9.26953125" style="18" customWidth="1"/>
    <col min="10516" max="10516" width="7.453125" style="18" customWidth="1"/>
    <col min="10517" max="10520" width="9.26953125" style="18" customWidth="1"/>
    <col min="10521" max="10521" width="10.54296875" style="18" customWidth="1"/>
    <col min="10522" max="10522" width="13.54296875" style="18" customWidth="1"/>
    <col min="10523" max="10753" width="9.1796875" style="18"/>
    <col min="10754" max="10754" width="2.54296875" style="18" customWidth="1"/>
    <col min="10755" max="10755" width="9.26953125" style="18" customWidth="1"/>
    <col min="10756" max="10756" width="0" style="18" hidden="1" customWidth="1"/>
    <col min="10757" max="10760" width="9.26953125" style="18" customWidth="1"/>
    <col min="10761" max="10766" width="7.453125" style="18" customWidth="1"/>
    <col min="10767" max="10767" width="25.81640625" style="18" customWidth="1"/>
    <col min="10768" max="10771" width="9.26953125" style="18" customWidth="1"/>
    <col min="10772" max="10772" width="7.453125" style="18" customWidth="1"/>
    <col min="10773" max="10776" width="9.26953125" style="18" customWidth="1"/>
    <col min="10777" max="10777" width="10.54296875" style="18" customWidth="1"/>
    <col min="10778" max="10778" width="13.54296875" style="18" customWidth="1"/>
    <col min="10779" max="11009" width="9.1796875" style="18"/>
    <col min="11010" max="11010" width="2.54296875" style="18" customWidth="1"/>
    <col min="11011" max="11011" width="9.26953125" style="18" customWidth="1"/>
    <col min="11012" max="11012" width="0" style="18" hidden="1" customWidth="1"/>
    <col min="11013" max="11016" width="9.26953125" style="18" customWidth="1"/>
    <col min="11017" max="11022" width="7.453125" style="18" customWidth="1"/>
    <col min="11023" max="11023" width="25.81640625" style="18" customWidth="1"/>
    <col min="11024" max="11027" width="9.26953125" style="18" customWidth="1"/>
    <col min="11028" max="11028" width="7.453125" style="18" customWidth="1"/>
    <col min="11029" max="11032" width="9.26953125" style="18" customWidth="1"/>
    <col min="11033" max="11033" width="10.54296875" style="18" customWidth="1"/>
    <col min="11034" max="11034" width="13.54296875" style="18" customWidth="1"/>
    <col min="11035" max="11265" width="9.1796875" style="18"/>
    <col min="11266" max="11266" width="2.54296875" style="18" customWidth="1"/>
    <col min="11267" max="11267" width="9.26953125" style="18" customWidth="1"/>
    <col min="11268" max="11268" width="0" style="18" hidden="1" customWidth="1"/>
    <col min="11269" max="11272" width="9.26953125" style="18" customWidth="1"/>
    <col min="11273" max="11278" width="7.453125" style="18" customWidth="1"/>
    <col min="11279" max="11279" width="25.81640625" style="18" customWidth="1"/>
    <col min="11280" max="11283" width="9.26953125" style="18" customWidth="1"/>
    <col min="11284" max="11284" width="7.453125" style="18" customWidth="1"/>
    <col min="11285" max="11288" width="9.26953125" style="18" customWidth="1"/>
    <col min="11289" max="11289" width="10.54296875" style="18" customWidth="1"/>
    <col min="11290" max="11290" width="13.54296875" style="18" customWidth="1"/>
    <col min="11291" max="11521" width="9.1796875" style="18"/>
    <col min="11522" max="11522" width="2.54296875" style="18" customWidth="1"/>
    <col min="11523" max="11523" width="9.26953125" style="18" customWidth="1"/>
    <col min="11524" max="11524" width="0" style="18" hidden="1" customWidth="1"/>
    <col min="11525" max="11528" width="9.26953125" style="18" customWidth="1"/>
    <col min="11529" max="11534" width="7.453125" style="18" customWidth="1"/>
    <col min="11535" max="11535" width="25.81640625" style="18" customWidth="1"/>
    <col min="11536" max="11539" width="9.26953125" style="18" customWidth="1"/>
    <col min="11540" max="11540" width="7.453125" style="18" customWidth="1"/>
    <col min="11541" max="11544" width="9.26953125" style="18" customWidth="1"/>
    <col min="11545" max="11545" width="10.54296875" style="18" customWidth="1"/>
    <col min="11546" max="11546" width="13.54296875" style="18" customWidth="1"/>
    <col min="11547" max="11777" width="9.1796875" style="18"/>
    <col min="11778" max="11778" width="2.54296875" style="18" customWidth="1"/>
    <col min="11779" max="11779" width="9.26953125" style="18" customWidth="1"/>
    <col min="11780" max="11780" width="0" style="18" hidden="1" customWidth="1"/>
    <col min="11781" max="11784" width="9.26953125" style="18" customWidth="1"/>
    <col min="11785" max="11790" width="7.453125" style="18" customWidth="1"/>
    <col min="11791" max="11791" width="25.81640625" style="18" customWidth="1"/>
    <col min="11792" max="11795" width="9.26953125" style="18" customWidth="1"/>
    <col min="11796" max="11796" width="7.453125" style="18" customWidth="1"/>
    <col min="11797" max="11800" width="9.26953125" style="18" customWidth="1"/>
    <col min="11801" max="11801" width="10.54296875" style="18" customWidth="1"/>
    <col min="11802" max="11802" width="13.54296875" style="18" customWidth="1"/>
    <col min="11803" max="12033" width="9.1796875" style="18"/>
    <col min="12034" max="12034" width="2.54296875" style="18" customWidth="1"/>
    <col min="12035" max="12035" width="9.26953125" style="18" customWidth="1"/>
    <col min="12036" max="12036" width="0" style="18" hidden="1" customWidth="1"/>
    <col min="12037" max="12040" width="9.26953125" style="18" customWidth="1"/>
    <col min="12041" max="12046" width="7.453125" style="18" customWidth="1"/>
    <col min="12047" max="12047" width="25.81640625" style="18" customWidth="1"/>
    <col min="12048" max="12051" width="9.26953125" style="18" customWidth="1"/>
    <col min="12052" max="12052" width="7.453125" style="18" customWidth="1"/>
    <col min="12053" max="12056" width="9.26953125" style="18" customWidth="1"/>
    <col min="12057" max="12057" width="10.54296875" style="18" customWidth="1"/>
    <col min="12058" max="12058" width="13.54296875" style="18" customWidth="1"/>
    <col min="12059" max="12289" width="9.1796875" style="18"/>
    <col min="12290" max="12290" width="2.54296875" style="18" customWidth="1"/>
    <col min="12291" max="12291" width="9.26953125" style="18" customWidth="1"/>
    <col min="12292" max="12292" width="0" style="18" hidden="1" customWidth="1"/>
    <col min="12293" max="12296" width="9.26953125" style="18" customWidth="1"/>
    <col min="12297" max="12302" width="7.453125" style="18" customWidth="1"/>
    <col min="12303" max="12303" width="25.81640625" style="18" customWidth="1"/>
    <col min="12304" max="12307" width="9.26953125" style="18" customWidth="1"/>
    <col min="12308" max="12308" width="7.453125" style="18" customWidth="1"/>
    <col min="12309" max="12312" width="9.26953125" style="18" customWidth="1"/>
    <col min="12313" max="12313" width="10.54296875" style="18" customWidth="1"/>
    <col min="12314" max="12314" width="13.54296875" style="18" customWidth="1"/>
    <col min="12315" max="12545" width="9.1796875" style="18"/>
    <col min="12546" max="12546" width="2.54296875" style="18" customWidth="1"/>
    <col min="12547" max="12547" width="9.26953125" style="18" customWidth="1"/>
    <col min="12548" max="12548" width="0" style="18" hidden="1" customWidth="1"/>
    <col min="12549" max="12552" width="9.26953125" style="18" customWidth="1"/>
    <col min="12553" max="12558" width="7.453125" style="18" customWidth="1"/>
    <col min="12559" max="12559" width="25.81640625" style="18" customWidth="1"/>
    <col min="12560" max="12563" width="9.26953125" style="18" customWidth="1"/>
    <col min="12564" max="12564" width="7.453125" style="18" customWidth="1"/>
    <col min="12565" max="12568" width="9.26953125" style="18" customWidth="1"/>
    <col min="12569" max="12569" width="10.54296875" style="18" customWidth="1"/>
    <col min="12570" max="12570" width="13.54296875" style="18" customWidth="1"/>
    <col min="12571" max="12801" width="9.1796875" style="18"/>
    <col min="12802" max="12802" width="2.54296875" style="18" customWidth="1"/>
    <col min="12803" max="12803" width="9.26953125" style="18" customWidth="1"/>
    <col min="12804" max="12804" width="0" style="18" hidden="1" customWidth="1"/>
    <col min="12805" max="12808" width="9.26953125" style="18" customWidth="1"/>
    <col min="12809" max="12814" width="7.453125" style="18" customWidth="1"/>
    <col min="12815" max="12815" width="25.81640625" style="18" customWidth="1"/>
    <col min="12816" max="12819" width="9.26953125" style="18" customWidth="1"/>
    <col min="12820" max="12820" width="7.453125" style="18" customWidth="1"/>
    <col min="12821" max="12824" width="9.26953125" style="18" customWidth="1"/>
    <col min="12825" max="12825" width="10.54296875" style="18" customWidth="1"/>
    <col min="12826" max="12826" width="13.54296875" style="18" customWidth="1"/>
    <col min="12827" max="13057" width="9.1796875" style="18"/>
    <col min="13058" max="13058" width="2.54296875" style="18" customWidth="1"/>
    <col min="13059" max="13059" width="9.26953125" style="18" customWidth="1"/>
    <col min="13060" max="13060" width="0" style="18" hidden="1" customWidth="1"/>
    <col min="13061" max="13064" width="9.26953125" style="18" customWidth="1"/>
    <col min="13065" max="13070" width="7.453125" style="18" customWidth="1"/>
    <col min="13071" max="13071" width="25.81640625" style="18" customWidth="1"/>
    <col min="13072" max="13075" width="9.26953125" style="18" customWidth="1"/>
    <col min="13076" max="13076" width="7.453125" style="18" customWidth="1"/>
    <col min="13077" max="13080" width="9.26953125" style="18" customWidth="1"/>
    <col min="13081" max="13081" width="10.54296875" style="18" customWidth="1"/>
    <col min="13082" max="13082" width="13.54296875" style="18" customWidth="1"/>
    <col min="13083" max="13313" width="9.1796875" style="18"/>
    <col min="13314" max="13314" width="2.54296875" style="18" customWidth="1"/>
    <col min="13315" max="13315" width="9.26953125" style="18" customWidth="1"/>
    <col min="13316" max="13316" width="0" style="18" hidden="1" customWidth="1"/>
    <col min="13317" max="13320" width="9.26953125" style="18" customWidth="1"/>
    <col min="13321" max="13326" width="7.453125" style="18" customWidth="1"/>
    <col min="13327" max="13327" width="25.81640625" style="18" customWidth="1"/>
    <col min="13328" max="13331" width="9.26953125" style="18" customWidth="1"/>
    <col min="13332" max="13332" width="7.453125" style="18" customWidth="1"/>
    <col min="13333" max="13336" width="9.26953125" style="18" customWidth="1"/>
    <col min="13337" max="13337" width="10.54296875" style="18" customWidth="1"/>
    <col min="13338" max="13338" width="13.54296875" style="18" customWidth="1"/>
    <col min="13339" max="13569" width="9.1796875" style="18"/>
    <col min="13570" max="13570" width="2.54296875" style="18" customWidth="1"/>
    <col min="13571" max="13571" width="9.26953125" style="18" customWidth="1"/>
    <col min="13572" max="13572" width="0" style="18" hidden="1" customWidth="1"/>
    <col min="13573" max="13576" width="9.26953125" style="18" customWidth="1"/>
    <col min="13577" max="13582" width="7.453125" style="18" customWidth="1"/>
    <col min="13583" max="13583" width="25.81640625" style="18" customWidth="1"/>
    <col min="13584" max="13587" width="9.26953125" style="18" customWidth="1"/>
    <col min="13588" max="13588" width="7.453125" style="18" customWidth="1"/>
    <col min="13589" max="13592" width="9.26953125" style="18" customWidth="1"/>
    <col min="13593" max="13593" width="10.54296875" style="18" customWidth="1"/>
    <col min="13594" max="13594" width="13.54296875" style="18" customWidth="1"/>
    <col min="13595" max="13825" width="9.1796875" style="18"/>
    <col min="13826" max="13826" width="2.54296875" style="18" customWidth="1"/>
    <col min="13827" max="13827" width="9.26953125" style="18" customWidth="1"/>
    <col min="13828" max="13828" width="0" style="18" hidden="1" customWidth="1"/>
    <col min="13829" max="13832" width="9.26953125" style="18" customWidth="1"/>
    <col min="13833" max="13838" width="7.453125" style="18" customWidth="1"/>
    <col min="13839" max="13839" width="25.81640625" style="18" customWidth="1"/>
    <col min="13840" max="13843" width="9.26953125" style="18" customWidth="1"/>
    <col min="13844" max="13844" width="7.453125" style="18" customWidth="1"/>
    <col min="13845" max="13848" width="9.26953125" style="18" customWidth="1"/>
    <col min="13849" max="13849" width="10.54296875" style="18" customWidth="1"/>
    <col min="13850" max="13850" width="13.54296875" style="18" customWidth="1"/>
    <col min="13851" max="14081" width="9.1796875" style="18"/>
    <col min="14082" max="14082" width="2.54296875" style="18" customWidth="1"/>
    <col min="14083" max="14083" width="9.26953125" style="18" customWidth="1"/>
    <col min="14084" max="14084" width="0" style="18" hidden="1" customWidth="1"/>
    <col min="14085" max="14088" width="9.26953125" style="18" customWidth="1"/>
    <col min="14089" max="14094" width="7.453125" style="18" customWidth="1"/>
    <col min="14095" max="14095" width="25.81640625" style="18" customWidth="1"/>
    <col min="14096" max="14099" width="9.26953125" style="18" customWidth="1"/>
    <col min="14100" max="14100" width="7.453125" style="18" customWidth="1"/>
    <col min="14101" max="14104" width="9.26953125" style="18" customWidth="1"/>
    <col min="14105" max="14105" width="10.54296875" style="18" customWidth="1"/>
    <col min="14106" max="14106" width="13.54296875" style="18" customWidth="1"/>
    <col min="14107" max="14337" width="9.1796875" style="18"/>
    <col min="14338" max="14338" width="2.54296875" style="18" customWidth="1"/>
    <col min="14339" max="14339" width="9.26953125" style="18" customWidth="1"/>
    <col min="14340" max="14340" width="0" style="18" hidden="1" customWidth="1"/>
    <col min="14341" max="14344" width="9.26953125" style="18" customWidth="1"/>
    <col min="14345" max="14350" width="7.453125" style="18" customWidth="1"/>
    <col min="14351" max="14351" width="25.81640625" style="18" customWidth="1"/>
    <col min="14352" max="14355" width="9.26953125" style="18" customWidth="1"/>
    <col min="14356" max="14356" width="7.453125" style="18" customWidth="1"/>
    <col min="14357" max="14360" width="9.26953125" style="18" customWidth="1"/>
    <col min="14361" max="14361" width="10.54296875" style="18" customWidth="1"/>
    <col min="14362" max="14362" width="13.54296875" style="18" customWidth="1"/>
    <col min="14363" max="14593" width="9.1796875" style="18"/>
    <col min="14594" max="14594" width="2.54296875" style="18" customWidth="1"/>
    <col min="14595" max="14595" width="9.26953125" style="18" customWidth="1"/>
    <col min="14596" max="14596" width="0" style="18" hidden="1" customWidth="1"/>
    <col min="14597" max="14600" width="9.26953125" style="18" customWidth="1"/>
    <col min="14601" max="14606" width="7.453125" style="18" customWidth="1"/>
    <col min="14607" max="14607" width="25.81640625" style="18" customWidth="1"/>
    <col min="14608" max="14611" width="9.26953125" style="18" customWidth="1"/>
    <col min="14612" max="14612" width="7.453125" style="18" customWidth="1"/>
    <col min="14613" max="14616" width="9.26953125" style="18" customWidth="1"/>
    <col min="14617" max="14617" width="10.54296875" style="18" customWidth="1"/>
    <col min="14618" max="14618" width="13.54296875" style="18" customWidth="1"/>
    <col min="14619" max="14849" width="9.1796875" style="18"/>
    <col min="14850" max="14850" width="2.54296875" style="18" customWidth="1"/>
    <col min="14851" max="14851" width="9.26953125" style="18" customWidth="1"/>
    <col min="14852" max="14852" width="0" style="18" hidden="1" customWidth="1"/>
    <col min="14853" max="14856" width="9.26953125" style="18" customWidth="1"/>
    <col min="14857" max="14862" width="7.453125" style="18" customWidth="1"/>
    <col min="14863" max="14863" width="25.81640625" style="18" customWidth="1"/>
    <col min="14864" max="14867" width="9.26953125" style="18" customWidth="1"/>
    <col min="14868" max="14868" width="7.453125" style="18" customWidth="1"/>
    <col min="14869" max="14872" width="9.26953125" style="18" customWidth="1"/>
    <col min="14873" max="14873" width="10.54296875" style="18" customWidth="1"/>
    <col min="14874" max="14874" width="13.54296875" style="18" customWidth="1"/>
    <col min="14875" max="15105" width="9.1796875" style="18"/>
    <col min="15106" max="15106" width="2.54296875" style="18" customWidth="1"/>
    <col min="15107" max="15107" width="9.26953125" style="18" customWidth="1"/>
    <col min="15108" max="15108" width="0" style="18" hidden="1" customWidth="1"/>
    <col min="15109" max="15112" width="9.26953125" style="18" customWidth="1"/>
    <col min="15113" max="15118" width="7.453125" style="18" customWidth="1"/>
    <col min="15119" max="15119" width="25.81640625" style="18" customWidth="1"/>
    <col min="15120" max="15123" width="9.26953125" style="18" customWidth="1"/>
    <col min="15124" max="15124" width="7.453125" style="18" customWidth="1"/>
    <col min="15125" max="15128" width="9.26953125" style="18" customWidth="1"/>
    <col min="15129" max="15129" width="10.54296875" style="18" customWidth="1"/>
    <col min="15130" max="15130" width="13.54296875" style="18" customWidth="1"/>
    <col min="15131" max="15361" width="9.1796875" style="18"/>
    <col min="15362" max="15362" width="2.54296875" style="18" customWidth="1"/>
    <col min="15363" max="15363" width="9.26953125" style="18" customWidth="1"/>
    <col min="15364" max="15364" width="0" style="18" hidden="1" customWidth="1"/>
    <col min="15365" max="15368" width="9.26953125" style="18" customWidth="1"/>
    <col min="15369" max="15374" width="7.453125" style="18" customWidth="1"/>
    <col min="15375" max="15375" width="25.81640625" style="18" customWidth="1"/>
    <col min="15376" max="15379" width="9.26953125" style="18" customWidth="1"/>
    <col min="15380" max="15380" width="7.453125" style="18" customWidth="1"/>
    <col min="15381" max="15384" width="9.26953125" style="18" customWidth="1"/>
    <col min="15385" max="15385" width="10.54296875" style="18" customWidth="1"/>
    <col min="15386" max="15386" width="13.54296875" style="18" customWidth="1"/>
    <col min="15387" max="15617" width="9.1796875" style="18"/>
    <col min="15618" max="15618" width="2.54296875" style="18" customWidth="1"/>
    <col min="15619" max="15619" width="9.26953125" style="18" customWidth="1"/>
    <col min="15620" max="15620" width="0" style="18" hidden="1" customWidth="1"/>
    <col min="15621" max="15624" width="9.26953125" style="18" customWidth="1"/>
    <col min="15625" max="15630" width="7.453125" style="18" customWidth="1"/>
    <col min="15631" max="15631" width="25.81640625" style="18" customWidth="1"/>
    <col min="15632" max="15635" width="9.26953125" style="18" customWidth="1"/>
    <col min="15636" max="15636" width="7.453125" style="18" customWidth="1"/>
    <col min="15637" max="15640" width="9.26953125" style="18" customWidth="1"/>
    <col min="15641" max="15641" width="10.54296875" style="18" customWidth="1"/>
    <col min="15642" max="15642" width="13.54296875" style="18" customWidth="1"/>
    <col min="15643" max="15873" width="9.1796875" style="18"/>
    <col min="15874" max="15874" width="2.54296875" style="18" customWidth="1"/>
    <col min="15875" max="15875" width="9.26953125" style="18" customWidth="1"/>
    <col min="15876" max="15876" width="0" style="18" hidden="1" customWidth="1"/>
    <col min="15877" max="15880" width="9.26953125" style="18" customWidth="1"/>
    <col min="15881" max="15886" width="7.453125" style="18" customWidth="1"/>
    <col min="15887" max="15887" width="25.81640625" style="18" customWidth="1"/>
    <col min="15888" max="15891" width="9.26953125" style="18" customWidth="1"/>
    <col min="15892" max="15892" width="7.453125" style="18" customWidth="1"/>
    <col min="15893" max="15896" width="9.26953125" style="18" customWidth="1"/>
    <col min="15897" max="15897" width="10.54296875" style="18" customWidth="1"/>
    <col min="15898" max="15898" width="13.54296875" style="18" customWidth="1"/>
    <col min="15899" max="16129" width="9.1796875" style="18"/>
    <col min="16130" max="16130" width="2.54296875" style="18" customWidth="1"/>
    <col min="16131" max="16131" width="9.26953125" style="18" customWidth="1"/>
    <col min="16132" max="16132" width="0" style="18" hidden="1" customWidth="1"/>
    <col min="16133" max="16136" width="9.26953125" style="18" customWidth="1"/>
    <col min="16137" max="16142" width="7.453125" style="18" customWidth="1"/>
    <col min="16143" max="16143" width="25.81640625" style="18" customWidth="1"/>
    <col min="16144" max="16147" width="9.26953125" style="18" customWidth="1"/>
    <col min="16148" max="16148" width="7.453125" style="18" customWidth="1"/>
    <col min="16149" max="16152" width="9.26953125" style="18" customWidth="1"/>
    <col min="16153" max="16153" width="10.54296875" style="18" customWidth="1"/>
    <col min="16154" max="16154" width="13.54296875" style="18" customWidth="1"/>
    <col min="16155" max="16384" width="9.1796875" style="18"/>
  </cols>
  <sheetData>
    <row r="1" spans="1:27" s="39" customFormat="1" ht="28.5" x14ac:dyDescent="0.35">
      <c r="A1" s="38" t="s">
        <v>464</v>
      </c>
      <c r="B1" s="82"/>
    </row>
    <row r="2" spans="1:27" s="39" customFormat="1" ht="15.5" x14ac:dyDescent="0.35">
      <c r="A2" s="3" t="s">
        <v>15</v>
      </c>
      <c r="B2" s="82"/>
    </row>
    <row r="3" spans="1:27" s="39" customFormat="1" ht="15.5" x14ac:dyDescent="0.35">
      <c r="A3" s="44" t="s">
        <v>158</v>
      </c>
      <c r="B3" s="82"/>
    </row>
    <row r="4" spans="1:27" s="39" customFormat="1" ht="15.5" x14ac:dyDescent="0.35">
      <c r="A4" s="3" t="s">
        <v>159</v>
      </c>
      <c r="B4" s="82"/>
    </row>
    <row r="5" spans="1:27" s="39" customFormat="1" ht="62" x14ac:dyDescent="0.35">
      <c r="A5" s="101" t="s">
        <v>69</v>
      </c>
      <c r="B5" s="102" t="s">
        <v>446</v>
      </c>
      <c r="C5" s="103" t="s">
        <v>63</v>
      </c>
      <c r="D5" s="103" t="s">
        <v>64</v>
      </c>
      <c r="E5" s="103" t="s">
        <v>65</v>
      </c>
      <c r="F5" s="104" t="s">
        <v>66</v>
      </c>
      <c r="G5" s="102" t="s">
        <v>461</v>
      </c>
      <c r="H5" s="103" t="s">
        <v>449</v>
      </c>
      <c r="I5" s="103" t="s">
        <v>450</v>
      </c>
      <c r="J5" s="103" t="s">
        <v>451</v>
      </c>
      <c r="K5" s="104" t="s">
        <v>452</v>
      </c>
      <c r="L5" s="102" t="s">
        <v>447</v>
      </c>
      <c r="M5" s="103" t="s">
        <v>67</v>
      </c>
      <c r="N5" s="103" t="s">
        <v>59</v>
      </c>
      <c r="O5" s="104" t="s">
        <v>79</v>
      </c>
      <c r="P5" s="102" t="s">
        <v>462</v>
      </c>
      <c r="Q5" s="103" t="s">
        <v>453</v>
      </c>
      <c r="R5" s="103" t="s">
        <v>303</v>
      </c>
      <c r="S5" s="104" t="s">
        <v>454</v>
      </c>
      <c r="T5" s="102" t="s">
        <v>448</v>
      </c>
      <c r="U5" s="103" t="s">
        <v>455</v>
      </c>
      <c r="V5" s="103" t="s">
        <v>456</v>
      </c>
      <c r="W5" s="104" t="s">
        <v>457</v>
      </c>
      <c r="X5" s="103" t="s">
        <v>463</v>
      </c>
      <c r="Y5" s="103" t="s">
        <v>458</v>
      </c>
      <c r="Z5" s="103" t="s">
        <v>459</v>
      </c>
      <c r="AA5" s="104" t="s">
        <v>460</v>
      </c>
    </row>
    <row r="6" spans="1:27" s="92" customFormat="1" ht="15.5" x14ac:dyDescent="0.35">
      <c r="A6" s="89">
        <v>2002</v>
      </c>
      <c r="B6" s="93">
        <f>SUM('Quarter SeasTempAdj'!B6:B9)</f>
        <v>156475.89000000001</v>
      </c>
      <c r="C6" s="93">
        <f>SUM('Quarter SeasTempAdj'!C6:C9)</f>
        <v>33763.89</v>
      </c>
      <c r="D6" s="93">
        <f>SUM('Quarter SeasTempAdj'!D6:D9)</f>
        <v>55684.880000000005</v>
      </c>
      <c r="E6" s="93">
        <f>SUM('Quarter SeasTempAdj'!E6:E9)</f>
        <v>47470.28</v>
      </c>
      <c r="F6" s="219">
        <f>SUM('Quarter SeasTempAdj'!F6:F9)</f>
        <v>19556.84</v>
      </c>
      <c r="G6" s="93">
        <f>SUM('Quarter SeasTempAdj'!G6:G9)</f>
        <v>161796.98000000001</v>
      </c>
      <c r="H6" s="93">
        <f>SUM('Quarter SeasTempAdj'!H6:H9)</f>
        <v>33764.01</v>
      </c>
      <c r="I6" s="93">
        <f>SUM('Quarter SeasTempAdj'!I6:I9)</f>
        <v>55684.97</v>
      </c>
      <c r="J6" s="93">
        <f>SUM('Quarter SeasTempAdj'!J6:J9)</f>
        <v>52229</v>
      </c>
      <c r="K6" s="219">
        <f>SUM('Quarter SeasTempAdj'!K6:K9)</f>
        <v>20119</v>
      </c>
      <c r="L6" s="93">
        <f>SUM('Quarter SeasTempAdj'!L6:L9)</f>
        <v>156475.87</v>
      </c>
      <c r="M6" s="93">
        <f>SUM('Quarter SeasTempAdj'!M6:M9)</f>
        <v>55234.25</v>
      </c>
      <c r="N6" s="93">
        <f>SUM('Quarter SeasTempAdj'!N6:N9)</f>
        <v>28667.45</v>
      </c>
      <c r="O6" s="219">
        <f>SUM('Quarter SeasTempAdj'!O6:O9)</f>
        <v>72574.17</v>
      </c>
      <c r="P6" s="93">
        <f>SUM('Quarter SeasTempAdj'!P6:P9)</f>
        <v>161796.97999999998</v>
      </c>
      <c r="Q6" s="93">
        <f>SUM('Quarter SeasTempAdj'!Q6:Q9)</f>
        <v>59699</v>
      </c>
      <c r="R6" s="93">
        <f>SUM('Quarter SeasTempAdj'!R6:R9)</f>
        <v>28932.98</v>
      </c>
      <c r="S6" s="219">
        <f>SUM('Quarter SeasTempAdj'!S6:S9)</f>
        <v>73165</v>
      </c>
      <c r="T6" s="93">
        <f>SUM('Quarter SeasTempAdj'!T6:T9)</f>
        <v>47470.28</v>
      </c>
      <c r="U6" s="93">
        <f>SUM('Quarter SeasTempAdj'!U6:U9)</f>
        <v>32362.29</v>
      </c>
      <c r="V6" s="93">
        <f>SUM('Quarter SeasTempAdj'!V6:V9)</f>
        <v>10319.44</v>
      </c>
      <c r="W6" s="219">
        <f>SUM('Quarter SeasTempAdj'!W6:W9)</f>
        <v>4788.55</v>
      </c>
      <c r="X6" s="93">
        <f>SUM('Quarter SeasTempAdj'!X6:X9)</f>
        <v>52229</v>
      </c>
      <c r="Y6" s="93">
        <f>SUM('Quarter SeasTempAdj'!Y6:Y9)</f>
        <v>36490.000000000007</v>
      </c>
      <c r="Z6" s="93">
        <f>SUM('Quarter SeasTempAdj'!Z6:Z9)</f>
        <v>10586</v>
      </c>
      <c r="AA6" s="219">
        <f>SUM('Quarter SeasTempAdj'!AA6:AA9)</f>
        <v>5153</v>
      </c>
    </row>
    <row r="7" spans="1:27" s="92" customFormat="1" ht="15.5" x14ac:dyDescent="0.35">
      <c r="A7" s="90">
        <v>2003</v>
      </c>
      <c r="B7" s="93">
        <f>SUM('Quarter SeasTempAdj'!B10:B13)</f>
        <v>158146.10999999999</v>
      </c>
      <c r="C7" s="93">
        <f>SUM('Quarter SeasTempAdj'!C10:C13)</f>
        <v>34073.99</v>
      </c>
      <c r="D7" s="93">
        <f>SUM('Quarter SeasTempAdj'!D10:D13)</f>
        <v>56365.75</v>
      </c>
      <c r="E7" s="93">
        <f>SUM('Quarter SeasTempAdj'!E10:E13)</f>
        <v>48292.65</v>
      </c>
      <c r="F7" s="220">
        <f>SUM('Quarter SeasTempAdj'!F10:F13)</f>
        <v>19413.72</v>
      </c>
      <c r="G7" s="93">
        <f>SUM('Quarter SeasTempAdj'!G10:G13)</f>
        <v>161567.10999999999</v>
      </c>
      <c r="H7" s="93">
        <f>SUM('Quarter SeasTempAdj'!H10:H13)</f>
        <v>34074</v>
      </c>
      <c r="I7" s="93">
        <f>SUM('Quarter SeasTempAdj'!I10:I13)</f>
        <v>56366.11</v>
      </c>
      <c r="J7" s="93">
        <f>SUM('Quarter SeasTempAdj'!J10:J13)</f>
        <v>51281</v>
      </c>
      <c r="K7" s="220">
        <f>SUM('Quarter SeasTempAdj'!K10:K13)</f>
        <v>19846</v>
      </c>
      <c r="L7" s="93">
        <f>SUM('Quarter SeasTempAdj'!L10:L13)</f>
        <v>158146.1</v>
      </c>
      <c r="M7" s="93">
        <f>SUM('Quarter SeasTempAdj'!M10:M13)</f>
        <v>56701.78</v>
      </c>
      <c r="N7" s="93">
        <f>SUM('Quarter SeasTempAdj'!N10:N13)</f>
        <v>28909.71</v>
      </c>
      <c r="O7" s="220">
        <f>SUM('Quarter SeasTempAdj'!O10:O13)</f>
        <v>72534.609999999986</v>
      </c>
      <c r="P7" s="93">
        <f>SUM('Quarter SeasTempAdj'!P10:P13)</f>
        <v>161567.10999999999</v>
      </c>
      <c r="Q7" s="93">
        <f>SUM('Quarter SeasTempAdj'!Q10:Q13)</f>
        <v>59637</v>
      </c>
      <c r="R7" s="93">
        <f>SUM('Quarter SeasTempAdj'!R10:R13)</f>
        <v>29081.11</v>
      </c>
      <c r="S7" s="220">
        <f>SUM('Quarter SeasTempAdj'!S10:S13)</f>
        <v>72849</v>
      </c>
      <c r="T7" s="93">
        <f>SUM('Quarter SeasTempAdj'!T10:T13)</f>
        <v>48292.639999999999</v>
      </c>
      <c r="U7" s="93">
        <f>SUM('Quarter SeasTempAdj'!U10:U13)</f>
        <v>33232.020000000004</v>
      </c>
      <c r="V7" s="93">
        <f>SUM('Quarter SeasTempAdj'!V10:V13)</f>
        <v>10576.22</v>
      </c>
      <c r="W7" s="220">
        <f>SUM('Quarter SeasTempAdj'!W10:W13)</f>
        <v>4484.3999999999996</v>
      </c>
      <c r="X7" s="93">
        <f>SUM('Quarter SeasTempAdj'!X10:X13)</f>
        <v>51281</v>
      </c>
      <c r="Y7" s="93">
        <f>SUM('Quarter SeasTempAdj'!Y10:Y13)</f>
        <v>35853</v>
      </c>
      <c r="Z7" s="93">
        <f>SUM('Quarter SeasTempAdj'!Z10:Z13)</f>
        <v>10749</v>
      </c>
      <c r="AA7" s="220">
        <f>SUM('Quarter SeasTempAdj'!AA10:AA13)</f>
        <v>4679</v>
      </c>
    </row>
    <row r="8" spans="1:27" s="92" customFormat="1" ht="15.5" x14ac:dyDescent="0.35">
      <c r="A8" s="90">
        <v>2004</v>
      </c>
      <c r="B8" s="93">
        <f>SUM('Quarter SeasTempAdj'!B14:B17)</f>
        <v>159937.02000000002</v>
      </c>
      <c r="C8" s="93">
        <f>SUM('Quarter SeasTempAdj'!C14:C17)</f>
        <v>32912.22</v>
      </c>
      <c r="D8" s="93">
        <f>SUM('Quarter SeasTempAdj'!D14:D17)</f>
        <v>57374.179999999993</v>
      </c>
      <c r="E8" s="93">
        <f>SUM('Quarter SeasTempAdj'!E14:E17)</f>
        <v>49333.18</v>
      </c>
      <c r="F8" s="220">
        <f>SUM('Quarter SeasTempAdj'!F14:F17)</f>
        <v>20317.439999999999</v>
      </c>
      <c r="G8" s="93">
        <f>SUM('Quarter SeasTempAdj'!G14:G17)</f>
        <v>163924.95000000001</v>
      </c>
      <c r="H8" s="93">
        <f>SUM('Quarter SeasTempAdj'!H14:H17)</f>
        <v>32911</v>
      </c>
      <c r="I8" s="93">
        <f>SUM('Quarter SeasTempAdj'!I14:I17)</f>
        <v>57373.930000000008</v>
      </c>
      <c r="J8" s="93">
        <f>SUM('Quarter SeasTempAdj'!J14:J17)</f>
        <v>52837.01</v>
      </c>
      <c r="K8" s="220">
        <f>SUM('Quarter SeasTempAdj'!K14:K17)</f>
        <v>20803.010000000002</v>
      </c>
      <c r="L8" s="93">
        <f>SUM('Quarter SeasTempAdj'!L14:L17)</f>
        <v>159937.01999999999</v>
      </c>
      <c r="M8" s="93">
        <f>SUM('Quarter SeasTempAdj'!M14:M17)</f>
        <v>57080.2</v>
      </c>
      <c r="N8" s="93">
        <f>SUM('Quarter SeasTempAdj'!N14:N17)</f>
        <v>29144.489999999998</v>
      </c>
      <c r="O8" s="220">
        <f>SUM('Quarter SeasTempAdj'!O14:O17)</f>
        <v>73712.329999999987</v>
      </c>
      <c r="P8" s="93">
        <f>SUM('Quarter SeasTempAdj'!P14:P17)</f>
        <v>163924.93</v>
      </c>
      <c r="Q8" s="93">
        <f>SUM('Quarter SeasTempAdj'!Q14:Q17)</f>
        <v>60499</v>
      </c>
      <c r="R8" s="93">
        <f>SUM('Quarter SeasTempAdj'!R14:R17)</f>
        <v>29341.93</v>
      </c>
      <c r="S8" s="220">
        <f>SUM('Quarter SeasTempAdj'!S14:S17)</f>
        <v>74084</v>
      </c>
      <c r="T8" s="93">
        <f>SUM('Quarter SeasTempAdj'!T14:T17)</f>
        <v>49333.19</v>
      </c>
      <c r="U8" s="93">
        <f>SUM('Quarter SeasTempAdj'!U14:U17)</f>
        <v>34085.42</v>
      </c>
      <c r="V8" s="93">
        <f>SUM('Quarter SeasTempAdj'!V14:V17)</f>
        <v>10679.38</v>
      </c>
      <c r="W8" s="220">
        <f>SUM('Quarter SeasTempAdj'!W14:W17)</f>
        <v>4568.3899999999994</v>
      </c>
      <c r="X8" s="93">
        <f>SUM('Quarter SeasTempAdj'!X14:X17)</f>
        <v>52836.999999999993</v>
      </c>
      <c r="Y8" s="93">
        <f>SUM('Quarter SeasTempAdj'!Y14:Y17)</f>
        <v>37147</v>
      </c>
      <c r="Z8" s="93">
        <f>SUM('Quarter SeasTempAdj'!Z14:Z17)</f>
        <v>10877.999999999998</v>
      </c>
      <c r="AA8" s="220">
        <f>SUM('Quarter SeasTempAdj'!AA14:AA17)</f>
        <v>4812</v>
      </c>
    </row>
    <row r="9" spans="1:27" s="92" customFormat="1" ht="15.5" x14ac:dyDescent="0.35">
      <c r="A9" s="90">
        <v>2005</v>
      </c>
      <c r="B9" s="93">
        <f>SUM('Quarter SeasTempAdj'!B18:B21)</f>
        <v>159676.65000000002</v>
      </c>
      <c r="C9" s="93">
        <f>SUM('Quarter SeasTempAdj'!C18:C21)</f>
        <v>32303.43</v>
      </c>
      <c r="D9" s="93">
        <f>SUM('Quarter SeasTempAdj'!D18:D21)</f>
        <v>58793.17</v>
      </c>
      <c r="E9" s="93">
        <f>SUM('Quarter SeasTempAdj'!E18:E21)</f>
        <v>47805.59</v>
      </c>
      <c r="F9" s="220">
        <f>SUM('Quarter SeasTempAdj'!F18:F21)</f>
        <v>20774.46</v>
      </c>
      <c r="G9" s="93">
        <f>SUM('Quarter SeasTempAdj'!G18:G21)</f>
        <v>162764.03999999998</v>
      </c>
      <c r="H9" s="93">
        <f>SUM('Quarter SeasTempAdj'!H18:H21)</f>
        <v>32283</v>
      </c>
      <c r="I9" s="93">
        <f>SUM('Quarter SeasTempAdj'!I18:I21)</f>
        <v>58783.040000000001</v>
      </c>
      <c r="J9" s="93">
        <f>SUM('Quarter SeasTempAdj'!J18:J21)</f>
        <v>50577</v>
      </c>
      <c r="K9" s="220">
        <f>SUM('Quarter SeasTempAdj'!K18:K21)</f>
        <v>21121</v>
      </c>
      <c r="L9" s="93">
        <f>SUM('Quarter SeasTempAdj'!L18:L21)</f>
        <v>159676.65</v>
      </c>
      <c r="M9" s="93">
        <f>SUM('Quarter SeasTempAdj'!M18:M21)</f>
        <v>55383.89</v>
      </c>
      <c r="N9" s="93">
        <f>SUM('Quarter SeasTempAdj'!N18:N21)</f>
        <v>29980.81</v>
      </c>
      <c r="O9" s="220">
        <f>SUM('Quarter SeasTempAdj'!O18:O21)</f>
        <v>74311.95</v>
      </c>
      <c r="P9" s="93">
        <f>SUM('Quarter SeasTempAdj'!P18:P21)</f>
        <v>162764.06</v>
      </c>
      <c r="Q9" s="93">
        <f>SUM('Quarter SeasTempAdj'!Q18:Q21)</f>
        <v>58012.000000000007</v>
      </c>
      <c r="R9" s="93">
        <f>SUM('Quarter SeasTempAdj'!R18:R21)</f>
        <v>30164.05</v>
      </c>
      <c r="S9" s="220">
        <f>SUM('Quarter SeasTempAdj'!S18:S21)</f>
        <v>74588.010000000009</v>
      </c>
      <c r="T9" s="93">
        <f>SUM('Quarter SeasTempAdj'!T18:T21)</f>
        <v>47805.61</v>
      </c>
      <c r="U9" s="93">
        <f>SUM('Quarter SeasTempAdj'!U18:U21)</f>
        <v>32835.89</v>
      </c>
      <c r="V9" s="93">
        <f>SUM('Quarter SeasTempAdj'!V18:V21)</f>
        <v>10809.27</v>
      </c>
      <c r="W9" s="220">
        <f>SUM('Quarter SeasTempAdj'!W18:W21)</f>
        <v>4160.45</v>
      </c>
      <c r="X9" s="93">
        <f>SUM('Quarter SeasTempAdj'!X18:X21)</f>
        <v>50577</v>
      </c>
      <c r="Y9" s="93">
        <f>SUM('Quarter SeasTempAdj'!Y18:Y21)</f>
        <v>35252.99</v>
      </c>
      <c r="Z9" s="93">
        <f>SUM('Quarter SeasTempAdj'!Z18:Z21)</f>
        <v>10991</v>
      </c>
      <c r="AA9" s="220">
        <f>SUM('Quarter SeasTempAdj'!AA18:AA21)</f>
        <v>4333.01</v>
      </c>
    </row>
    <row r="10" spans="1:27" s="92" customFormat="1" ht="15.5" x14ac:dyDescent="0.35">
      <c r="A10" s="90">
        <v>2006</v>
      </c>
      <c r="B10" s="93">
        <f>SUM('Quarter SeasTempAdj'!B22:B25)</f>
        <v>157042.12</v>
      </c>
      <c r="C10" s="93">
        <f>SUM('Quarter SeasTempAdj'!C22:C25)</f>
        <v>31442.48</v>
      </c>
      <c r="D10" s="93">
        <f>SUM('Quarter SeasTempAdj'!D22:D25)</f>
        <v>59501.439999999995</v>
      </c>
      <c r="E10" s="93">
        <f>SUM('Quarter SeasTempAdj'!E22:E25)</f>
        <v>46575.22</v>
      </c>
      <c r="F10" s="220">
        <f>SUM('Quarter SeasTempAdj'!F22:F25)</f>
        <v>19522.98</v>
      </c>
      <c r="G10" s="93">
        <f>SUM('Quarter SeasTempAdj'!G22:G25)</f>
        <v>160151.07</v>
      </c>
      <c r="H10" s="93">
        <f>SUM('Quarter SeasTempAdj'!H22:H25)</f>
        <v>31423.989999999998</v>
      </c>
      <c r="I10" s="93">
        <f>SUM('Quarter SeasTempAdj'!I22:I25)</f>
        <v>59489.09</v>
      </c>
      <c r="J10" s="93">
        <f>SUM('Quarter SeasTempAdj'!J22:J25)</f>
        <v>49276</v>
      </c>
      <c r="K10" s="220">
        <f>SUM('Quarter SeasTempAdj'!K22:K25)</f>
        <v>19961.990000000002</v>
      </c>
      <c r="L10" s="93">
        <f>SUM('Quarter SeasTempAdj'!L22:L25)</f>
        <v>157042.14000000001</v>
      </c>
      <c r="M10" s="93">
        <f>SUM('Quarter SeasTempAdj'!M22:M25)</f>
        <v>52633.33</v>
      </c>
      <c r="N10" s="93">
        <f>SUM('Quarter SeasTempAdj'!N22:N25)</f>
        <v>29684.699999999997</v>
      </c>
      <c r="O10" s="220">
        <f>SUM('Quarter SeasTempAdj'!O22:O25)</f>
        <v>74724.109999999986</v>
      </c>
      <c r="P10" s="93">
        <f>SUM('Quarter SeasTempAdj'!P22:P25)</f>
        <v>160151.09999999998</v>
      </c>
      <c r="Q10" s="93">
        <f>SUM('Quarter SeasTempAdj'!Q22:Q25)</f>
        <v>55278</v>
      </c>
      <c r="R10" s="93">
        <f>SUM('Quarter SeasTempAdj'!R22:R25)</f>
        <v>29892.09</v>
      </c>
      <c r="S10" s="220">
        <f>SUM('Quarter SeasTempAdj'!S22:S25)</f>
        <v>74981.009999999995</v>
      </c>
      <c r="T10" s="93">
        <f>SUM('Quarter SeasTempAdj'!T22:T25)</f>
        <v>46575.24</v>
      </c>
      <c r="U10" s="93">
        <f>SUM('Quarter SeasTempAdj'!U22:U25)</f>
        <v>31550.3</v>
      </c>
      <c r="V10" s="93">
        <f>SUM('Quarter SeasTempAdj'!V22:V25)</f>
        <v>10722.68</v>
      </c>
      <c r="W10" s="220">
        <f>SUM('Quarter SeasTempAdj'!W22:W25)</f>
        <v>4302.26</v>
      </c>
      <c r="X10" s="93">
        <f>SUM('Quarter SeasTempAdj'!X22:X25)</f>
        <v>49276</v>
      </c>
      <c r="Y10" s="93">
        <f>SUM('Quarter SeasTempAdj'!Y22:Y25)</f>
        <v>33862</v>
      </c>
      <c r="Z10" s="93">
        <f>SUM('Quarter SeasTempAdj'!Z22:Z25)</f>
        <v>10930</v>
      </c>
      <c r="AA10" s="220">
        <f>SUM('Quarter SeasTempAdj'!AA22:AA25)</f>
        <v>4484</v>
      </c>
    </row>
    <row r="11" spans="1:27" s="92" customFormat="1" ht="15.5" x14ac:dyDescent="0.35">
      <c r="A11" s="90">
        <v>2007</v>
      </c>
      <c r="B11" s="93">
        <f>SUM('Quarter SeasTempAdj'!B26:B29)</f>
        <v>154260.07</v>
      </c>
      <c r="C11" s="93">
        <f>SUM('Quarter SeasTempAdj'!C26:C29)</f>
        <v>30540.53</v>
      </c>
      <c r="D11" s="93">
        <f>SUM('Quarter SeasTempAdj'!D26:D29)</f>
        <v>59770.93</v>
      </c>
      <c r="E11" s="93">
        <f>SUM('Quarter SeasTempAdj'!E26:E29)</f>
        <v>44932.81</v>
      </c>
      <c r="F11" s="220">
        <f>SUM('Quarter SeasTempAdj'!F26:F29)</f>
        <v>19015.8</v>
      </c>
      <c r="G11" s="93">
        <f>SUM('Quarter SeasTempAdj'!G26:G29)</f>
        <v>158813.63</v>
      </c>
      <c r="H11" s="93">
        <f>SUM('Quarter SeasTempAdj'!H26:H29)</f>
        <v>30522</v>
      </c>
      <c r="I11" s="93">
        <f>SUM('Quarter SeasTempAdj'!I26:I29)</f>
        <v>59760.630000000005</v>
      </c>
      <c r="J11" s="93">
        <f>SUM('Quarter SeasTempAdj'!J26:J29)</f>
        <v>48995</v>
      </c>
      <c r="K11" s="220">
        <f>SUM('Quarter SeasTempAdj'!K26:K29)</f>
        <v>19536</v>
      </c>
      <c r="L11" s="93">
        <f>SUM('Quarter SeasTempAdj'!L26:L29)</f>
        <v>154260.1</v>
      </c>
      <c r="M11" s="93">
        <f>SUM('Quarter SeasTempAdj'!M26:M29)</f>
        <v>49961.16</v>
      </c>
      <c r="N11" s="93">
        <f>SUM('Quarter SeasTempAdj'!N26:N29)</f>
        <v>29377.329999999998</v>
      </c>
      <c r="O11" s="220">
        <f>SUM('Quarter SeasTempAdj'!O26:O29)</f>
        <v>74921.61</v>
      </c>
      <c r="P11" s="93">
        <f>SUM('Quarter SeasTempAdj'!P26:P29)</f>
        <v>158813.64000000001</v>
      </c>
      <c r="Q11" s="93">
        <f>SUM('Quarter SeasTempAdj'!Q26:Q29)</f>
        <v>53852.999999999993</v>
      </c>
      <c r="R11" s="93">
        <f>SUM('Quarter SeasTempAdj'!R26:R29)</f>
        <v>29604.629999999997</v>
      </c>
      <c r="S11" s="220">
        <f>SUM('Quarter SeasTempAdj'!S26:S29)</f>
        <v>75356.009999999995</v>
      </c>
      <c r="T11" s="93">
        <f>SUM('Quarter SeasTempAdj'!T26:T29)</f>
        <v>44932.820000000007</v>
      </c>
      <c r="U11" s="93">
        <f>SUM('Quarter SeasTempAdj'!U26:U29)</f>
        <v>30341.360000000001</v>
      </c>
      <c r="V11" s="93">
        <f>SUM('Quarter SeasTempAdj'!V26:V29)</f>
        <v>10582.7</v>
      </c>
      <c r="W11" s="220">
        <f>SUM('Quarter SeasTempAdj'!W26:W29)</f>
        <v>4008.76</v>
      </c>
      <c r="X11" s="93">
        <f>SUM('Quarter SeasTempAdj'!X26:X29)</f>
        <v>48995.01</v>
      </c>
      <c r="Y11" s="93">
        <f>SUM('Quarter SeasTempAdj'!Y26:Y29)</f>
        <v>33865.009999999995</v>
      </c>
      <c r="Z11" s="93">
        <f>SUM('Quarter SeasTempAdj'!Z26:Z29)</f>
        <v>10808</v>
      </c>
      <c r="AA11" s="220">
        <f>SUM('Quarter SeasTempAdj'!AA26:AA29)</f>
        <v>4322</v>
      </c>
    </row>
    <row r="12" spans="1:27" s="92" customFormat="1" ht="15.5" x14ac:dyDescent="0.35">
      <c r="A12" s="90">
        <v>2008</v>
      </c>
      <c r="B12" s="93">
        <f>SUM('Quarter SeasTempAdj'!B30:B33)</f>
        <v>154238.97999999998</v>
      </c>
      <c r="C12" s="93">
        <f>SUM('Quarter SeasTempAdj'!C30:C33)</f>
        <v>30219.55</v>
      </c>
      <c r="D12" s="93">
        <f>SUM('Quarter SeasTempAdj'!D30:D33)</f>
        <v>57393.31</v>
      </c>
      <c r="E12" s="93">
        <f>SUM('Quarter SeasTempAdj'!E30:E33)</f>
        <v>45353.599999999999</v>
      </c>
      <c r="F12" s="220">
        <f>SUM('Quarter SeasTempAdj'!F30:F33)</f>
        <v>21272.52</v>
      </c>
      <c r="G12" s="93">
        <f>SUM('Quarter SeasTempAdj'!G30:G33)</f>
        <v>153715.94</v>
      </c>
      <c r="H12" s="93">
        <f>SUM('Quarter SeasTempAdj'!H30:H33)</f>
        <v>30160.99</v>
      </c>
      <c r="I12" s="93">
        <f>SUM('Quarter SeasTempAdj'!I30:I33)</f>
        <v>57322.96</v>
      </c>
      <c r="J12" s="93">
        <f>SUM('Quarter SeasTempAdj'!J30:J33)</f>
        <v>45028</v>
      </c>
      <c r="K12" s="220">
        <f>SUM('Quarter SeasTempAdj'!K30:K33)</f>
        <v>21203.99</v>
      </c>
      <c r="L12" s="93">
        <f>SUM('Quarter SeasTempAdj'!L30:L33)</f>
        <v>154238.96999999997</v>
      </c>
      <c r="M12" s="93">
        <f>SUM('Quarter SeasTempAdj'!M30:M33)</f>
        <v>51502.34</v>
      </c>
      <c r="N12" s="93">
        <f>SUM('Quarter SeasTempAdj'!N30:N33)</f>
        <v>29391.41</v>
      </c>
      <c r="O12" s="220">
        <f>SUM('Quarter SeasTempAdj'!O30:O33)</f>
        <v>73345.22</v>
      </c>
      <c r="P12" s="93">
        <f>SUM('Quarter SeasTempAdj'!P30:P33)</f>
        <v>153715.96000000002</v>
      </c>
      <c r="Q12" s="93">
        <f>SUM('Quarter SeasTempAdj'!Q30:Q33)</f>
        <v>51133.999999999993</v>
      </c>
      <c r="R12" s="93">
        <f>SUM('Quarter SeasTempAdj'!R30:R33)</f>
        <v>29299.96</v>
      </c>
      <c r="S12" s="220">
        <f>SUM('Quarter SeasTempAdj'!S30:S33)</f>
        <v>73282</v>
      </c>
      <c r="T12" s="93">
        <f>SUM('Quarter SeasTempAdj'!T30:T33)</f>
        <v>45353.58</v>
      </c>
      <c r="U12" s="93">
        <f>SUM('Quarter SeasTempAdj'!U30:U33)</f>
        <v>30916.06</v>
      </c>
      <c r="V12" s="93">
        <f>SUM('Quarter SeasTempAdj'!V30:V33)</f>
        <v>10300.939999999999</v>
      </c>
      <c r="W12" s="220">
        <f>SUM('Quarter SeasTempAdj'!W30:W33)</f>
        <v>4136.58</v>
      </c>
      <c r="X12" s="93">
        <f>SUM('Quarter SeasTempAdj'!X30:X33)</f>
        <v>45028.01</v>
      </c>
      <c r="Y12" s="93">
        <f>SUM('Quarter SeasTempAdj'!Y30:Y33)</f>
        <v>30607.010000000002</v>
      </c>
      <c r="Z12" s="93">
        <f>SUM('Quarter SeasTempAdj'!Z30:Z33)</f>
        <v>10286.01</v>
      </c>
      <c r="AA12" s="220">
        <f>SUM('Quarter SeasTempAdj'!AA30:AA33)</f>
        <v>4134.99</v>
      </c>
    </row>
    <row r="13" spans="1:27" s="92" customFormat="1" ht="15.5" x14ac:dyDescent="0.35">
      <c r="A13" s="90">
        <v>2009</v>
      </c>
      <c r="B13" s="93">
        <f>SUM('Quarter SeasTempAdj'!B34:B37)</f>
        <v>144595.54999999999</v>
      </c>
      <c r="C13" s="93">
        <f>SUM('Quarter SeasTempAdj'!C34:C37)</f>
        <v>22923.46</v>
      </c>
      <c r="D13" s="93">
        <f>SUM('Quarter SeasTempAdj'!D34:D37)</f>
        <v>55830.119999999995</v>
      </c>
      <c r="E13" s="93">
        <f>SUM('Quarter SeasTempAdj'!E34:E37)</f>
        <v>43866.689999999995</v>
      </c>
      <c r="F13" s="220">
        <f>SUM('Quarter SeasTempAdj'!F34:F37)</f>
        <v>21975.279999999999</v>
      </c>
      <c r="G13" s="93">
        <f>SUM('Quarter SeasTempAdj'!G34:G37)</f>
        <v>144469.31</v>
      </c>
      <c r="H13" s="93">
        <f>SUM('Quarter SeasTempAdj'!H34:H37)</f>
        <v>22861</v>
      </c>
      <c r="I13" s="93">
        <f>SUM('Quarter SeasTempAdj'!I34:I37)</f>
        <v>55983.31</v>
      </c>
      <c r="J13" s="93">
        <f>SUM('Quarter SeasTempAdj'!J34:J37)</f>
        <v>43623</v>
      </c>
      <c r="K13" s="220">
        <f>SUM('Quarter SeasTempAdj'!K34:K37)</f>
        <v>22002</v>
      </c>
      <c r="L13" s="93">
        <f>SUM('Quarter SeasTempAdj'!L34:L37)</f>
        <v>144595.56</v>
      </c>
      <c r="M13" s="93">
        <f>SUM('Quarter SeasTempAdj'!M34:M37)</f>
        <v>46827.61</v>
      </c>
      <c r="N13" s="93">
        <f>SUM('Quarter SeasTempAdj'!N34:N37)</f>
        <v>27665.34</v>
      </c>
      <c r="O13" s="220">
        <f>SUM('Quarter SeasTempAdj'!O34:O37)</f>
        <v>70102.61</v>
      </c>
      <c r="P13" s="93">
        <f>SUM('Quarter SeasTempAdj'!P34:P37)</f>
        <v>144469.31</v>
      </c>
      <c r="Q13" s="93">
        <f>SUM('Quarter SeasTempAdj'!Q34:Q37)</f>
        <v>46562.99</v>
      </c>
      <c r="R13" s="93">
        <f>SUM('Quarter SeasTempAdj'!R34:R37)</f>
        <v>27599.32</v>
      </c>
      <c r="S13" s="220">
        <f>SUM('Quarter SeasTempAdj'!S34:S37)</f>
        <v>70307</v>
      </c>
      <c r="T13" s="93">
        <f>SUM('Quarter SeasTempAdj'!T34:T37)</f>
        <v>43866.679999999993</v>
      </c>
      <c r="U13" s="93">
        <f>SUM('Quarter SeasTempAdj'!U34:U37)</f>
        <v>29681.8</v>
      </c>
      <c r="V13" s="93">
        <f>SUM('Quarter SeasTempAdj'!V34:V37)</f>
        <v>10192.67</v>
      </c>
      <c r="W13" s="220">
        <f>SUM('Quarter SeasTempAdj'!W34:W37)</f>
        <v>3992.21</v>
      </c>
      <c r="X13" s="93">
        <f>SUM('Quarter SeasTempAdj'!X34:X37)</f>
        <v>43623.009999999995</v>
      </c>
      <c r="Y13" s="93">
        <f>SUM('Quarter SeasTempAdj'!Y34:Y37)</f>
        <v>29457</v>
      </c>
      <c r="Z13" s="93">
        <f>SUM('Quarter SeasTempAdj'!Z34:Z37)</f>
        <v>10169.01</v>
      </c>
      <c r="AA13" s="220">
        <f>SUM('Quarter SeasTempAdj'!AA34:AA37)</f>
        <v>3996.9999999999995</v>
      </c>
    </row>
    <row r="14" spans="1:27" s="92" customFormat="1" ht="15.5" x14ac:dyDescent="0.35">
      <c r="A14" s="90">
        <v>2010</v>
      </c>
      <c r="B14" s="93">
        <f>SUM('Quarter SeasTempAdj'!B38:B41)</f>
        <v>150824.68</v>
      </c>
      <c r="C14" s="93">
        <f>SUM('Quarter SeasTempAdj'!C38:C41)</f>
        <v>23926.639999999999</v>
      </c>
      <c r="D14" s="93">
        <f>SUM('Quarter SeasTempAdj'!D38:D41)</f>
        <v>55332.99</v>
      </c>
      <c r="E14" s="93">
        <f>SUM('Quarter SeasTempAdj'!E38:E41)</f>
        <v>48338.61</v>
      </c>
      <c r="F14" s="220">
        <f>SUM('Quarter SeasTempAdj'!F38:F41)</f>
        <v>23226.440000000002</v>
      </c>
      <c r="G14" s="93">
        <f>SUM('Quarter SeasTempAdj'!G38:G41)</f>
        <v>144050.72999999998</v>
      </c>
      <c r="H14" s="93">
        <f>SUM('Quarter SeasTempAdj'!H38:H41)</f>
        <v>23374.99</v>
      </c>
      <c r="I14" s="93">
        <f>SUM('Quarter SeasTempAdj'!I38:I41)</f>
        <v>55753.740000000005</v>
      </c>
      <c r="J14" s="93">
        <f>SUM('Quarter SeasTempAdj'!J38:J41)</f>
        <v>42855</v>
      </c>
      <c r="K14" s="220">
        <f>SUM('Quarter SeasTempAdj'!K38:K41)</f>
        <v>22067</v>
      </c>
      <c r="L14" s="93">
        <f>SUM('Quarter SeasTempAdj'!L38:L41)</f>
        <v>150824.67000000001</v>
      </c>
      <c r="M14" s="93">
        <f>SUM('Quarter SeasTempAdj'!M38:M41)</f>
        <v>51630.45</v>
      </c>
      <c r="N14" s="93">
        <f>SUM('Quarter SeasTempAdj'!N38:N41)</f>
        <v>28274.92</v>
      </c>
      <c r="O14" s="220">
        <f>SUM('Quarter SeasTempAdj'!O38:O41)</f>
        <v>70919.299999999988</v>
      </c>
      <c r="P14" s="93">
        <f>SUM('Quarter SeasTempAdj'!P38:P41)</f>
        <v>144050.74</v>
      </c>
      <c r="Q14" s="93">
        <f>SUM('Quarter SeasTempAdj'!Q38:Q41)</f>
        <v>45718.009999999995</v>
      </c>
      <c r="R14" s="93">
        <f>SUM('Quarter SeasTempAdj'!R38:R41)</f>
        <v>27666.73</v>
      </c>
      <c r="S14" s="220">
        <f>SUM('Quarter SeasTempAdj'!S38:S41)</f>
        <v>70666</v>
      </c>
      <c r="T14" s="93">
        <f>SUM('Quarter SeasTempAdj'!T38:T41)</f>
        <v>48338.61</v>
      </c>
      <c r="U14" s="93">
        <f>SUM('Quarter SeasTempAdj'!U38:U41)</f>
        <v>33499.18</v>
      </c>
      <c r="V14" s="93">
        <f>SUM('Quarter SeasTempAdj'!V38:V41)</f>
        <v>10217.709999999999</v>
      </c>
      <c r="W14" s="220">
        <f>SUM('Quarter SeasTempAdj'!W38:W41)</f>
        <v>4621.72</v>
      </c>
      <c r="X14" s="93">
        <f>SUM('Quarter SeasTempAdj'!X38:X41)</f>
        <v>42854.979999999996</v>
      </c>
      <c r="Y14" s="93">
        <f>SUM('Quarter SeasTempAdj'!Y38:Y41)</f>
        <v>28768.989999999998</v>
      </c>
      <c r="Z14" s="93">
        <f>SUM('Quarter SeasTempAdj'!Z38:Z41)</f>
        <v>9901</v>
      </c>
      <c r="AA14" s="220">
        <f>SUM('Quarter SeasTempAdj'!AA38:AA41)</f>
        <v>4184.99</v>
      </c>
    </row>
    <row r="15" spans="1:27" s="92" customFormat="1" ht="15.5" x14ac:dyDescent="0.35">
      <c r="A15" s="90">
        <v>2011</v>
      </c>
      <c r="B15" s="93">
        <f>SUM('Quarter SeasTempAdj'!B42:B45)</f>
        <v>139102.91999999998</v>
      </c>
      <c r="C15" s="93">
        <f>SUM('Quarter SeasTempAdj'!C42:C45)</f>
        <v>23030.19</v>
      </c>
      <c r="D15" s="93">
        <f>SUM('Quarter SeasTempAdj'!D42:D45)</f>
        <v>54657.8</v>
      </c>
      <c r="E15" s="93">
        <f>SUM('Quarter SeasTempAdj'!E42:E45)</f>
        <v>40100.54</v>
      </c>
      <c r="F15" s="220">
        <f>SUM('Quarter SeasTempAdj'!F42:F45)</f>
        <v>21314.39</v>
      </c>
      <c r="G15" s="93">
        <f>SUM('Quarter SeasTempAdj'!G42:G45)</f>
        <v>142466.60999999999</v>
      </c>
      <c r="H15" s="93">
        <f>SUM('Quarter SeasTempAdj'!H42:H45)</f>
        <v>23280</v>
      </c>
      <c r="I15" s="93">
        <f>SUM('Quarter SeasTempAdj'!I42:I45)</f>
        <v>54656.6</v>
      </c>
      <c r="J15" s="93">
        <f>SUM('Quarter SeasTempAdj'!J42:J45)</f>
        <v>42557</v>
      </c>
      <c r="K15" s="220">
        <f>SUM('Quarter SeasTempAdj'!K42:K45)</f>
        <v>21973.01</v>
      </c>
      <c r="L15" s="93">
        <f>SUM('Quarter SeasTempAdj'!L42:L45)</f>
        <v>139102.90000000002</v>
      </c>
      <c r="M15" s="93">
        <f>SUM('Quarter SeasTempAdj'!M42:M45)</f>
        <v>42907.27</v>
      </c>
      <c r="N15" s="93">
        <f>SUM('Quarter SeasTempAdj'!N42:N45)</f>
        <v>27332.1</v>
      </c>
      <c r="O15" s="220">
        <f>SUM('Quarter SeasTempAdj'!O42:O45)</f>
        <v>68863.53</v>
      </c>
      <c r="P15" s="93">
        <f>SUM('Quarter SeasTempAdj'!P42:P45)</f>
        <v>142466.59999999998</v>
      </c>
      <c r="Q15" s="93">
        <f>SUM('Quarter SeasTempAdj'!Q42:Q45)</f>
        <v>45577</v>
      </c>
      <c r="R15" s="93">
        <f>SUM('Quarter SeasTempAdj'!R42:R45)</f>
        <v>27581.600000000002</v>
      </c>
      <c r="S15" s="220">
        <f>SUM('Quarter SeasTempAdj'!S42:S45)</f>
        <v>69308</v>
      </c>
      <c r="T15" s="93">
        <f>SUM('Quarter SeasTempAdj'!T42:T45)</f>
        <v>40100.540000000008</v>
      </c>
      <c r="U15" s="93">
        <f>SUM('Quarter SeasTempAdj'!U42:U45)</f>
        <v>26555.530000000002</v>
      </c>
      <c r="V15" s="93">
        <f>SUM('Quarter SeasTempAdj'!V42:V45)</f>
        <v>9594.7099999999991</v>
      </c>
      <c r="W15" s="220">
        <f>SUM('Quarter SeasTempAdj'!W42:W45)</f>
        <v>3950.3</v>
      </c>
      <c r="X15" s="93">
        <f>SUM('Quarter SeasTempAdj'!X42:X45)</f>
        <v>42557</v>
      </c>
      <c r="Y15" s="93">
        <f>SUM('Quarter SeasTempAdj'!Y42:Y45)</f>
        <v>28631.999999999996</v>
      </c>
      <c r="Z15" s="93">
        <f>SUM('Quarter SeasTempAdj'!Z42:Z45)</f>
        <v>9742</v>
      </c>
      <c r="AA15" s="220">
        <f>SUM('Quarter SeasTempAdj'!AA42:AA45)</f>
        <v>4183</v>
      </c>
    </row>
    <row r="16" spans="1:27" s="92" customFormat="1" ht="15.5" x14ac:dyDescent="0.35">
      <c r="A16" s="90">
        <v>2012</v>
      </c>
      <c r="B16" s="93">
        <f>SUM('Quarter SeasTempAdj'!B46:B49)</f>
        <v>142638.03999999998</v>
      </c>
      <c r="C16" s="93">
        <f>SUM('Quarter SeasTempAdj'!C46:C49)</f>
        <v>22416.78</v>
      </c>
      <c r="D16" s="93">
        <f>SUM('Quarter SeasTempAdj'!D46:D49)</f>
        <v>54089.08</v>
      </c>
      <c r="E16" s="93">
        <f>SUM('Quarter SeasTempAdj'!E46:E49)</f>
        <v>43411.64</v>
      </c>
      <c r="F16" s="220">
        <f>SUM('Quarter SeasTempAdj'!F46:F49)</f>
        <v>22720.54</v>
      </c>
      <c r="G16" s="93">
        <f>SUM('Quarter SeasTempAdj'!G46:G49)</f>
        <v>140723.24</v>
      </c>
      <c r="H16" s="93">
        <f>SUM('Quarter SeasTempAdj'!H46:H49)</f>
        <v>22298.010000000002</v>
      </c>
      <c r="I16" s="93">
        <f>SUM('Quarter SeasTempAdj'!I46:I49)</f>
        <v>53987.22</v>
      </c>
      <c r="J16" s="93">
        <f>SUM('Quarter SeasTempAdj'!J46:J49)</f>
        <v>42113.009999999995</v>
      </c>
      <c r="K16" s="220">
        <f>SUM('Quarter SeasTempAdj'!K46:K49)</f>
        <v>22325</v>
      </c>
      <c r="L16" s="93">
        <f>SUM('Quarter SeasTempAdj'!L46:L49)</f>
        <v>142638.03</v>
      </c>
      <c r="M16" s="93">
        <f>SUM('Quarter SeasTempAdj'!M46:M49)</f>
        <v>46853.11</v>
      </c>
      <c r="N16" s="93">
        <f>SUM('Quarter SeasTempAdj'!N46:N49)</f>
        <v>27366.42</v>
      </c>
      <c r="O16" s="220">
        <f>SUM('Quarter SeasTempAdj'!O46:O49)</f>
        <v>68418.5</v>
      </c>
      <c r="P16" s="93">
        <f>SUM('Quarter SeasTempAdj'!P46:P49)</f>
        <v>140723.20000000001</v>
      </c>
      <c r="Q16" s="93">
        <f>SUM('Quarter SeasTempAdj'!Q46:Q49)</f>
        <v>45380.99</v>
      </c>
      <c r="R16" s="93">
        <f>SUM('Quarter SeasTempAdj'!R46:R49)</f>
        <v>27250.22</v>
      </c>
      <c r="S16" s="220">
        <f>SUM('Quarter SeasTempAdj'!S46:S49)</f>
        <v>68091.990000000005</v>
      </c>
      <c r="T16" s="93">
        <f>SUM('Quarter SeasTempAdj'!T46:T49)</f>
        <v>43411.630000000005</v>
      </c>
      <c r="U16" s="93">
        <f>SUM('Quarter SeasTempAdj'!U46:U49)</f>
        <v>29508.18</v>
      </c>
      <c r="V16" s="93">
        <f>SUM('Quarter SeasTempAdj'!V46:V49)</f>
        <v>9859.2100000000009</v>
      </c>
      <c r="W16" s="220">
        <f>SUM('Quarter SeasTempAdj'!W46:W49)</f>
        <v>4044.24</v>
      </c>
      <c r="X16" s="93">
        <f>SUM('Quarter SeasTempAdj'!X46:X49)</f>
        <v>42112.990000000005</v>
      </c>
      <c r="Y16" s="93">
        <f>SUM('Quarter SeasTempAdj'!Y46:Y49)</f>
        <v>28383</v>
      </c>
      <c r="Z16" s="93">
        <f>SUM('Quarter SeasTempAdj'!Z46:Z49)</f>
        <v>9792</v>
      </c>
      <c r="AA16" s="220">
        <f>SUM('Quarter SeasTempAdj'!AA46:AA49)</f>
        <v>3937.9900000000002</v>
      </c>
    </row>
    <row r="17" spans="1:27" s="92" customFormat="1" ht="15.5" x14ac:dyDescent="0.35">
      <c r="A17" s="90">
        <v>2013</v>
      </c>
      <c r="B17" s="93">
        <f>SUM('Quarter SeasTempAdj'!B50:B53)</f>
        <v>144048.82999999999</v>
      </c>
      <c r="C17" s="93">
        <f>SUM('Quarter SeasTempAdj'!C50:C53)</f>
        <v>23068.639999999999</v>
      </c>
      <c r="D17" s="93">
        <f>SUM('Quarter SeasTempAdj'!D50:D53)</f>
        <v>53971.489999999991</v>
      </c>
      <c r="E17" s="93">
        <f>SUM('Quarter SeasTempAdj'!E50:E53)</f>
        <v>43671.83</v>
      </c>
      <c r="F17" s="220">
        <f>SUM('Quarter SeasTempAdj'!F50:F53)</f>
        <v>23336.870000000003</v>
      </c>
      <c r="G17" s="93">
        <f>SUM('Quarter SeasTempAdj'!G50:G53)</f>
        <v>141038.22</v>
      </c>
      <c r="H17" s="93">
        <f>SUM('Quarter SeasTempAdj'!H50:H53)</f>
        <v>22808</v>
      </c>
      <c r="I17" s="93">
        <f>SUM('Quarter SeasTempAdj'!I50:I53)</f>
        <v>54383.23</v>
      </c>
      <c r="J17" s="93">
        <f>SUM('Quarter SeasTempAdj'!J50:J53)</f>
        <v>41060.99</v>
      </c>
      <c r="K17" s="220">
        <f>SUM('Quarter SeasTempAdj'!K50:K53)</f>
        <v>22786</v>
      </c>
      <c r="L17" s="93">
        <f>SUM('Quarter SeasTempAdj'!L50:L53)</f>
        <v>144048.82999999999</v>
      </c>
      <c r="M17" s="93">
        <f>SUM('Quarter SeasTempAdj'!M50:M53)</f>
        <v>47429.35</v>
      </c>
      <c r="N17" s="93">
        <f>SUM('Quarter SeasTempAdj'!N50:N53)</f>
        <v>27194.400000000001</v>
      </c>
      <c r="O17" s="220">
        <f>SUM('Quarter SeasTempAdj'!O50:O53)</f>
        <v>69425.079999999987</v>
      </c>
      <c r="P17" s="93">
        <f>SUM('Quarter SeasTempAdj'!P50:P53)</f>
        <v>141038.23000000001</v>
      </c>
      <c r="Q17" s="93">
        <f>SUM('Quarter SeasTempAdj'!Q50:Q53)</f>
        <v>44593.990000000005</v>
      </c>
      <c r="R17" s="93">
        <f>SUM('Quarter SeasTempAdj'!R50:R53)</f>
        <v>26991.239999999998</v>
      </c>
      <c r="S17" s="220">
        <f>SUM('Quarter SeasTempAdj'!S50:S53)</f>
        <v>69453</v>
      </c>
      <c r="T17" s="93">
        <f>SUM('Quarter SeasTempAdj'!T50:T53)</f>
        <v>43671.819999999992</v>
      </c>
      <c r="U17" s="93">
        <f>SUM('Quarter SeasTempAdj'!U50:U53)</f>
        <v>29621.749999999996</v>
      </c>
      <c r="V17" s="93">
        <f>SUM('Quarter SeasTempAdj'!V50:V53)</f>
        <v>9751.6999999999989</v>
      </c>
      <c r="W17" s="220">
        <f>SUM('Quarter SeasTempAdj'!W50:W53)</f>
        <v>4298.37</v>
      </c>
      <c r="X17" s="93">
        <f>SUM('Quarter SeasTempAdj'!X50:X53)</f>
        <v>41061</v>
      </c>
      <c r="Y17" s="93">
        <f>SUM('Quarter SeasTempAdj'!Y50:Y53)</f>
        <v>27399.989999999998</v>
      </c>
      <c r="Z17" s="93">
        <f>SUM('Quarter SeasTempAdj'!Z50:Z53)</f>
        <v>9582</v>
      </c>
      <c r="AA17" s="220">
        <f>SUM('Quarter SeasTempAdj'!AA50:AA53)</f>
        <v>4079.01</v>
      </c>
    </row>
    <row r="18" spans="1:27" s="92" customFormat="1" ht="15.5" x14ac:dyDescent="0.35">
      <c r="A18" s="90">
        <v>2014</v>
      </c>
      <c r="B18" s="93">
        <f>SUM('Quarter SeasTempAdj'!B54:B57)</f>
        <v>136035.41999999998</v>
      </c>
      <c r="C18" s="93">
        <f>SUM('Quarter SeasTempAdj'!C54:C57)</f>
        <v>22260.57</v>
      </c>
      <c r="D18" s="93">
        <f>SUM('Quarter SeasTempAdj'!D54:D57)</f>
        <v>54618.44</v>
      </c>
      <c r="E18" s="93">
        <f>SUM('Quarter SeasTempAdj'!E54:E57)</f>
        <v>37544.229999999996</v>
      </c>
      <c r="F18" s="220">
        <f>SUM('Quarter SeasTempAdj'!F54:F57)</f>
        <v>21612.18</v>
      </c>
      <c r="G18" s="93">
        <f>SUM('Quarter SeasTempAdj'!G54:G57)</f>
        <v>139867.29999999999</v>
      </c>
      <c r="H18" s="93">
        <f>SUM('Quarter SeasTempAdj'!H54:H57)</f>
        <v>22539.99</v>
      </c>
      <c r="I18" s="93">
        <f>SUM('Quarter SeasTempAdj'!I54:I57)</f>
        <v>54451.31</v>
      </c>
      <c r="J18" s="93">
        <f>SUM('Quarter SeasTempAdj'!J54:J57)</f>
        <v>40480</v>
      </c>
      <c r="K18" s="220">
        <f>SUM('Quarter SeasTempAdj'!K54:K57)</f>
        <v>22396</v>
      </c>
      <c r="L18" s="93">
        <f>SUM('Quarter SeasTempAdj'!L54:L57)</f>
        <v>136035.41999999998</v>
      </c>
      <c r="M18" s="93">
        <f>SUM('Quarter SeasTempAdj'!M54:M57)</f>
        <v>40427.42</v>
      </c>
      <c r="N18" s="93">
        <f>SUM('Quarter SeasTempAdj'!N54:N57)</f>
        <v>26034.9</v>
      </c>
      <c r="O18" s="220">
        <f>SUM('Quarter SeasTempAdj'!O54:O57)</f>
        <v>69573.100000000006</v>
      </c>
      <c r="P18" s="93">
        <f>SUM('Quarter SeasTempAdj'!P54:P57)</f>
        <v>139867.29999999999</v>
      </c>
      <c r="Q18" s="93">
        <f>SUM('Quarter SeasTempAdj'!Q54:Q57)</f>
        <v>43576</v>
      </c>
      <c r="R18" s="93">
        <f>SUM('Quarter SeasTempAdj'!R54:R57)</f>
        <v>26308.3</v>
      </c>
      <c r="S18" s="220">
        <f>SUM('Quarter SeasTempAdj'!S54:S57)</f>
        <v>69983</v>
      </c>
      <c r="T18" s="93">
        <f>SUM('Quarter SeasTempAdj'!T54:T57)</f>
        <v>37544.199999999997</v>
      </c>
      <c r="U18" s="93">
        <f>SUM('Quarter SeasTempAdj'!U54:U57)</f>
        <v>24393.020000000004</v>
      </c>
      <c r="V18" s="93">
        <f>SUM('Quarter SeasTempAdj'!V54:V57)</f>
        <v>9292.86</v>
      </c>
      <c r="W18" s="220">
        <f>SUM('Quarter SeasTempAdj'!W54:W57)</f>
        <v>3858.3199999999997</v>
      </c>
      <c r="X18" s="93">
        <f>SUM('Quarter SeasTempAdj'!X54:X57)</f>
        <v>40480</v>
      </c>
      <c r="Y18" s="93">
        <f>SUM('Quarter SeasTempAdj'!Y54:Y57)</f>
        <v>26837.000000000004</v>
      </c>
      <c r="Z18" s="93">
        <f>SUM('Quarter SeasTempAdj'!Z54:Z57)</f>
        <v>9476</v>
      </c>
      <c r="AA18" s="220">
        <f>SUM('Quarter SeasTempAdj'!AA54:AA57)</f>
        <v>4167</v>
      </c>
    </row>
    <row r="19" spans="1:27" s="92" customFormat="1" ht="15.5" x14ac:dyDescent="0.35">
      <c r="A19" s="90">
        <v>2015</v>
      </c>
      <c r="B19" s="93">
        <f>SUM('Quarter SeasTempAdj'!B58:B61)</f>
        <v>137699.97999999998</v>
      </c>
      <c r="C19" s="93">
        <f>SUM('Quarter SeasTempAdj'!C58:C61)</f>
        <v>22307.72</v>
      </c>
      <c r="D19" s="93">
        <f>SUM('Quarter SeasTempAdj'!D58:D61)</f>
        <v>54617.31</v>
      </c>
      <c r="E19" s="93">
        <f>SUM('Quarter SeasTempAdj'!E58:E61)</f>
        <v>39026.6</v>
      </c>
      <c r="F19" s="220">
        <f>SUM('Quarter SeasTempAdj'!F58:F61)</f>
        <v>21748.35</v>
      </c>
      <c r="G19" s="93">
        <f>SUM('Quarter SeasTempAdj'!G58:G61)</f>
        <v>139019.37</v>
      </c>
      <c r="H19" s="93">
        <f>SUM('Quarter SeasTempAdj'!H58:H61)</f>
        <v>22442</v>
      </c>
      <c r="I19" s="93">
        <f>SUM('Quarter SeasTempAdj'!I58:I61)</f>
        <v>54707.35</v>
      </c>
      <c r="J19" s="93">
        <f>SUM('Quarter SeasTempAdj'!J58:J61)</f>
        <v>39873.01</v>
      </c>
      <c r="K19" s="220">
        <f>SUM('Quarter SeasTempAdj'!K58:K61)</f>
        <v>21997.01</v>
      </c>
      <c r="L19" s="93">
        <f>SUM('Quarter SeasTempAdj'!L58:L61)</f>
        <v>137699.99</v>
      </c>
      <c r="M19" s="93">
        <f>SUM('Quarter SeasTempAdj'!M58:M61)</f>
        <v>41895.700000000004</v>
      </c>
      <c r="N19" s="93">
        <f>SUM('Quarter SeasTempAdj'!N58:N61)</f>
        <v>26094.58</v>
      </c>
      <c r="O19" s="220">
        <f>SUM('Quarter SeasTempAdj'!O58:O61)</f>
        <v>69709.709999999992</v>
      </c>
      <c r="P19" s="93">
        <f>SUM('Quarter SeasTempAdj'!P58:P61)</f>
        <v>139019.34</v>
      </c>
      <c r="Q19" s="93">
        <f>SUM('Quarter SeasTempAdj'!Q58:Q61)</f>
        <v>42894</v>
      </c>
      <c r="R19" s="93">
        <f>SUM('Quarter SeasTempAdj'!R58:R61)</f>
        <v>26286.350000000002</v>
      </c>
      <c r="S19" s="220">
        <f>SUM('Quarter SeasTempAdj'!S58:S61)</f>
        <v>69838.989999999991</v>
      </c>
      <c r="T19" s="93">
        <f>SUM('Quarter SeasTempAdj'!T58:T61)</f>
        <v>39026.6</v>
      </c>
      <c r="U19" s="93">
        <f>SUM('Quarter SeasTempAdj'!U58:U61)</f>
        <v>25587.420000000002</v>
      </c>
      <c r="V19" s="93">
        <f>SUM('Quarter SeasTempAdj'!V58:V61)</f>
        <v>9266.0099999999984</v>
      </c>
      <c r="W19" s="220">
        <f>SUM('Quarter SeasTempAdj'!W58:W61)</f>
        <v>4173.17</v>
      </c>
      <c r="X19" s="93">
        <f>SUM('Quarter SeasTempAdj'!X58:X61)</f>
        <v>39873.009999999995</v>
      </c>
      <c r="Y19" s="93">
        <f>SUM('Quarter SeasTempAdj'!Y58:Y61)</f>
        <v>26344</v>
      </c>
      <c r="Z19" s="93">
        <f>SUM('Quarter SeasTempAdj'!Z58:Z61)</f>
        <v>9322.01</v>
      </c>
      <c r="AA19" s="220">
        <f>SUM('Quarter SeasTempAdj'!AA58:AA61)</f>
        <v>4207</v>
      </c>
    </row>
    <row r="20" spans="1:27" s="92" customFormat="1" ht="15.5" x14ac:dyDescent="0.35">
      <c r="A20" s="90">
        <v>2016</v>
      </c>
      <c r="B20" s="93">
        <f>SUM('Quarter SeasTempAdj'!B62:B65)</f>
        <v>139431.93</v>
      </c>
      <c r="C20" s="93">
        <f>SUM('Quarter SeasTempAdj'!C62:C65)</f>
        <v>21918.480000000003</v>
      </c>
      <c r="D20" s="93">
        <f>SUM('Quarter SeasTempAdj'!D62:D65)</f>
        <v>56085.599999999991</v>
      </c>
      <c r="E20" s="93">
        <f>SUM('Quarter SeasTempAdj'!E62:E65)</f>
        <v>39528.43</v>
      </c>
      <c r="F20" s="220">
        <f>SUM('Quarter SeasTempAdj'!F62:F65)</f>
        <v>21899.42</v>
      </c>
      <c r="G20" s="93">
        <f>SUM('Quarter SeasTempAdj'!G62:G65)</f>
        <v>139963.26999999999</v>
      </c>
      <c r="H20" s="93">
        <f>SUM('Quarter SeasTempAdj'!H62:H65)</f>
        <v>21903</v>
      </c>
      <c r="I20" s="93">
        <f>SUM('Quarter SeasTempAdj'!I62:I65)</f>
        <v>56084.27</v>
      </c>
      <c r="J20" s="93">
        <f>SUM('Quarter SeasTempAdj'!J62:J65)</f>
        <v>39917.99</v>
      </c>
      <c r="K20" s="220">
        <f>SUM('Quarter SeasTempAdj'!K62:K65)</f>
        <v>22058.010000000002</v>
      </c>
      <c r="L20" s="93">
        <f>SUM('Quarter SeasTempAdj'!L62:L65)</f>
        <v>139431.93</v>
      </c>
      <c r="M20" s="93">
        <f>SUM('Quarter SeasTempAdj'!M62:M65)</f>
        <v>42283.28</v>
      </c>
      <c r="N20" s="93">
        <f>SUM('Quarter SeasTempAdj'!N62:N65)</f>
        <v>26142.16</v>
      </c>
      <c r="O20" s="220">
        <f>SUM('Quarter SeasTempAdj'!O62:O65)</f>
        <v>71006.490000000005</v>
      </c>
      <c r="P20" s="93">
        <f>SUM('Quarter SeasTempAdj'!P62:P65)</f>
        <v>139963.26</v>
      </c>
      <c r="Q20" s="93">
        <f>SUM('Quarter SeasTempAdj'!Q62:Q65)</f>
        <v>42639</v>
      </c>
      <c r="R20" s="93">
        <f>SUM('Quarter SeasTempAdj'!R62:R65)</f>
        <v>26152.27</v>
      </c>
      <c r="S20" s="220">
        <f>SUM('Quarter SeasTempAdj'!S62:S65)</f>
        <v>71171.990000000005</v>
      </c>
      <c r="T20" s="93">
        <f>SUM('Quarter SeasTempAdj'!T62:T65)</f>
        <v>39528.44</v>
      </c>
      <c r="U20" s="93">
        <f>SUM('Quarter SeasTempAdj'!U62:U65)</f>
        <v>25999.56</v>
      </c>
      <c r="V20" s="93">
        <f>SUM('Quarter SeasTempAdj'!V62:V65)</f>
        <v>9288.48</v>
      </c>
      <c r="W20" s="220">
        <f>SUM('Quarter SeasTempAdj'!W62:W65)</f>
        <v>4240.3999999999996</v>
      </c>
      <c r="X20" s="93">
        <f>SUM('Quarter SeasTempAdj'!X62:X65)</f>
        <v>39918</v>
      </c>
      <c r="Y20" s="93">
        <f>SUM('Quarter SeasTempAdj'!Y62:Y65)</f>
        <v>26274.010000000002</v>
      </c>
      <c r="Z20" s="93">
        <f>SUM('Quarter SeasTempAdj'!Z62:Z65)</f>
        <v>9305.9900000000016</v>
      </c>
      <c r="AA20" s="220">
        <f>SUM('Quarter SeasTempAdj'!AA62:AA65)</f>
        <v>4338</v>
      </c>
    </row>
    <row r="21" spans="1:27" s="92" customFormat="1" ht="15.5" x14ac:dyDescent="0.35">
      <c r="A21" s="90">
        <v>2017</v>
      </c>
      <c r="B21" s="93">
        <f>SUM('Quarter SeasTempAdj'!B66:B69)</f>
        <v>139786.91</v>
      </c>
      <c r="C21" s="93">
        <f>SUM('Quarter SeasTempAdj'!C66:C69)</f>
        <v>21903.41</v>
      </c>
      <c r="D21" s="93">
        <f>SUM('Quarter SeasTempAdj'!D66:D69)</f>
        <v>57453.08</v>
      </c>
      <c r="E21" s="93">
        <f>SUM('Quarter SeasTempAdj'!E66:E69)</f>
        <v>38618.720000000001</v>
      </c>
      <c r="F21" s="220">
        <f>SUM('Quarter SeasTempAdj'!F66:F69)</f>
        <v>21811.7</v>
      </c>
      <c r="G21" s="93">
        <f>SUM('Quarter SeasTempAdj'!G66:G69)</f>
        <v>142088.02000000002</v>
      </c>
      <c r="H21" s="93">
        <f>SUM('Quarter SeasTempAdj'!H66:H69)</f>
        <v>22072</v>
      </c>
      <c r="I21" s="93">
        <f>SUM('Quarter SeasTempAdj'!I66:I69)</f>
        <v>57308.020000000004</v>
      </c>
      <c r="J21" s="93">
        <f>SUM('Quarter SeasTempAdj'!J66:J69)</f>
        <v>40421</v>
      </c>
      <c r="K21" s="220">
        <f>SUM('Quarter SeasTempAdj'!K66:K69)</f>
        <v>22286.999999999996</v>
      </c>
      <c r="L21" s="93">
        <f>SUM('Quarter SeasTempAdj'!L66:L69)</f>
        <v>139786.91</v>
      </c>
      <c r="M21" s="93">
        <f>SUM('Quarter SeasTempAdj'!M66:M69)</f>
        <v>41887.03</v>
      </c>
      <c r="N21" s="93">
        <f>SUM('Quarter SeasTempAdj'!N66:N69)</f>
        <v>25737.62</v>
      </c>
      <c r="O21" s="220">
        <f>SUM('Quarter SeasTempAdj'!O66:O69)</f>
        <v>72162.259999999995</v>
      </c>
      <c r="P21" s="93">
        <f>SUM('Quarter SeasTempAdj'!P66:P69)</f>
        <v>142088.03</v>
      </c>
      <c r="Q21" s="93">
        <f>SUM('Quarter SeasTempAdj'!Q66:Q69)</f>
        <v>43828</v>
      </c>
      <c r="R21" s="93">
        <f>SUM('Quarter SeasTempAdj'!R66:R69)</f>
        <v>25891.02</v>
      </c>
      <c r="S21" s="220">
        <f>SUM('Quarter SeasTempAdj'!S66:S69)</f>
        <v>72369.010000000009</v>
      </c>
      <c r="T21" s="93">
        <f>SUM('Quarter SeasTempAdj'!T66:T69)</f>
        <v>38618.720000000001</v>
      </c>
      <c r="U21" s="93">
        <f>SUM('Quarter SeasTempAdj'!U66:U69)</f>
        <v>25431.93</v>
      </c>
      <c r="V21" s="93">
        <f>SUM('Quarter SeasTempAdj'!V66:V69)</f>
        <v>9056.1099999999988</v>
      </c>
      <c r="W21" s="220">
        <f>SUM('Quarter SeasTempAdj'!W66:W69)</f>
        <v>4130.68</v>
      </c>
      <c r="X21" s="93">
        <f>SUM('Quarter SeasTempAdj'!X66:X69)</f>
        <v>40421.020000000004</v>
      </c>
      <c r="Y21" s="93">
        <f>SUM('Quarter SeasTempAdj'!Y66:Y69)</f>
        <v>26931.010000000002</v>
      </c>
      <c r="Z21" s="93">
        <f>SUM('Quarter SeasTempAdj'!Z66:Z69)</f>
        <v>9166</v>
      </c>
      <c r="AA21" s="220">
        <f>SUM('Quarter SeasTempAdj'!AA66:AA69)</f>
        <v>4324.01</v>
      </c>
    </row>
    <row r="22" spans="1:27" s="92" customFormat="1" ht="15.5" x14ac:dyDescent="0.35">
      <c r="A22" s="90">
        <v>2018</v>
      </c>
      <c r="B22" s="93">
        <f>SUM('Quarter SeasTempAdj'!B70:B73)</f>
        <v>141497.71999999997</v>
      </c>
      <c r="C22" s="93">
        <f>SUM('Quarter SeasTempAdj'!C70:C73)</f>
        <v>22472.219999999998</v>
      </c>
      <c r="D22" s="93">
        <f>SUM('Quarter SeasTempAdj'!D70:D73)</f>
        <v>57251.030000000006</v>
      </c>
      <c r="E22" s="93">
        <f>SUM('Quarter SeasTempAdj'!E70:E73)</f>
        <v>39430.28</v>
      </c>
      <c r="F22" s="220">
        <f>SUM('Quarter SeasTempAdj'!F70:F73)</f>
        <v>22344.190000000002</v>
      </c>
      <c r="G22" s="93">
        <f>SUM('Quarter SeasTempAdj'!G70:G73)</f>
        <v>142381.03</v>
      </c>
      <c r="H22" s="93">
        <f>SUM('Quarter SeasTempAdj'!H70:H73)</f>
        <v>22525</v>
      </c>
      <c r="I22" s="93">
        <f>SUM('Quarter SeasTempAdj'!I70:I73)</f>
        <v>57493.020000000004</v>
      </c>
      <c r="J22" s="93">
        <f>SUM('Quarter SeasTempAdj'!J70:J73)</f>
        <v>39803.01</v>
      </c>
      <c r="K22" s="220">
        <f>SUM('Quarter SeasTempAdj'!K70:K73)</f>
        <v>22560</v>
      </c>
      <c r="L22" s="93">
        <f>SUM('Quarter SeasTempAdj'!L70:L73)</f>
        <v>141497.72999999998</v>
      </c>
      <c r="M22" s="93">
        <f>SUM('Quarter SeasTempAdj'!M70:M73)</f>
        <v>43435.45</v>
      </c>
      <c r="N22" s="93">
        <f>SUM('Quarter SeasTempAdj'!N70:N73)</f>
        <v>25826.65</v>
      </c>
      <c r="O22" s="220">
        <f>SUM('Quarter SeasTempAdj'!O70:O73)</f>
        <v>72235.63</v>
      </c>
      <c r="P22" s="93">
        <f>SUM('Quarter SeasTempAdj'!P70:P73)</f>
        <v>142381.01</v>
      </c>
      <c r="Q22" s="93">
        <f>SUM('Quarter SeasTempAdj'!Q70:Q73)</f>
        <v>43918.720000000001</v>
      </c>
      <c r="R22" s="93">
        <f>SUM('Quarter SeasTempAdj'!R70:R73)</f>
        <v>25855.29</v>
      </c>
      <c r="S22" s="220">
        <f>SUM('Quarter SeasTempAdj'!S70:S73)</f>
        <v>72607</v>
      </c>
      <c r="T22" s="93">
        <f>SUM('Quarter SeasTempAdj'!T70:T73)</f>
        <v>39430.29</v>
      </c>
      <c r="U22" s="93">
        <f>SUM('Quarter SeasTempAdj'!U70:U73)</f>
        <v>26044.91</v>
      </c>
      <c r="V22" s="93">
        <f>SUM('Quarter SeasTempAdj'!V70:V73)</f>
        <v>9111.0299999999988</v>
      </c>
      <c r="W22" s="220">
        <f>SUM('Quarter SeasTempAdj'!W70:W73)</f>
        <v>4274.3499999999995</v>
      </c>
      <c r="X22" s="93">
        <f>SUM('Quarter SeasTempAdj'!X70:X73)</f>
        <v>39803</v>
      </c>
      <c r="Y22" s="93">
        <f>SUM('Quarter SeasTempAdj'!Y70:Y73)</f>
        <v>26369</v>
      </c>
      <c r="Z22" s="93">
        <f>SUM('Quarter SeasTempAdj'!Z70:Z73)</f>
        <v>9129</v>
      </c>
      <c r="AA22" s="220">
        <f>SUM('Quarter SeasTempAdj'!AA70:AA73)</f>
        <v>4305</v>
      </c>
    </row>
    <row r="23" spans="1:27" s="92" customFormat="1" ht="15.5" x14ac:dyDescent="0.35">
      <c r="A23" s="90">
        <v>2019</v>
      </c>
      <c r="B23" s="93">
        <f>SUM('Quarter SeasTempAdj'!B74:B77)</f>
        <v>139040.18</v>
      </c>
      <c r="C23" s="93">
        <f>SUM('Quarter SeasTempAdj'!C74:C77)</f>
        <v>22273.96</v>
      </c>
      <c r="D23" s="93">
        <f>SUM('Quarter SeasTempAdj'!D74:D77)</f>
        <v>56275.149999999994</v>
      </c>
      <c r="E23" s="93">
        <f>SUM('Quarter SeasTempAdj'!E74:E77)</f>
        <v>38338.78</v>
      </c>
      <c r="F23" s="220">
        <f>SUM('Quarter SeasTempAdj'!F74:F77)</f>
        <v>22152.29</v>
      </c>
      <c r="G23" s="93">
        <f>SUM('Quarter SeasTempAdj'!G74:G77)</f>
        <v>139921.96999999997</v>
      </c>
      <c r="H23" s="93">
        <f>SUM('Quarter SeasTempAdj'!H74:H77)</f>
        <v>22302</v>
      </c>
      <c r="I23" s="93">
        <f>SUM('Quarter SeasTempAdj'!I74:I77)</f>
        <v>56176.98</v>
      </c>
      <c r="J23" s="93">
        <f>SUM('Quarter SeasTempAdj'!J74:J77)</f>
        <v>39063.99</v>
      </c>
      <c r="K23" s="220">
        <f>SUM('Quarter SeasTempAdj'!K74:K77)</f>
        <v>22379</v>
      </c>
      <c r="L23" s="93">
        <f>SUM('Quarter SeasTempAdj'!L74:L77)</f>
        <v>139040.18</v>
      </c>
      <c r="M23" s="93">
        <f>SUM('Quarter SeasTempAdj'!M74:M77)</f>
        <v>42299.34</v>
      </c>
      <c r="N23" s="93">
        <f>SUM('Quarter SeasTempAdj'!N74:N77)</f>
        <v>25549.49</v>
      </c>
      <c r="O23" s="220">
        <f>SUM('Quarter SeasTempAdj'!O74:O77)</f>
        <v>71191.350000000006</v>
      </c>
      <c r="P23" s="93">
        <f>SUM('Quarter SeasTempAdj'!P74:P77)</f>
        <v>139921.97999999998</v>
      </c>
      <c r="Q23" s="93">
        <f>SUM('Quarter SeasTempAdj'!Q74:Q77)</f>
        <v>43039.72</v>
      </c>
      <c r="R23" s="93">
        <f>SUM('Quarter SeasTempAdj'!R74:R77)</f>
        <v>25594.25</v>
      </c>
      <c r="S23" s="220">
        <f>SUM('Quarter SeasTempAdj'!S74:S77)</f>
        <v>71288.009999999995</v>
      </c>
      <c r="T23" s="93">
        <f>SUM('Quarter SeasTempAdj'!T74:T77)</f>
        <v>38338.78</v>
      </c>
      <c r="U23" s="93">
        <f>SUM('Quarter SeasTempAdj'!U74:U77)</f>
        <v>25144.34</v>
      </c>
      <c r="V23" s="93">
        <f>SUM('Quarter SeasTempAdj'!V74:V77)</f>
        <v>8940.58</v>
      </c>
      <c r="W23" s="220">
        <f>SUM('Quarter SeasTempAdj'!W74:W77)</f>
        <v>4253.8600000000006</v>
      </c>
      <c r="X23" s="93">
        <f>SUM('Quarter SeasTempAdj'!X74:X77)</f>
        <v>39064.01</v>
      </c>
      <c r="Y23" s="93">
        <f>SUM('Quarter SeasTempAdj'!Y74:Y77)</f>
        <v>25709.010000000002</v>
      </c>
      <c r="Z23" s="93">
        <f>SUM('Quarter SeasTempAdj'!Z74:Z77)</f>
        <v>8985</v>
      </c>
      <c r="AA23" s="220">
        <f>SUM('Quarter SeasTempAdj'!AA74:AA77)</f>
        <v>4370</v>
      </c>
    </row>
    <row r="24" spans="1:27" s="92" customFormat="1" ht="15.5" x14ac:dyDescent="0.35">
      <c r="A24" s="90">
        <v>2020</v>
      </c>
      <c r="B24" s="93">
        <f>SUM('Quarter SeasTempAdj'!B78:B81)</f>
        <v>122533.45</v>
      </c>
      <c r="C24" s="93">
        <f>SUM('Quarter SeasTempAdj'!C78:C81)</f>
        <v>21345.45</v>
      </c>
      <c r="D24" s="93">
        <f>SUM('Quarter SeasTempAdj'!D78:D81)</f>
        <v>41711.82</v>
      </c>
      <c r="E24" s="93">
        <f>SUM('Quarter SeasTempAdj'!E78:E81)</f>
        <v>39390.539999999994</v>
      </c>
      <c r="F24" s="220">
        <f>SUM('Quarter SeasTempAdj'!F78:F81)</f>
        <v>20085.64</v>
      </c>
      <c r="G24" s="93">
        <f>SUM('Quarter SeasTempAdj'!G78:G81)</f>
        <v>125333.78</v>
      </c>
      <c r="H24" s="93">
        <f>SUM('Quarter SeasTempAdj'!H78:H81)</f>
        <v>21555</v>
      </c>
      <c r="I24" s="93">
        <f>SUM('Quarter SeasTempAdj'!I78:I81)</f>
        <v>41589.769999999997</v>
      </c>
      <c r="J24" s="93">
        <f>SUM('Quarter SeasTempAdj'!J78:J81)</f>
        <v>41569.01</v>
      </c>
      <c r="K24" s="220">
        <f>SUM('Quarter SeasTempAdj'!K78:K81)</f>
        <v>20620</v>
      </c>
      <c r="L24" s="93">
        <f>SUM('Quarter SeasTempAdj'!L78:L81)</f>
        <v>122533.43</v>
      </c>
      <c r="M24" s="93">
        <f>SUM('Quarter SeasTempAdj'!M78:M81)</f>
        <v>41813.339999999997</v>
      </c>
      <c r="N24" s="93">
        <f>SUM('Quarter SeasTempAdj'!N78:N81)</f>
        <v>24037.46</v>
      </c>
      <c r="O24" s="220">
        <f>SUM('Quarter SeasTempAdj'!O78:O81)</f>
        <v>56682.63</v>
      </c>
      <c r="P24" s="93">
        <f>SUM('Quarter SeasTempAdj'!P78:P81)</f>
        <v>125333.77000000002</v>
      </c>
      <c r="Q24" s="93">
        <f>SUM('Quarter SeasTempAdj'!Q78:Q81)</f>
        <v>44132.21</v>
      </c>
      <c r="R24" s="93">
        <f>SUM('Quarter SeasTempAdj'!R78:R81)</f>
        <v>24226.560000000001</v>
      </c>
      <c r="S24" s="220">
        <f>SUM('Quarter SeasTempAdj'!S78:S81)</f>
        <v>56975</v>
      </c>
      <c r="T24" s="93">
        <f>SUM('Quarter SeasTempAdj'!T78:T81)</f>
        <v>39390.54</v>
      </c>
      <c r="U24" s="93">
        <f>SUM('Quarter SeasTempAdj'!U78:U81)</f>
        <v>25813.03</v>
      </c>
      <c r="V24" s="93">
        <f>SUM('Quarter SeasTempAdj'!V78:V81)</f>
        <v>9249.630000000001</v>
      </c>
      <c r="W24" s="220">
        <f>SUM('Quarter SeasTempAdj'!W78:W81)</f>
        <v>4327.88</v>
      </c>
      <c r="X24" s="93">
        <f>SUM('Quarter SeasTempAdj'!X78:X81)</f>
        <v>41569.009999999995</v>
      </c>
      <c r="Y24" s="93">
        <f>SUM('Quarter SeasTempAdj'!Y78:Y81)</f>
        <v>27616</v>
      </c>
      <c r="Z24" s="93">
        <f>SUM('Quarter SeasTempAdj'!Z78:Z81)</f>
        <v>9389.01</v>
      </c>
      <c r="AA24" s="220">
        <f>SUM('Quarter SeasTempAdj'!AA78:AA81)</f>
        <v>4563.9999999999991</v>
      </c>
    </row>
    <row r="25" spans="1:27" s="92" customFormat="1" ht="15.5" x14ac:dyDescent="0.35">
      <c r="A25" s="90">
        <v>2021</v>
      </c>
      <c r="B25" s="93">
        <f>SUM('Quarter SeasTempAdj'!B82:B85)</f>
        <v>128028.75</v>
      </c>
      <c r="C25" s="93">
        <f>SUM('Quarter SeasTempAdj'!C82:C85)</f>
        <v>21501.670000000002</v>
      </c>
      <c r="D25" s="93">
        <f>SUM('Quarter SeasTempAdj'!D82:D85)</f>
        <v>44379.03</v>
      </c>
      <c r="E25" s="93">
        <f>SUM('Quarter SeasTempAdj'!E82:E85)</f>
        <v>40924.800000000003</v>
      </c>
      <c r="F25" s="220">
        <f>SUM('Quarter SeasTempAdj'!F82:F85)</f>
        <v>21223.25</v>
      </c>
      <c r="G25" s="93">
        <f>SUM('Quarter SeasTempAdj'!G82:G85)</f>
        <v>128272.99</v>
      </c>
      <c r="H25" s="93">
        <f>SUM('Quarter SeasTempAdj'!H82:H85)</f>
        <v>21470.989999999998</v>
      </c>
      <c r="I25" s="93">
        <f>SUM('Quarter SeasTempAdj'!I82:I85)</f>
        <v>44510</v>
      </c>
      <c r="J25" s="93">
        <f>SUM('Quarter SeasTempAdj'!J82:J85)</f>
        <v>40932</v>
      </c>
      <c r="K25" s="220">
        <f>SUM('Quarter SeasTempAdj'!K82:K85)</f>
        <v>21360</v>
      </c>
      <c r="L25" s="93">
        <f>SUM('Quarter SeasTempAdj'!L82:L85)</f>
        <v>128028.75</v>
      </c>
      <c r="M25" s="93">
        <f>SUM('Quarter SeasTempAdj'!M82:M85)</f>
        <v>44168.89</v>
      </c>
      <c r="N25" s="93">
        <f>SUM('Quarter SeasTempAdj'!N82:N85)</f>
        <v>24525.200000000001</v>
      </c>
      <c r="O25" s="220">
        <f>SUM('Quarter SeasTempAdj'!O82:O85)</f>
        <v>59334.66</v>
      </c>
      <c r="P25" s="93">
        <f>SUM('Quarter SeasTempAdj'!P82:P85)</f>
        <v>128273.01000000001</v>
      </c>
      <c r="Q25" s="93">
        <f>SUM('Quarter SeasTempAdj'!Q82:Q85)</f>
        <v>44214.090000000004</v>
      </c>
      <c r="R25" s="93">
        <f>SUM('Quarter SeasTempAdj'!R82:R85)</f>
        <v>24564.91</v>
      </c>
      <c r="S25" s="220">
        <f>SUM('Quarter SeasTempAdj'!S82:S85)</f>
        <v>59494.01</v>
      </c>
      <c r="T25" s="93">
        <f>SUM('Quarter SeasTempAdj'!T82:T85)</f>
        <v>40924.79</v>
      </c>
      <c r="U25" s="93">
        <f>SUM('Quarter SeasTempAdj'!U82:U85)</f>
        <v>27411.55</v>
      </c>
      <c r="V25" s="93">
        <f>SUM('Quarter SeasTempAdj'!V82:V85)</f>
        <v>9166.4599999999991</v>
      </c>
      <c r="W25" s="220">
        <f>SUM('Quarter SeasTempAdj'!W82:W85)</f>
        <v>4346.78</v>
      </c>
      <c r="X25" s="93">
        <f>SUM('Quarter SeasTempAdj'!X82:X85)</f>
        <v>40932</v>
      </c>
      <c r="Y25" s="93">
        <f>SUM('Quarter SeasTempAdj'!Y82:Y85)</f>
        <v>27397.99</v>
      </c>
      <c r="Z25" s="93">
        <f>SUM('Quarter SeasTempAdj'!Z82:Z85)</f>
        <v>9154.01</v>
      </c>
      <c r="AA25" s="220">
        <f>SUM('Quarter SeasTempAdj'!AA82:AA85)</f>
        <v>4380</v>
      </c>
    </row>
    <row r="26" spans="1:27" s="92" customFormat="1" ht="15.5" x14ac:dyDescent="0.35">
      <c r="A26" s="90">
        <v>2022</v>
      </c>
      <c r="B26" s="93">
        <f>SUM('Quarter SeasTempAdj'!B86:B89)</f>
        <v>125078.73999999999</v>
      </c>
      <c r="C26" s="93">
        <f>SUM('Quarter SeasTempAdj'!C86:C89)</f>
        <v>20026.12</v>
      </c>
      <c r="D26" s="93">
        <f>SUM('Quarter SeasTempAdj'!D86:D89)</f>
        <v>50653.77</v>
      </c>
      <c r="E26" s="93">
        <f>SUM('Quarter SeasTempAdj'!E86:E89)</f>
        <v>34393.65</v>
      </c>
      <c r="F26" s="220">
        <f>SUM('Quarter SeasTempAdj'!F86:F89)</f>
        <v>20005.2</v>
      </c>
      <c r="G26" s="93">
        <f>SUM('Quarter SeasTempAdj'!G86:G89)</f>
        <v>128506.12</v>
      </c>
      <c r="H26" s="93">
        <f>SUM('Quarter SeasTempAdj'!H86:H89)</f>
        <v>20254.990000000002</v>
      </c>
      <c r="I26" s="93">
        <f>SUM('Quarter SeasTempAdj'!I86:I89)</f>
        <v>50593.14</v>
      </c>
      <c r="J26" s="93">
        <f>SUM('Quarter SeasTempAdj'!J86:J89)</f>
        <v>36921</v>
      </c>
      <c r="K26" s="220">
        <f>SUM('Quarter SeasTempAdj'!K86:K89)</f>
        <v>20736.989999999998</v>
      </c>
      <c r="L26" s="93">
        <f>SUM('Quarter SeasTempAdj'!L86:L89)</f>
        <v>125078.72</v>
      </c>
      <c r="M26" s="93">
        <f>SUM('Quarter SeasTempAdj'!M86:M89)</f>
        <v>37549.31</v>
      </c>
      <c r="N26" s="93">
        <f>SUM('Quarter SeasTempAdj'!N86:N89)</f>
        <v>23369.399999999998</v>
      </c>
      <c r="O26" s="220">
        <f>SUM('Quarter SeasTempAdj'!O86:O89)</f>
        <v>64160.009999999995</v>
      </c>
      <c r="P26" s="93">
        <f>SUM('Quarter SeasTempAdj'!P86:P89)</f>
        <v>128506.12999999999</v>
      </c>
      <c r="Q26" s="93">
        <f>SUM('Quarter SeasTempAdj'!Q86:Q89)</f>
        <v>40304.75</v>
      </c>
      <c r="R26" s="93">
        <f>SUM('Quarter SeasTempAdj'!R86:R89)</f>
        <v>23598.38</v>
      </c>
      <c r="S26" s="220">
        <f>SUM('Quarter SeasTempAdj'!S86:S89)</f>
        <v>64603</v>
      </c>
      <c r="T26" s="93">
        <f>SUM('Quarter SeasTempAdj'!T86:T89)</f>
        <v>34393.64</v>
      </c>
      <c r="U26" s="93">
        <f>SUM('Quarter SeasTempAdj'!U86:U89)</f>
        <v>22321.59</v>
      </c>
      <c r="V26" s="93">
        <f>SUM('Quarter SeasTempAdj'!V86:V89)</f>
        <v>8258.2599999999984</v>
      </c>
      <c r="W26" s="220">
        <f>SUM('Quarter SeasTempAdj'!W86:W89)</f>
        <v>3813.7900000000009</v>
      </c>
      <c r="X26" s="93">
        <f>SUM('Quarter SeasTempAdj'!X86:X89)</f>
        <v>36921</v>
      </c>
      <c r="Y26" s="93">
        <f>SUM('Quarter SeasTempAdj'!Y86:Y89)</f>
        <v>24417</v>
      </c>
      <c r="Z26" s="93">
        <f>SUM('Quarter SeasTempAdj'!Z86:Z89)</f>
        <v>8412</v>
      </c>
      <c r="AA26" s="220">
        <f>SUM('Quarter SeasTempAdj'!AA86:AA89)</f>
        <v>4092</v>
      </c>
    </row>
    <row r="27" spans="1:27" ht="15.5" x14ac:dyDescent="0.35">
      <c r="A27" s="90">
        <v>2023</v>
      </c>
      <c r="B27" s="93">
        <f>SUM('Quarter SeasTempAdj'!B90:B93)</f>
        <v>124808.06000000003</v>
      </c>
      <c r="C27" s="93">
        <f>SUM('Quarter SeasTempAdj'!C90:C93)</f>
        <v>19753.02</v>
      </c>
      <c r="D27" s="93">
        <f>SUM('Quarter SeasTempAdj'!D90:D93)</f>
        <v>52514.720000000001</v>
      </c>
      <c r="E27" s="93">
        <f>SUM('Quarter SeasTempAdj'!E90:E93)</f>
        <v>32737.190000000002</v>
      </c>
      <c r="F27" s="220">
        <f>SUM('Quarter SeasTempAdj'!F90:F93)</f>
        <v>19803.13</v>
      </c>
      <c r="G27" s="93">
        <f>SUM('Quarter SeasTempAdj'!G90:G93)</f>
        <v>127908.55</v>
      </c>
      <c r="H27" s="93">
        <f>SUM('Quarter SeasTempAdj'!H90:H93)</f>
        <v>19951</v>
      </c>
      <c r="I27" s="93">
        <f>SUM('Quarter SeasTempAdj'!I90:I93)</f>
        <v>52530.54</v>
      </c>
      <c r="J27" s="93">
        <f>SUM('Quarter SeasTempAdj'!J90:J93)</f>
        <v>34945</v>
      </c>
      <c r="K27" s="220">
        <f>SUM('Quarter SeasTempAdj'!K90:K93)</f>
        <v>20482.010000000002</v>
      </c>
      <c r="L27" s="93">
        <f>SUM('Quarter SeasTempAdj'!L90:L93)</f>
        <v>124808.05</v>
      </c>
      <c r="M27" s="93">
        <f>SUM('Quarter SeasTempAdj'!M90:M93)</f>
        <v>35595.700000000004</v>
      </c>
      <c r="N27" s="93">
        <f>SUM('Quarter SeasTempAdj'!N90:N93)</f>
        <v>23230.309999999998</v>
      </c>
      <c r="O27" s="220">
        <f>SUM('Quarter SeasTempAdj'!O90:O93)</f>
        <v>65982.040000000008</v>
      </c>
      <c r="P27" s="93">
        <f>SUM('Quarter SeasTempAdj'!P90:P93)</f>
        <v>127908.54</v>
      </c>
      <c r="Q27" s="93">
        <f>SUM('Quarter SeasTempAdj'!Q90:Q93)</f>
        <v>37983.910000000003</v>
      </c>
      <c r="R27" s="93">
        <f>SUM('Quarter SeasTempAdj'!R90:R93)</f>
        <v>23442.63</v>
      </c>
      <c r="S27" s="220">
        <f>SUM('Quarter SeasTempAdj'!S90:S93)</f>
        <v>66482</v>
      </c>
      <c r="T27" s="93">
        <f>SUM('Quarter SeasTempAdj'!T90:T93)</f>
        <v>32737.200000000004</v>
      </c>
      <c r="U27" s="93">
        <f>SUM('Quarter SeasTempAdj'!U90:U93)</f>
        <v>20888.36</v>
      </c>
      <c r="V27" s="93">
        <f>SUM('Quarter SeasTempAdj'!V90:V93)</f>
        <v>7968.09</v>
      </c>
      <c r="W27" s="220">
        <f>SUM('Quarter SeasTempAdj'!W90:W93)</f>
        <v>3880.7499999999995</v>
      </c>
      <c r="X27" s="93">
        <f>SUM('Quarter SeasTempAdj'!X90:X93)</f>
        <v>34945.01</v>
      </c>
      <c r="Y27" s="93">
        <f>SUM('Quarter SeasTempAdj'!Y90:Y93)</f>
        <v>22697</v>
      </c>
      <c r="Z27" s="93">
        <f>SUM('Quarter SeasTempAdj'!Z90:Z93)</f>
        <v>8101.01</v>
      </c>
      <c r="AA27" s="220">
        <f>SUM('Quarter SeasTempAdj'!AA90:AA93)</f>
        <v>4147</v>
      </c>
    </row>
    <row r="28" spans="1:27" ht="15.5" x14ac:dyDescent="0.35">
      <c r="A28" s="90">
        <v>2024</v>
      </c>
      <c r="B28" s="93">
        <f>SUM('Quarter SeasTempAdj'!B94:B97)</f>
        <v>127645.6</v>
      </c>
      <c r="C28" s="93">
        <f>SUM('Quarter SeasTempAdj'!C94:C97)</f>
        <v>19161.34</v>
      </c>
      <c r="D28" s="93">
        <f>SUM('Quarter SeasTempAdj'!D94:D97)</f>
        <v>54015.789999999994</v>
      </c>
      <c r="E28" s="93">
        <f>SUM('Quarter SeasTempAdj'!E94:E97)</f>
        <v>33815.740000000005</v>
      </c>
      <c r="F28" s="220">
        <f>SUM('Quarter SeasTempAdj'!F94:F97)</f>
        <v>20652.73</v>
      </c>
      <c r="G28" s="93">
        <f>SUM('Quarter SeasTempAdj'!G94:G97)</f>
        <v>131317.04999999999</v>
      </c>
      <c r="H28" s="93">
        <f>SUM('Quarter SeasTempAdj'!H94:H97)</f>
        <v>19422</v>
      </c>
      <c r="I28" s="93">
        <f>SUM('Quarter SeasTempAdj'!I94:I97)</f>
        <v>53950.06</v>
      </c>
      <c r="J28" s="93">
        <f>SUM('Quarter SeasTempAdj'!J94:J97)</f>
        <v>36510</v>
      </c>
      <c r="K28" s="220">
        <f>SUM('Quarter SeasTempAdj'!K94:K97)</f>
        <v>21434.99</v>
      </c>
      <c r="L28" s="93">
        <f>SUM('Quarter SeasTempAdj'!L94:L97)</f>
        <v>127645.62000000001</v>
      </c>
      <c r="M28" s="93">
        <f>SUM('Quarter SeasTempAdj'!M94:M97)</f>
        <v>36808.410000000003</v>
      </c>
      <c r="N28" s="93">
        <f>SUM('Quarter SeasTempAdj'!N94:N97)</f>
        <v>23290.15</v>
      </c>
      <c r="O28" s="220">
        <f>SUM('Quarter SeasTempAdj'!O94:O97)</f>
        <v>67547.06</v>
      </c>
      <c r="P28" s="93">
        <f>SUM('Quarter SeasTempAdj'!P94:P97)</f>
        <v>131317.04999999999</v>
      </c>
      <c r="Q28" s="93">
        <f>SUM('Quarter SeasTempAdj'!Q94:Q97)</f>
        <v>39752.49</v>
      </c>
      <c r="R28" s="93">
        <f>SUM('Quarter SeasTempAdj'!R94:R97)</f>
        <v>23545.56</v>
      </c>
      <c r="S28" s="220">
        <f>SUM('Quarter SeasTempAdj'!S94:S97)</f>
        <v>68019</v>
      </c>
      <c r="T28" s="93">
        <f>SUM('Quarter SeasTempAdj'!T94:T97)</f>
        <v>33815.75</v>
      </c>
      <c r="U28" s="93">
        <f>SUM('Quarter SeasTempAdj'!U94:U97)</f>
        <v>21753.64</v>
      </c>
      <c r="V28" s="93">
        <f>SUM('Quarter SeasTempAdj'!V94:V97)</f>
        <v>7937.15</v>
      </c>
      <c r="W28" s="220">
        <f>SUM('Quarter SeasTempAdj'!W94:W97)</f>
        <v>4124.96</v>
      </c>
      <c r="X28" s="93">
        <f>SUM('Quarter SeasTempAdj'!X94:X97)</f>
        <v>36510</v>
      </c>
      <c r="Y28" s="93">
        <f>SUM('Quarter SeasTempAdj'!Y94:Y97)</f>
        <v>23976</v>
      </c>
      <c r="Z28" s="93">
        <f>SUM('Quarter SeasTempAdj'!Z94:Z97)</f>
        <v>8099.0000000000009</v>
      </c>
      <c r="AA28" s="220">
        <f>SUM('Quarter SeasTempAdj'!AA94:AA97)</f>
        <v>4435</v>
      </c>
    </row>
    <row r="29" spans="1:27" ht="15.5" x14ac:dyDescent="0.35">
      <c r="A29" s="90" t="s">
        <v>524</v>
      </c>
      <c r="B29" s="93">
        <f>SUM('Quarter SeasTempAdj'!B98:B101)</f>
        <v>127463.31999999999</v>
      </c>
      <c r="C29" s="93">
        <f>SUM('Quarter SeasTempAdj'!C98:C101)</f>
        <v>17989.36</v>
      </c>
      <c r="D29" s="93">
        <f>SUM('Quarter SeasTempAdj'!D98:D101)</f>
        <v>55323.95</v>
      </c>
      <c r="E29" s="93">
        <f>SUM('Quarter SeasTempAdj'!E98:E101)</f>
        <v>33562.840000000004</v>
      </c>
      <c r="F29" s="220">
        <f>SUM('Quarter SeasTempAdj'!F98:F101)</f>
        <v>20587.170000000002</v>
      </c>
      <c r="G29" s="93">
        <f>SUM('Quarter SeasTempAdj'!G98:G101)</f>
        <v>130655.62</v>
      </c>
      <c r="H29" s="93">
        <f>SUM('Quarter SeasTempAdj'!H98:H101)</f>
        <v>18188</v>
      </c>
      <c r="I29" s="93">
        <f>SUM('Quarter SeasTempAdj'!I98:I101)</f>
        <v>55473.61</v>
      </c>
      <c r="J29" s="93">
        <f>SUM('Quarter SeasTempAdj'!J98:J101)</f>
        <v>35683.01</v>
      </c>
      <c r="K29" s="220">
        <f>SUM('Quarter SeasTempAdj'!K98:K101)</f>
        <v>21311</v>
      </c>
      <c r="L29" s="93">
        <f>SUM('Quarter SeasTempAdj'!L98:L101)</f>
        <v>127463.29999999999</v>
      </c>
      <c r="M29" s="93">
        <f>SUM('Quarter SeasTempAdj'!M98:M101)</f>
        <v>35813.75</v>
      </c>
      <c r="N29" s="93">
        <f>SUM('Quarter SeasTempAdj'!N98:N101)</f>
        <v>23542.079999999998</v>
      </c>
      <c r="O29" s="220">
        <f>SUM('Quarter SeasTempAdj'!O98:O101)</f>
        <v>68107.47</v>
      </c>
      <c r="P29" s="93">
        <f>SUM('Quarter SeasTempAdj'!P98:P101)</f>
        <v>130655.61</v>
      </c>
      <c r="Q29" s="93">
        <f>SUM('Quarter SeasTempAdj'!Q98:Q101)</f>
        <v>38172.5</v>
      </c>
      <c r="R29" s="93">
        <f>SUM('Quarter SeasTempAdj'!R98:R101)</f>
        <v>23749.11</v>
      </c>
      <c r="S29" s="220">
        <f>SUM('Quarter SeasTempAdj'!S98:S101)</f>
        <v>68734</v>
      </c>
      <c r="T29" s="93">
        <f>SUM('Quarter SeasTempAdj'!T98:T101)</f>
        <v>33562.850000000006</v>
      </c>
      <c r="U29" s="93">
        <f>SUM('Quarter SeasTempAdj'!U98:U101)</f>
        <v>21509.22</v>
      </c>
      <c r="V29" s="93">
        <f>SUM('Quarter SeasTempAdj'!V98:V101)</f>
        <v>8041.95</v>
      </c>
      <c r="W29" s="220">
        <f>SUM('Quarter SeasTempAdj'!W98:W101)</f>
        <v>4011.6800000000003</v>
      </c>
      <c r="X29" s="93">
        <f>SUM('Quarter SeasTempAdj'!X98:X101)</f>
        <v>35683.020000000004</v>
      </c>
      <c r="Y29" s="93">
        <f>SUM('Quarter SeasTempAdj'!Y98:Y101)</f>
        <v>23256.010000000002</v>
      </c>
      <c r="Z29" s="93">
        <f>SUM('Quarter SeasTempAdj'!Z98:Z101)</f>
        <v>8179.01</v>
      </c>
      <c r="AA29" s="220">
        <f>SUM('Quarter SeasTempAdj'!AA98:AA101)</f>
        <v>4248</v>
      </c>
    </row>
  </sheetData>
  <pageMargins left="0.7" right="0.7" top="0.75" bottom="0.75" header="0.3" footer="0.3"/>
  <pageSetup paperSize="9" orientation="portrait" r:id="rId1"/>
  <ignoredErrors>
    <ignoredError sqref="C6:AA23 C24:AA24 C25:AA25 C26:AA26 C27:AA27 B28:AA28 C29:AA29" formulaRange="1"/>
  </ignoredErrors>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C2B25-CD4B-4CCF-B3D8-ECF5EC49A1F2}">
  <dimension ref="A1:AA101"/>
  <sheetViews>
    <sheetView showGridLines="0" zoomScaleNormal="100" workbookViewId="0">
      <pane xSplit="1" ySplit="5" topLeftCell="B94" activePane="bottomRight" state="frozen"/>
      <selection pane="topRight"/>
      <selection pane="bottomLeft"/>
      <selection pane="bottomRight" activeCell="B94" sqref="B94"/>
    </sheetView>
  </sheetViews>
  <sheetFormatPr defaultColWidth="9.1796875" defaultRowHeight="15.5" x14ac:dyDescent="0.35"/>
  <cols>
    <col min="1" max="1" width="29.1796875" style="92" customWidth="1"/>
    <col min="2" max="2" width="30.1796875" style="92" customWidth="1"/>
    <col min="3" max="3" width="9.54296875" style="92" customWidth="1"/>
    <col min="4" max="4" width="10.81640625" style="92" customWidth="1"/>
    <col min="5" max="5" width="10.54296875" style="92" customWidth="1"/>
    <col min="6" max="6" width="16.7265625" style="92" customWidth="1"/>
    <col min="7" max="7" width="28.54296875" style="92" customWidth="1"/>
    <col min="8" max="8" width="10.54296875" style="92" customWidth="1"/>
    <col min="9" max="9" width="12" style="92" customWidth="1"/>
    <col min="10" max="10" width="11.54296875" style="92" customWidth="1"/>
    <col min="11" max="11" width="17.81640625" style="92" customWidth="1"/>
    <col min="12" max="12" width="25" style="92" customWidth="1"/>
    <col min="13" max="13" width="9.26953125" style="92" customWidth="1"/>
    <col min="14" max="14" width="10.81640625" style="92" customWidth="1"/>
    <col min="15" max="15" width="9.26953125" style="92" customWidth="1"/>
    <col min="16" max="16" width="30.81640625" style="92" customWidth="1"/>
    <col min="17" max="17" width="9.26953125" style="92" customWidth="1"/>
    <col min="18" max="18" width="11.81640625" style="92" customWidth="1"/>
    <col min="19" max="19" width="9.26953125" style="92" customWidth="1"/>
    <col min="20" max="20" width="30.1796875" style="92" customWidth="1"/>
    <col min="21" max="21" width="9.1796875" style="92"/>
    <col min="22" max="22" width="13" style="92" customWidth="1"/>
    <col min="23" max="23" width="9.54296875" style="92" customWidth="1"/>
    <col min="24" max="24" width="30.1796875" style="92" customWidth="1"/>
    <col min="25" max="25" width="9.1796875" style="92"/>
    <col min="26" max="26" width="13" style="92" customWidth="1"/>
    <col min="27" max="27" width="9.54296875" style="92" customWidth="1"/>
    <col min="28" max="31" width="9.1796875" style="92"/>
    <col min="32" max="32" width="12.81640625" style="92" bestFit="1" customWidth="1"/>
    <col min="33" max="246" width="9.1796875" style="92"/>
    <col min="247" max="247" width="11.81640625" style="92" bestFit="1" customWidth="1"/>
    <col min="248" max="248" width="2.54296875" style="92" customWidth="1"/>
    <col min="249" max="249" width="9.26953125" style="92" customWidth="1"/>
    <col min="250" max="250" width="0" style="92" hidden="1" customWidth="1"/>
    <col min="251" max="254" width="9.26953125" style="92" customWidth="1"/>
    <col min="255" max="260" width="7.453125" style="92" customWidth="1"/>
    <col min="261" max="261" width="25.1796875" style="92" customWidth="1"/>
    <col min="262" max="265" width="9.26953125" style="92" customWidth="1"/>
    <col min="266" max="266" width="7.453125" style="92" customWidth="1"/>
    <col min="267" max="270" width="9.26953125" style="92" customWidth="1"/>
    <col min="271" max="271" width="10.54296875" style="92" customWidth="1"/>
    <col min="272" max="274" width="9.1796875" style="92"/>
    <col min="275" max="275" width="12.26953125" style="92" customWidth="1"/>
    <col min="276" max="276" width="9.1796875" style="92"/>
    <col min="277" max="277" width="9.54296875" style="92" bestFit="1" customWidth="1"/>
    <col min="278" max="279" width="9.26953125" style="92" bestFit="1" customWidth="1"/>
    <col min="280" max="502" width="9.1796875" style="92"/>
    <col min="503" max="503" width="11.81640625" style="92" bestFit="1" customWidth="1"/>
    <col min="504" max="504" width="2.54296875" style="92" customWidth="1"/>
    <col min="505" max="505" width="9.26953125" style="92" customWidth="1"/>
    <col min="506" max="506" width="0" style="92" hidden="1" customWidth="1"/>
    <col min="507" max="510" width="9.26953125" style="92" customWidth="1"/>
    <col min="511" max="516" width="7.453125" style="92" customWidth="1"/>
    <col min="517" max="517" width="25.1796875" style="92" customWidth="1"/>
    <col min="518" max="521" width="9.26953125" style="92" customWidth="1"/>
    <col min="522" max="522" width="7.453125" style="92" customWidth="1"/>
    <col min="523" max="526" width="9.26953125" style="92" customWidth="1"/>
    <col min="527" max="527" width="10.54296875" style="92" customWidth="1"/>
    <col min="528" max="530" width="9.1796875" style="92"/>
    <col min="531" max="531" width="12.26953125" style="92" customWidth="1"/>
    <col min="532" max="532" width="9.1796875" style="92"/>
    <col min="533" max="533" width="9.54296875" style="92" bestFit="1" customWidth="1"/>
    <col min="534" max="535" width="9.26953125" style="92" bestFit="1" customWidth="1"/>
    <col min="536" max="758" width="9.1796875" style="92"/>
    <col min="759" max="759" width="11.81640625" style="92" bestFit="1" customWidth="1"/>
    <col min="760" max="760" width="2.54296875" style="92" customWidth="1"/>
    <col min="761" max="761" width="9.26953125" style="92" customWidth="1"/>
    <col min="762" max="762" width="0" style="92" hidden="1" customWidth="1"/>
    <col min="763" max="766" width="9.26953125" style="92" customWidth="1"/>
    <col min="767" max="772" width="7.453125" style="92" customWidth="1"/>
    <col min="773" max="773" width="25.1796875" style="92" customWidth="1"/>
    <col min="774" max="777" width="9.26953125" style="92" customWidth="1"/>
    <col min="778" max="778" width="7.453125" style="92" customWidth="1"/>
    <col min="779" max="782" width="9.26953125" style="92" customWidth="1"/>
    <col min="783" max="783" width="10.54296875" style="92" customWidth="1"/>
    <col min="784" max="786" width="9.1796875" style="92"/>
    <col min="787" max="787" width="12.26953125" style="92" customWidth="1"/>
    <col min="788" max="788" width="9.1796875" style="92"/>
    <col min="789" max="789" width="9.54296875" style="92" bestFit="1" customWidth="1"/>
    <col min="790" max="791" width="9.26953125" style="92" bestFit="1" customWidth="1"/>
    <col min="792" max="1014" width="9.1796875" style="92"/>
    <col min="1015" max="1015" width="11.81640625" style="92" bestFit="1" customWidth="1"/>
    <col min="1016" max="1016" width="2.54296875" style="92" customWidth="1"/>
    <col min="1017" max="1017" width="9.26953125" style="92" customWidth="1"/>
    <col min="1018" max="1018" width="0" style="92" hidden="1" customWidth="1"/>
    <col min="1019" max="1022" width="9.26953125" style="92" customWidth="1"/>
    <col min="1023" max="1028" width="7.453125" style="92" customWidth="1"/>
    <col min="1029" max="1029" width="25.1796875" style="92" customWidth="1"/>
    <col min="1030" max="1033" width="9.26953125" style="92" customWidth="1"/>
    <col min="1034" max="1034" width="7.453125" style="92" customWidth="1"/>
    <col min="1035" max="1038" width="9.26953125" style="92" customWidth="1"/>
    <col min="1039" max="1039" width="10.54296875" style="92" customWidth="1"/>
    <col min="1040" max="1042" width="9.1796875" style="92"/>
    <col min="1043" max="1043" width="12.26953125" style="92" customWidth="1"/>
    <col min="1044" max="1044" width="9.1796875" style="92"/>
    <col min="1045" max="1045" width="9.54296875" style="92" bestFit="1" customWidth="1"/>
    <col min="1046" max="1047" width="9.26953125" style="92" bestFit="1" customWidth="1"/>
    <col min="1048" max="1270" width="9.1796875" style="92"/>
    <col min="1271" max="1271" width="11.81640625" style="92" bestFit="1" customWidth="1"/>
    <col min="1272" max="1272" width="2.54296875" style="92" customWidth="1"/>
    <col min="1273" max="1273" width="9.26953125" style="92" customWidth="1"/>
    <col min="1274" max="1274" width="0" style="92" hidden="1" customWidth="1"/>
    <col min="1275" max="1278" width="9.26953125" style="92" customWidth="1"/>
    <col min="1279" max="1284" width="7.453125" style="92" customWidth="1"/>
    <col min="1285" max="1285" width="25.1796875" style="92" customWidth="1"/>
    <col min="1286" max="1289" width="9.26953125" style="92" customWidth="1"/>
    <col min="1290" max="1290" width="7.453125" style="92" customWidth="1"/>
    <col min="1291" max="1294" width="9.26953125" style="92" customWidth="1"/>
    <col min="1295" max="1295" width="10.54296875" style="92" customWidth="1"/>
    <col min="1296" max="1298" width="9.1796875" style="92"/>
    <col min="1299" max="1299" width="12.26953125" style="92" customWidth="1"/>
    <col min="1300" max="1300" width="9.1796875" style="92"/>
    <col min="1301" max="1301" width="9.54296875" style="92" bestFit="1" customWidth="1"/>
    <col min="1302" max="1303" width="9.26953125" style="92" bestFit="1" customWidth="1"/>
    <col min="1304" max="1526" width="9.1796875" style="92"/>
    <col min="1527" max="1527" width="11.81640625" style="92" bestFit="1" customWidth="1"/>
    <col min="1528" max="1528" width="2.54296875" style="92" customWidth="1"/>
    <col min="1529" max="1529" width="9.26953125" style="92" customWidth="1"/>
    <col min="1530" max="1530" width="0" style="92" hidden="1" customWidth="1"/>
    <col min="1531" max="1534" width="9.26953125" style="92" customWidth="1"/>
    <col min="1535" max="1540" width="7.453125" style="92" customWidth="1"/>
    <col min="1541" max="1541" width="25.1796875" style="92" customWidth="1"/>
    <col min="1542" max="1545" width="9.26953125" style="92" customWidth="1"/>
    <col min="1546" max="1546" width="7.453125" style="92" customWidth="1"/>
    <col min="1547" max="1550" width="9.26953125" style="92" customWidth="1"/>
    <col min="1551" max="1551" width="10.54296875" style="92" customWidth="1"/>
    <col min="1552" max="1554" width="9.1796875" style="92"/>
    <col min="1555" max="1555" width="12.26953125" style="92" customWidth="1"/>
    <col min="1556" max="1556" width="9.1796875" style="92"/>
    <col min="1557" max="1557" width="9.54296875" style="92" bestFit="1" customWidth="1"/>
    <col min="1558" max="1559" width="9.26953125" style="92" bestFit="1" customWidth="1"/>
    <col min="1560" max="1782" width="9.1796875" style="92"/>
    <col min="1783" max="1783" width="11.81640625" style="92" bestFit="1" customWidth="1"/>
    <col min="1784" max="1784" width="2.54296875" style="92" customWidth="1"/>
    <col min="1785" max="1785" width="9.26953125" style="92" customWidth="1"/>
    <col min="1786" max="1786" width="0" style="92" hidden="1" customWidth="1"/>
    <col min="1787" max="1790" width="9.26953125" style="92" customWidth="1"/>
    <col min="1791" max="1796" width="7.453125" style="92" customWidth="1"/>
    <col min="1797" max="1797" width="25.1796875" style="92" customWidth="1"/>
    <col min="1798" max="1801" width="9.26953125" style="92" customWidth="1"/>
    <col min="1802" max="1802" width="7.453125" style="92" customWidth="1"/>
    <col min="1803" max="1806" width="9.26953125" style="92" customWidth="1"/>
    <col min="1807" max="1807" width="10.54296875" style="92" customWidth="1"/>
    <col min="1808" max="1810" width="9.1796875" style="92"/>
    <col min="1811" max="1811" width="12.26953125" style="92" customWidth="1"/>
    <col min="1812" max="1812" width="9.1796875" style="92"/>
    <col min="1813" max="1813" width="9.54296875" style="92" bestFit="1" customWidth="1"/>
    <col min="1814" max="1815" width="9.26953125" style="92" bestFit="1" customWidth="1"/>
    <col min="1816" max="2038" width="9.1796875" style="92"/>
    <col min="2039" max="2039" width="11.81640625" style="92" bestFit="1" customWidth="1"/>
    <col min="2040" max="2040" width="2.54296875" style="92" customWidth="1"/>
    <col min="2041" max="2041" width="9.26953125" style="92" customWidth="1"/>
    <col min="2042" max="2042" width="0" style="92" hidden="1" customWidth="1"/>
    <col min="2043" max="2046" width="9.26953125" style="92" customWidth="1"/>
    <col min="2047" max="2052" width="7.453125" style="92" customWidth="1"/>
    <col min="2053" max="2053" width="25.1796875" style="92" customWidth="1"/>
    <col min="2054" max="2057" width="9.26953125" style="92" customWidth="1"/>
    <col min="2058" max="2058" width="7.453125" style="92" customWidth="1"/>
    <col min="2059" max="2062" width="9.26953125" style="92" customWidth="1"/>
    <col min="2063" max="2063" width="10.54296875" style="92" customWidth="1"/>
    <col min="2064" max="2066" width="9.1796875" style="92"/>
    <col min="2067" max="2067" width="12.26953125" style="92" customWidth="1"/>
    <col min="2068" max="2068" width="9.1796875" style="92"/>
    <col min="2069" max="2069" width="9.54296875" style="92" bestFit="1" customWidth="1"/>
    <col min="2070" max="2071" width="9.26953125" style="92" bestFit="1" customWidth="1"/>
    <col min="2072" max="2294" width="9.1796875" style="92"/>
    <col min="2295" max="2295" width="11.81640625" style="92" bestFit="1" customWidth="1"/>
    <col min="2296" max="2296" width="2.54296875" style="92" customWidth="1"/>
    <col min="2297" max="2297" width="9.26953125" style="92" customWidth="1"/>
    <col min="2298" max="2298" width="0" style="92" hidden="1" customWidth="1"/>
    <col min="2299" max="2302" width="9.26953125" style="92" customWidth="1"/>
    <col min="2303" max="2308" width="7.453125" style="92" customWidth="1"/>
    <col min="2309" max="2309" width="25.1796875" style="92" customWidth="1"/>
    <col min="2310" max="2313" width="9.26953125" style="92" customWidth="1"/>
    <col min="2314" max="2314" width="7.453125" style="92" customWidth="1"/>
    <col min="2315" max="2318" width="9.26953125" style="92" customWidth="1"/>
    <col min="2319" max="2319" width="10.54296875" style="92" customWidth="1"/>
    <col min="2320" max="2322" width="9.1796875" style="92"/>
    <col min="2323" max="2323" width="12.26953125" style="92" customWidth="1"/>
    <col min="2324" max="2324" width="9.1796875" style="92"/>
    <col min="2325" max="2325" width="9.54296875" style="92" bestFit="1" customWidth="1"/>
    <col min="2326" max="2327" width="9.26953125" style="92" bestFit="1" customWidth="1"/>
    <col min="2328" max="2550" width="9.1796875" style="92"/>
    <col min="2551" max="2551" width="11.81640625" style="92" bestFit="1" customWidth="1"/>
    <col min="2552" max="2552" width="2.54296875" style="92" customWidth="1"/>
    <col min="2553" max="2553" width="9.26953125" style="92" customWidth="1"/>
    <col min="2554" max="2554" width="0" style="92" hidden="1" customWidth="1"/>
    <col min="2555" max="2558" width="9.26953125" style="92" customWidth="1"/>
    <col min="2559" max="2564" width="7.453125" style="92" customWidth="1"/>
    <col min="2565" max="2565" width="25.1796875" style="92" customWidth="1"/>
    <col min="2566" max="2569" width="9.26953125" style="92" customWidth="1"/>
    <col min="2570" max="2570" width="7.453125" style="92" customWidth="1"/>
    <col min="2571" max="2574" width="9.26953125" style="92" customWidth="1"/>
    <col min="2575" max="2575" width="10.54296875" style="92" customWidth="1"/>
    <col min="2576" max="2578" width="9.1796875" style="92"/>
    <col min="2579" max="2579" width="12.26953125" style="92" customWidth="1"/>
    <col min="2580" max="2580" width="9.1796875" style="92"/>
    <col min="2581" max="2581" width="9.54296875" style="92" bestFit="1" customWidth="1"/>
    <col min="2582" max="2583" width="9.26953125" style="92" bestFit="1" customWidth="1"/>
    <col min="2584" max="2806" width="9.1796875" style="92"/>
    <col min="2807" max="2807" width="11.81640625" style="92" bestFit="1" customWidth="1"/>
    <col min="2808" max="2808" width="2.54296875" style="92" customWidth="1"/>
    <col min="2809" max="2809" width="9.26953125" style="92" customWidth="1"/>
    <col min="2810" max="2810" width="0" style="92" hidden="1" customWidth="1"/>
    <col min="2811" max="2814" width="9.26953125" style="92" customWidth="1"/>
    <col min="2815" max="2820" width="7.453125" style="92" customWidth="1"/>
    <col min="2821" max="2821" width="25.1796875" style="92" customWidth="1"/>
    <col min="2822" max="2825" width="9.26953125" style="92" customWidth="1"/>
    <col min="2826" max="2826" width="7.453125" style="92" customWidth="1"/>
    <col min="2827" max="2830" width="9.26953125" style="92" customWidth="1"/>
    <col min="2831" max="2831" width="10.54296875" style="92" customWidth="1"/>
    <col min="2832" max="2834" width="9.1796875" style="92"/>
    <col min="2835" max="2835" width="12.26953125" style="92" customWidth="1"/>
    <col min="2836" max="2836" width="9.1796875" style="92"/>
    <col min="2837" max="2837" width="9.54296875" style="92" bestFit="1" customWidth="1"/>
    <col min="2838" max="2839" width="9.26953125" style="92" bestFit="1" customWidth="1"/>
    <col min="2840" max="3062" width="9.1796875" style="92"/>
    <col min="3063" max="3063" width="11.81640625" style="92" bestFit="1" customWidth="1"/>
    <col min="3064" max="3064" width="2.54296875" style="92" customWidth="1"/>
    <col min="3065" max="3065" width="9.26953125" style="92" customWidth="1"/>
    <col min="3066" max="3066" width="0" style="92" hidden="1" customWidth="1"/>
    <col min="3067" max="3070" width="9.26953125" style="92" customWidth="1"/>
    <col min="3071" max="3076" width="7.453125" style="92" customWidth="1"/>
    <col min="3077" max="3077" width="25.1796875" style="92" customWidth="1"/>
    <col min="3078" max="3081" width="9.26953125" style="92" customWidth="1"/>
    <col min="3082" max="3082" width="7.453125" style="92" customWidth="1"/>
    <col min="3083" max="3086" width="9.26953125" style="92" customWidth="1"/>
    <col min="3087" max="3087" width="10.54296875" style="92" customWidth="1"/>
    <col min="3088" max="3090" width="9.1796875" style="92"/>
    <col min="3091" max="3091" width="12.26953125" style="92" customWidth="1"/>
    <col min="3092" max="3092" width="9.1796875" style="92"/>
    <col min="3093" max="3093" width="9.54296875" style="92" bestFit="1" customWidth="1"/>
    <col min="3094" max="3095" width="9.26953125" style="92" bestFit="1" customWidth="1"/>
    <col min="3096" max="3318" width="9.1796875" style="92"/>
    <col min="3319" max="3319" width="11.81640625" style="92" bestFit="1" customWidth="1"/>
    <col min="3320" max="3320" width="2.54296875" style="92" customWidth="1"/>
    <col min="3321" max="3321" width="9.26953125" style="92" customWidth="1"/>
    <col min="3322" max="3322" width="0" style="92" hidden="1" customWidth="1"/>
    <col min="3323" max="3326" width="9.26953125" style="92" customWidth="1"/>
    <col min="3327" max="3332" width="7.453125" style="92" customWidth="1"/>
    <col min="3333" max="3333" width="25.1796875" style="92" customWidth="1"/>
    <col min="3334" max="3337" width="9.26953125" style="92" customWidth="1"/>
    <col min="3338" max="3338" width="7.453125" style="92" customWidth="1"/>
    <col min="3339" max="3342" width="9.26953125" style="92" customWidth="1"/>
    <col min="3343" max="3343" width="10.54296875" style="92" customWidth="1"/>
    <col min="3344" max="3346" width="9.1796875" style="92"/>
    <col min="3347" max="3347" width="12.26953125" style="92" customWidth="1"/>
    <col min="3348" max="3348" width="9.1796875" style="92"/>
    <col min="3349" max="3349" width="9.54296875" style="92" bestFit="1" customWidth="1"/>
    <col min="3350" max="3351" width="9.26953125" style="92" bestFit="1" customWidth="1"/>
    <col min="3352" max="3574" width="9.1796875" style="92"/>
    <col min="3575" max="3575" width="11.81640625" style="92" bestFit="1" customWidth="1"/>
    <col min="3576" max="3576" width="2.54296875" style="92" customWidth="1"/>
    <col min="3577" max="3577" width="9.26953125" style="92" customWidth="1"/>
    <col min="3578" max="3578" width="0" style="92" hidden="1" customWidth="1"/>
    <col min="3579" max="3582" width="9.26953125" style="92" customWidth="1"/>
    <col min="3583" max="3588" width="7.453125" style="92" customWidth="1"/>
    <col min="3589" max="3589" width="25.1796875" style="92" customWidth="1"/>
    <col min="3590" max="3593" width="9.26953125" style="92" customWidth="1"/>
    <col min="3594" max="3594" width="7.453125" style="92" customWidth="1"/>
    <col min="3595" max="3598" width="9.26953125" style="92" customWidth="1"/>
    <col min="3599" max="3599" width="10.54296875" style="92" customWidth="1"/>
    <col min="3600" max="3602" width="9.1796875" style="92"/>
    <col min="3603" max="3603" width="12.26953125" style="92" customWidth="1"/>
    <col min="3604" max="3604" width="9.1796875" style="92"/>
    <col min="3605" max="3605" width="9.54296875" style="92" bestFit="1" customWidth="1"/>
    <col min="3606" max="3607" width="9.26953125" style="92" bestFit="1" customWidth="1"/>
    <col min="3608" max="3830" width="9.1796875" style="92"/>
    <col min="3831" max="3831" width="11.81640625" style="92" bestFit="1" customWidth="1"/>
    <col min="3832" max="3832" width="2.54296875" style="92" customWidth="1"/>
    <col min="3833" max="3833" width="9.26953125" style="92" customWidth="1"/>
    <col min="3834" max="3834" width="0" style="92" hidden="1" customWidth="1"/>
    <col min="3835" max="3838" width="9.26953125" style="92" customWidth="1"/>
    <col min="3839" max="3844" width="7.453125" style="92" customWidth="1"/>
    <col min="3845" max="3845" width="25.1796875" style="92" customWidth="1"/>
    <col min="3846" max="3849" width="9.26953125" style="92" customWidth="1"/>
    <col min="3850" max="3850" width="7.453125" style="92" customWidth="1"/>
    <col min="3851" max="3854" width="9.26953125" style="92" customWidth="1"/>
    <col min="3855" max="3855" width="10.54296875" style="92" customWidth="1"/>
    <col min="3856" max="3858" width="9.1796875" style="92"/>
    <col min="3859" max="3859" width="12.26953125" style="92" customWidth="1"/>
    <col min="3860" max="3860" width="9.1796875" style="92"/>
    <col min="3861" max="3861" width="9.54296875" style="92" bestFit="1" customWidth="1"/>
    <col min="3862" max="3863" width="9.26953125" style="92" bestFit="1" customWidth="1"/>
    <col min="3864" max="4086" width="9.1796875" style="92"/>
    <col min="4087" max="4087" width="11.81640625" style="92" bestFit="1" customWidth="1"/>
    <col min="4088" max="4088" width="2.54296875" style="92" customWidth="1"/>
    <col min="4089" max="4089" width="9.26953125" style="92" customWidth="1"/>
    <col min="4090" max="4090" width="0" style="92" hidden="1" customWidth="1"/>
    <col min="4091" max="4094" width="9.26953125" style="92" customWidth="1"/>
    <col min="4095" max="4100" width="7.453125" style="92" customWidth="1"/>
    <col min="4101" max="4101" width="25.1796875" style="92" customWidth="1"/>
    <col min="4102" max="4105" width="9.26953125" style="92" customWidth="1"/>
    <col min="4106" max="4106" width="7.453125" style="92" customWidth="1"/>
    <col min="4107" max="4110" width="9.26953125" style="92" customWidth="1"/>
    <col min="4111" max="4111" width="10.54296875" style="92" customWidth="1"/>
    <col min="4112" max="4114" width="9.1796875" style="92"/>
    <col min="4115" max="4115" width="12.26953125" style="92" customWidth="1"/>
    <col min="4116" max="4116" width="9.1796875" style="92"/>
    <col min="4117" max="4117" width="9.54296875" style="92" bestFit="1" customWidth="1"/>
    <col min="4118" max="4119" width="9.26953125" style="92" bestFit="1" customWidth="1"/>
    <col min="4120" max="4342" width="9.1796875" style="92"/>
    <col min="4343" max="4343" width="11.81640625" style="92" bestFit="1" customWidth="1"/>
    <col min="4344" max="4344" width="2.54296875" style="92" customWidth="1"/>
    <col min="4345" max="4345" width="9.26953125" style="92" customWidth="1"/>
    <col min="4346" max="4346" width="0" style="92" hidden="1" customWidth="1"/>
    <col min="4347" max="4350" width="9.26953125" style="92" customWidth="1"/>
    <col min="4351" max="4356" width="7.453125" style="92" customWidth="1"/>
    <col min="4357" max="4357" width="25.1796875" style="92" customWidth="1"/>
    <col min="4358" max="4361" width="9.26953125" style="92" customWidth="1"/>
    <col min="4362" max="4362" width="7.453125" style="92" customWidth="1"/>
    <col min="4363" max="4366" width="9.26953125" style="92" customWidth="1"/>
    <col min="4367" max="4367" width="10.54296875" style="92" customWidth="1"/>
    <col min="4368" max="4370" width="9.1796875" style="92"/>
    <col min="4371" max="4371" width="12.26953125" style="92" customWidth="1"/>
    <col min="4372" max="4372" width="9.1796875" style="92"/>
    <col min="4373" max="4373" width="9.54296875" style="92" bestFit="1" customWidth="1"/>
    <col min="4374" max="4375" width="9.26953125" style="92" bestFit="1" customWidth="1"/>
    <col min="4376" max="4598" width="9.1796875" style="92"/>
    <col min="4599" max="4599" width="11.81640625" style="92" bestFit="1" customWidth="1"/>
    <col min="4600" max="4600" width="2.54296875" style="92" customWidth="1"/>
    <col min="4601" max="4601" width="9.26953125" style="92" customWidth="1"/>
    <col min="4602" max="4602" width="0" style="92" hidden="1" customWidth="1"/>
    <col min="4603" max="4606" width="9.26953125" style="92" customWidth="1"/>
    <col min="4607" max="4612" width="7.453125" style="92" customWidth="1"/>
    <col min="4613" max="4613" width="25.1796875" style="92" customWidth="1"/>
    <col min="4614" max="4617" width="9.26953125" style="92" customWidth="1"/>
    <col min="4618" max="4618" width="7.453125" style="92" customWidth="1"/>
    <col min="4619" max="4622" width="9.26953125" style="92" customWidth="1"/>
    <col min="4623" max="4623" width="10.54296875" style="92" customWidth="1"/>
    <col min="4624" max="4626" width="9.1796875" style="92"/>
    <col min="4627" max="4627" width="12.26953125" style="92" customWidth="1"/>
    <col min="4628" max="4628" width="9.1796875" style="92"/>
    <col min="4629" max="4629" width="9.54296875" style="92" bestFit="1" customWidth="1"/>
    <col min="4630" max="4631" width="9.26953125" style="92" bestFit="1" customWidth="1"/>
    <col min="4632" max="4854" width="9.1796875" style="92"/>
    <col min="4855" max="4855" width="11.81640625" style="92" bestFit="1" customWidth="1"/>
    <col min="4856" max="4856" width="2.54296875" style="92" customWidth="1"/>
    <col min="4857" max="4857" width="9.26953125" style="92" customWidth="1"/>
    <col min="4858" max="4858" width="0" style="92" hidden="1" customWidth="1"/>
    <col min="4859" max="4862" width="9.26953125" style="92" customWidth="1"/>
    <col min="4863" max="4868" width="7.453125" style="92" customWidth="1"/>
    <col min="4869" max="4869" width="25.1796875" style="92" customWidth="1"/>
    <col min="4870" max="4873" width="9.26953125" style="92" customWidth="1"/>
    <col min="4874" max="4874" width="7.453125" style="92" customWidth="1"/>
    <col min="4875" max="4878" width="9.26953125" style="92" customWidth="1"/>
    <col min="4879" max="4879" width="10.54296875" style="92" customWidth="1"/>
    <col min="4880" max="4882" width="9.1796875" style="92"/>
    <col min="4883" max="4883" width="12.26953125" style="92" customWidth="1"/>
    <col min="4884" max="4884" width="9.1796875" style="92"/>
    <col min="4885" max="4885" width="9.54296875" style="92" bestFit="1" customWidth="1"/>
    <col min="4886" max="4887" width="9.26953125" style="92" bestFit="1" customWidth="1"/>
    <col min="4888" max="5110" width="9.1796875" style="92"/>
    <col min="5111" max="5111" width="11.81640625" style="92" bestFit="1" customWidth="1"/>
    <col min="5112" max="5112" width="2.54296875" style="92" customWidth="1"/>
    <col min="5113" max="5113" width="9.26953125" style="92" customWidth="1"/>
    <col min="5114" max="5114" width="0" style="92" hidden="1" customWidth="1"/>
    <col min="5115" max="5118" width="9.26953125" style="92" customWidth="1"/>
    <col min="5119" max="5124" width="7.453125" style="92" customWidth="1"/>
    <col min="5125" max="5125" width="25.1796875" style="92" customWidth="1"/>
    <col min="5126" max="5129" width="9.26953125" style="92" customWidth="1"/>
    <col min="5130" max="5130" width="7.453125" style="92" customWidth="1"/>
    <col min="5131" max="5134" width="9.26953125" style="92" customWidth="1"/>
    <col min="5135" max="5135" width="10.54296875" style="92" customWidth="1"/>
    <col min="5136" max="5138" width="9.1796875" style="92"/>
    <col min="5139" max="5139" width="12.26953125" style="92" customWidth="1"/>
    <col min="5140" max="5140" width="9.1796875" style="92"/>
    <col min="5141" max="5141" width="9.54296875" style="92" bestFit="1" customWidth="1"/>
    <col min="5142" max="5143" width="9.26953125" style="92" bestFit="1" customWidth="1"/>
    <col min="5144" max="5366" width="9.1796875" style="92"/>
    <col min="5367" max="5367" width="11.81640625" style="92" bestFit="1" customWidth="1"/>
    <col min="5368" max="5368" width="2.54296875" style="92" customWidth="1"/>
    <col min="5369" max="5369" width="9.26953125" style="92" customWidth="1"/>
    <col min="5370" max="5370" width="0" style="92" hidden="1" customWidth="1"/>
    <col min="5371" max="5374" width="9.26953125" style="92" customWidth="1"/>
    <col min="5375" max="5380" width="7.453125" style="92" customWidth="1"/>
    <col min="5381" max="5381" width="25.1796875" style="92" customWidth="1"/>
    <col min="5382" max="5385" width="9.26953125" style="92" customWidth="1"/>
    <col min="5386" max="5386" width="7.453125" style="92" customWidth="1"/>
    <col min="5387" max="5390" width="9.26953125" style="92" customWidth="1"/>
    <col min="5391" max="5391" width="10.54296875" style="92" customWidth="1"/>
    <col min="5392" max="5394" width="9.1796875" style="92"/>
    <col min="5395" max="5395" width="12.26953125" style="92" customWidth="1"/>
    <col min="5396" max="5396" width="9.1796875" style="92"/>
    <col min="5397" max="5397" width="9.54296875" style="92" bestFit="1" customWidth="1"/>
    <col min="5398" max="5399" width="9.26953125" style="92" bestFit="1" customWidth="1"/>
    <col min="5400" max="5622" width="9.1796875" style="92"/>
    <col min="5623" max="5623" width="11.81640625" style="92" bestFit="1" customWidth="1"/>
    <col min="5624" max="5624" width="2.54296875" style="92" customWidth="1"/>
    <col min="5625" max="5625" width="9.26953125" style="92" customWidth="1"/>
    <col min="5626" max="5626" width="0" style="92" hidden="1" customWidth="1"/>
    <col min="5627" max="5630" width="9.26953125" style="92" customWidth="1"/>
    <col min="5631" max="5636" width="7.453125" style="92" customWidth="1"/>
    <col min="5637" max="5637" width="25.1796875" style="92" customWidth="1"/>
    <col min="5638" max="5641" width="9.26953125" style="92" customWidth="1"/>
    <col min="5642" max="5642" width="7.453125" style="92" customWidth="1"/>
    <col min="5643" max="5646" width="9.26953125" style="92" customWidth="1"/>
    <col min="5647" max="5647" width="10.54296875" style="92" customWidth="1"/>
    <col min="5648" max="5650" width="9.1796875" style="92"/>
    <col min="5651" max="5651" width="12.26953125" style="92" customWidth="1"/>
    <col min="5652" max="5652" width="9.1796875" style="92"/>
    <col min="5653" max="5653" width="9.54296875" style="92" bestFit="1" customWidth="1"/>
    <col min="5654" max="5655" width="9.26953125" style="92" bestFit="1" customWidth="1"/>
    <col min="5656" max="5878" width="9.1796875" style="92"/>
    <col min="5879" max="5879" width="11.81640625" style="92" bestFit="1" customWidth="1"/>
    <col min="5880" max="5880" width="2.54296875" style="92" customWidth="1"/>
    <col min="5881" max="5881" width="9.26953125" style="92" customWidth="1"/>
    <col min="5882" max="5882" width="0" style="92" hidden="1" customWidth="1"/>
    <col min="5883" max="5886" width="9.26953125" style="92" customWidth="1"/>
    <col min="5887" max="5892" width="7.453125" style="92" customWidth="1"/>
    <col min="5893" max="5893" width="25.1796875" style="92" customWidth="1"/>
    <col min="5894" max="5897" width="9.26953125" style="92" customWidth="1"/>
    <col min="5898" max="5898" width="7.453125" style="92" customWidth="1"/>
    <col min="5899" max="5902" width="9.26953125" style="92" customWidth="1"/>
    <col min="5903" max="5903" width="10.54296875" style="92" customWidth="1"/>
    <col min="5904" max="5906" width="9.1796875" style="92"/>
    <col min="5907" max="5907" width="12.26953125" style="92" customWidth="1"/>
    <col min="5908" max="5908" width="9.1796875" style="92"/>
    <col min="5909" max="5909" width="9.54296875" style="92" bestFit="1" customWidth="1"/>
    <col min="5910" max="5911" width="9.26953125" style="92" bestFit="1" customWidth="1"/>
    <col min="5912" max="6134" width="9.1796875" style="92"/>
    <col min="6135" max="6135" width="11.81640625" style="92" bestFit="1" customWidth="1"/>
    <col min="6136" max="6136" width="2.54296875" style="92" customWidth="1"/>
    <col min="6137" max="6137" width="9.26953125" style="92" customWidth="1"/>
    <col min="6138" max="6138" width="0" style="92" hidden="1" customWidth="1"/>
    <col min="6139" max="6142" width="9.26953125" style="92" customWidth="1"/>
    <col min="6143" max="6148" width="7.453125" style="92" customWidth="1"/>
    <col min="6149" max="6149" width="25.1796875" style="92" customWidth="1"/>
    <col min="6150" max="6153" width="9.26953125" style="92" customWidth="1"/>
    <col min="6154" max="6154" width="7.453125" style="92" customWidth="1"/>
    <col min="6155" max="6158" width="9.26953125" style="92" customWidth="1"/>
    <col min="6159" max="6159" width="10.54296875" style="92" customWidth="1"/>
    <col min="6160" max="6162" width="9.1796875" style="92"/>
    <col min="6163" max="6163" width="12.26953125" style="92" customWidth="1"/>
    <col min="6164" max="6164" width="9.1796875" style="92"/>
    <col min="6165" max="6165" width="9.54296875" style="92" bestFit="1" customWidth="1"/>
    <col min="6166" max="6167" width="9.26953125" style="92" bestFit="1" customWidth="1"/>
    <col min="6168" max="6390" width="9.1796875" style="92"/>
    <col min="6391" max="6391" width="11.81640625" style="92" bestFit="1" customWidth="1"/>
    <col min="6392" max="6392" width="2.54296875" style="92" customWidth="1"/>
    <col min="6393" max="6393" width="9.26953125" style="92" customWidth="1"/>
    <col min="6394" max="6394" width="0" style="92" hidden="1" customWidth="1"/>
    <col min="6395" max="6398" width="9.26953125" style="92" customWidth="1"/>
    <col min="6399" max="6404" width="7.453125" style="92" customWidth="1"/>
    <col min="6405" max="6405" width="25.1796875" style="92" customWidth="1"/>
    <col min="6406" max="6409" width="9.26953125" style="92" customWidth="1"/>
    <col min="6410" max="6410" width="7.453125" style="92" customWidth="1"/>
    <col min="6411" max="6414" width="9.26953125" style="92" customWidth="1"/>
    <col min="6415" max="6415" width="10.54296875" style="92" customWidth="1"/>
    <col min="6416" max="6418" width="9.1796875" style="92"/>
    <col min="6419" max="6419" width="12.26953125" style="92" customWidth="1"/>
    <col min="6420" max="6420" width="9.1796875" style="92"/>
    <col min="6421" max="6421" width="9.54296875" style="92" bestFit="1" customWidth="1"/>
    <col min="6422" max="6423" width="9.26953125" style="92" bestFit="1" customWidth="1"/>
    <col min="6424" max="6646" width="9.1796875" style="92"/>
    <col min="6647" max="6647" width="11.81640625" style="92" bestFit="1" customWidth="1"/>
    <col min="6648" max="6648" width="2.54296875" style="92" customWidth="1"/>
    <col min="6649" max="6649" width="9.26953125" style="92" customWidth="1"/>
    <col min="6650" max="6650" width="0" style="92" hidden="1" customWidth="1"/>
    <col min="6651" max="6654" width="9.26953125" style="92" customWidth="1"/>
    <col min="6655" max="6660" width="7.453125" style="92" customWidth="1"/>
    <col min="6661" max="6661" width="25.1796875" style="92" customWidth="1"/>
    <col min="6662" max="6665" width="9.26953125" style="92" customWidth="1"/>
    <col min="6666" max="6666" width="7.453125" style="92" customWidth="1"/>
    <col min="6667" max="6670" width="9.26953125" style="92" customWidth="1"/>
    <col min="6671" max="6671" width="10.54296875" style="92" customWidth="1"/>
    <col min="6672" max="6674" width="9.1796875" style="92"/>
    <col min="6675" max="6675" width="12.26953125" style="92" customWidth="1"/>
    <col min="6676" max="6676" width="9.1796875" style="92"/>
    <col min="6677" max="6677" width="9.54296875" style="92" bestFit="1" customWidth="1"/>
    <col min="6678" max="6679" width="9.26953125" style="92" bestFit="1" customWidth="1"/>
    <col min="6680" max="6902" width="9.1796875" style="92"/>
    <col min="6903" max="6903" width="11.81640625" style="92" bestFit="1" customWidth="1"/>
    <col min="6904" max="6904" width="2.54296875" style="92" customWidth="1"/>
    <col min="6905" max="6905" width="9.26953125" style="92" customWidth="1"/>
    <col min="6906" max="6906" width="0" style="92" hidden="1" customWidth="1"/>
    <col min="6907" max="6910" width="9.26953125" style="92" customWidth="1"/>
    <col min="6911" max="6916" width="7.453125" style="92" customWidth="1"/>
    <col min="6917" max="6917" width="25.1796875" style="92" customWidth="1"/>
    <col min="6918" max="6921" width="9.26953125" style="92" customWidth="1"/>
    <col min="6922" max="6922" width="7.453125" style="92" customWidth="1"/>
    <col min="6923" max="6926" width="9.26953125" style="92" customWidth="1"/>
    <col min="6927" max="6927" width="10.54296875" style="92" customWidth="1"/>
    <col min="6928" max="6930" width="9.1796875" style="92"/>
    <col min="6931" max="6931" width="12.26953125" style="92" customWidth="1"/>
    <col min="6932" max="6932" width="9.1796875" style="92"/>
    <col min="6933" max="6933" width="9.54296875" style="92" bestFit="1" customWidth="1"/>
    <col min="6934" max="6935" width="9.26953125" style="92" bestFit="1" customWidth="1"/>
    <col min="6936" max="7158" width="9.1796875" style="92"/>
    <col min="7159" max="7159" width="11.81640625" style="92" bestFit="1" customWidth="1"/>
    <col min="7160" max="7160" width="2.54296875" style="92" customWidth="1"/>
    <col min="7161" max="7161" width="9.26953125" style="92" customWidth="1"/>
    <col min="7162" max="7162" width="0" style="92" hidden="1" customWidth="1"/>
    <col min="7163" max="7166" width="9.26953125" style="92" customWidth="1"/>
    <col min="7167" max="7172" width="7.453125" style="92" customWidth="1"/>
    <col min="7173" max="7173" width="25.1796875" style="92" customWidth="1"/>
    <col min="7174" max="7177" width="9.26953125" style="92" customWidth="1"/>
    <col min="7178" max="7178" width="7.453125" style="92" customWidth="1"/>
    <col min="7179" max="7182" width="9.26953125" style="92" customWidth="1"/>
    <col min="7183" max="7183" width="10.54296875" style="92" customWidth="1"/>
    <col min="7184" max="7186" width="9.1796875" style="92"/>
    <col min="7187" max="7187" width="12.26953125" style="92" customWidth="1"/>
    <col min="7188" max="7188" width="9.1796875" style="92"/>
    <col min="7189" max="7189" width="9.54296875" style="92" bestFit="1" customWidth="1"/>
    <col min="7190" max="7191" width="9.26953125" style="92" bestFit="1" customWidth="1"/>
    <col min="7192" max="7414" width="9.1796875" style="92"/>
    <col min="7415" max="7415" width="11.81640625" style="92" bestFit="1" customWidth="1"/>
    <col min="7416" max="7416" width="2.54296875" style="92" customWidth="1"/>
    <col min="7417" max="7417" width="9.26953125" style="92" customWidth="1"/>
    <col min="7418" max="7418" width="0" style="92" hidden="1" customWidth="1"/>
    <col min="7419" max="7422" width="9.26953125" style="92" customWidth="1"/>
    <col min="7423" max="7428" width="7.453125" style="92" customWidth="1"/>
    <col min="7429" max="7429" width="25.1796875" style="92" customWidth="1"/>
    <col min="7430" max="7433" width="9.26953125" style="92" customWidth="1"/>
    <col min="7434" max="7434" width="7.453125" style="92" customWidth="1"/>
    <col min="7435" max="7438" width="9.26953125" style="92" customWidth="1"/>
    <col min="7439" max="7439" width="10.54296875" style="92" customWidth="1"/>
    <col min="7440" max="7442" width="9.1796875" style="92"/>
    <col min="7443" max="7443" width="12.26953125" style="92" customWidth="1"/>
    <col min="7444" max="7444" width="9.1796875" style="92"/>
    <col min="7445" max="7445" width="9.54296875" style="92" bestFit="1" customWidth="1"/>
    <col min="7446" max="7447" width="9.26953125" style="92" bestFit="1" customWidth="1"/>
    <col min="7448" max="7670" width="9.1796875" style="92"/>
    <col min="7671" max="7671" width="11.81640625" style="92" bestFit="1" customWidth="1"/>
    <col min="7672" max="7672" width="2.54296875" style="92" customWidth="1"/>
    <col min="7673" max="7673" width="9.26953125" style="92" customWidth="1"/>
    <col min="7674" max="7674" width="0" style="92" hidden="1" customWidth="1"/>
    <col min="7675" max="7678" width="9.26953125" style="92" customWidth="1"/>
    <col min="7679" max="7684" width="7.453125" style="92" customWidth="1"/>
    <col min="7685" max="7685" width="25.1796875" style="92" customWidth="1"/>
    <col min="7686" max="7689" width="9.26953125" style="92" customWidth="1"/>
    <col min="7690" max="7690" width="7.453125" style="92" customWidth="1"/>
    <col min="7691" max="7694" width="9.26953125" style="92" customWidth="1"/>
    <col min="7695" max="7695" width="10.54296875" style="92" customWidth="1"/>
    <col min="7696" max="7698" width="9.1796875" style="92"/>
    <col min="7699" max="7699" width="12.26953125" style="92" customWidth="1"/>
    <col min="7700" max="7700" width="9.1796875" style="92"/>
    <col min="7701" max="7701" width="9.54296875" style="92" bestFit="1" customWidth="1"/>
    <col min="7702" max="7703" width="9.26953125" style="92" bestFit="1" customWidth="1"/>
    <col min="7704" max="7926" width="9.1796875" style="92"/>
    <col min="7927" max="7927" width="11.81640625" style="92" bestFit="1" customWidth="1"/>
    <col min="7928" max="7928" width="2.54296875" style="92" customWidth="1"/>
    <col min="7929" max="7929" width="9.26953125" style="92" customWidth="1"/>
    <col min="7930" max="7930" width="0" style="92" hidden="1" customWidth="1"/>
    <col min="7931" max="7934" width="9.26953125" style="92" customWidth="1"/>
    <col min="7935" max="7940" width="7.453125" style="92" customWidth="1"/>
    <col min="7941" max="7941" width="25.1796875" style="92" customWidth="1"/>
    <col min="7942" max="7945" width="9.26953125" style="92" customWidth="1"/>
    <col min="7946" max="7946" width="7.453125" style="92" customWidth="1"/>
    <col min="7947" max="7950" width="9.26953125" style="92" customWidth="1"/>
    <col min="7951" max="7951" width="10.54296875" style="92" customWidth="1"/>
    <col min="7952" max="7954" width="9.1796875" style="92"/>
    <col min="7955" max="7955" width="12.26953125" style="92" customWidth="1"/>
    <col min="7956" max="7956" width="9.1796875" style="92"/>
    <col min="7957" max="7957" width="9.54296875" style="92" bestFit="1" customWidth="1"/>
    <col min="7958" max="7959" width="9.26953125" style="92" bestFit="1" customWidth="1"/>
    <col min="7960" max="8182" width="9.1796875" style="92"/>
    <col min="8183" max="8183" width="11.81640625" style="92" bestFit="1" customWidth="1"/>
    <col min="8184" max="8184" width="2.54296875" style="92" customWidth="1"/>
    <col min="8185" max="8185" width="9.26953125" style="92" customWidth="1"/>
    <col min="8186" max="8186" width="0" style="92" hidden="1" customWidth="1"/>
    <col min="8187" max="8190" width="9.26953125" style="92" customWidth="1"/>
    <col min="8191" max="8196" width="7.453125" style="92" customWidth="1"/>
    <col min="8197" max="8197" width="25.1796875" style="92" customWidth="1"/>
    <col min="8198" max="8201" width="9.26953125" style="92" customWidth="1"/>
    <col min="8202" max="8202" width="7.453125" style="92" customWidth="1"/>
    <col min="8203" max="8206" width="9.26953125" style="92" customWidth="1"/>
    <col min="8207" max="8207" width="10.54296875" style="92" customWidth="1"/>
    <col min="8208" max="8210" width="9.1796875" style="92"/>
    <col min="8211" max="8211" width="12.26953125" style="92" customWidth="1"/>
    <col min="8212" max="8212" width="9.1796875" style="92"/>
    <col min="8213" max="8213" width="9.54296875" style="92" bestFit="1" customWidth="1"/>
    <col min="8214" max="8215" width="9.26953125" style="92" bestFit="1" customWidth="1"/>
    <col min="8216" max="8438" width="9.1796875" style="92"/>
    <col min="8439" max="8439" width="11.81640625" style="92" bestFit="1" customWidth="1"/>
    <col min="8440" max="8440" width="2.54296875" style="92" customWidth="1"/>
    <col min="8441" max="8441" width="9.26953125" style="92" customWidth="1"/>
    <col min="8442" max="8442" width="0" style="92" hidden="1" customWidth="1"/>
    <col min="8443" max="8446" width="9.26953125" style="92" customWidth="1"/>
    <col min="8447" max="8452" width="7.453125" style="92" customWidth="1"/>
    <col min="8453" max="8453" width="25.1796875" style="92" customWidth="1"/>
    <col min="8454" max="8457" width="9.26953125" style="92" customWidth="1"/>
    <col min="8458" max="8458" width="7.453125" style="92" customWidth="1"/>
    <col min="8459" max="8462" width="9.26953125" style="92" customWidth="1"/>
    <col min="8463" max="8463" width="10.54296875" style="92" customWidth="1"/>
    <col min="8464" max="8466" width="9.1796875" style="92"/>
    <col min="8467" max="8467" width="12.26953125" style="92" customWidth="1"/>
    <col min="8468" max="8468" width="9.1796875" style="92"/>
    <col min="8469" max="8469" width="9.54296875" style="92" bestFit="1" customWidth="1"/>
    <col min="8470" max="8471" width="9.26953125" style="92" bestFit="1" customWidth="1"/>
    <col min="8472" max="8694" width="9.1796875" style="92"/>
    <col min="8695" max="8695" width="11.81640625" style="92" bestFit="1" customWidth="1"/>
    <col min="8696" max="8696" width="2.54296875" style="92" customWidth="1"/>
    <col min="8697" max="8697" width="9.26953125" style="92" customWidth="1"/>
    <col min="8698" max="8698" width="0" style="92" hidden="1" customWidth="1"/>
    <col min="8699" max="8702" width="9.26953125" style="92" customWidth="1"/>
    <col min="8703" max="8708" width="7.453125" style="92" customWidth="1"/>
    <col min="8709" max="8709" width="25.1796875" style="92" customWidth="1"/>
    <col min="8710" max="8713" width="9.26953125" style="92" customWidth="1"/>
    <col min="8714" max="8714" width="7.453125" style="92" customWidth="1"/>
    <col min="8715" max="8718" width="9.26953125" style="92" customWidth="1"/>
    <col min="8719" max="8719" width="10.54296875" style="92" customWidth="1"/>
    <col min="8720" max="8722" width="9.1796875" style="92"/>
    <col min="8723" max="8723" width="12.26953125" style="92" customWidth="1"/>
    <col min="8724" max="8724" width="9.1796875" style="92"/>
    <col min="8725" max="8725" width="9.54296875" style="92" bestFit="1" customWidth="1"/>
    <col min="8726" max="8727" width="9.26953125" style="92" bestFit="1" customWidth="1"/>
    <col min="8728" max="8950" width="9.1796875" style="92"/>
    <col min="8951" max="8951" width="11.81640625" style="92" bestFit="1" customWidth="1"/>
    <col min="8952" max="8952" width="2.54296875" style="92" customWidth="1"/>
    <col min="8953" max="8953" width="9.26953125" style="92" customWidth="1"/>
    <col min="8954" max="8954" width="0" style="92" hidden="1" customWidth="1"/>
    <col min="8955" max="8958" width="9.26953125" style="92" customWidth="1"/>
    <col min="8959" max="8964" width="7.453125" style="92" customWidth="1"/>
    <col min="8965" max="8965" width="25.1796875" style="92" customWidth="1"/>
    <col min="8966" max="8969" width="9.26953125" style="92" customWidth="1"/>
    <col min="8970" max="8970" width="7.453125" style="92" customWidth="1"/>
    <col min="8971" max="8974" width="9.26953125" style="92" customWidth="1"/>
    <col min="8975" max="8975" width="10.54296875" style="92" customWidth="1"/>
    <col min="8976" max="8978" width="9.1796875" style="92"/>
    <col min="8979" max="8979" width="12.26953125" style="92" customWidth="1"/>
    <col min="8980" max="8980" width="9.1796875" style="92"/>
    <col min="8981" max="8981" width="9.54296875" style="92" bestFit="1" customWidth="1"/>
    <col min="8982" max="8983" width="9.26953125" style="92" bestFit="1" customWidth="1"/>
    <col min="8984" max="9206" width="9.1796875" style="92"/>
    <col min="9207" max="9207" width="11.81640625" style="92" bestFit="1" customWidth="1"/>
    <col min="9208" max="9208" width="2.54296875" style="92" customWidth="1"/>
    <col min="9209" max="9209" width="9.26953125" style="92" customWidth="1"/>
    <col min="9210" max="9210" width="0" style="92" hidden="1" customWidth="1"/>
    <col min="9211" max="9214" width="9.26953125" style="92" customWidth="1"/>
    <col min="9215" max="9220" width="7.453125" style="92" customWidth="1"/>
    <col min="9221" max="9221" width="25.1796875" style="92" customWidth="1"/>
    <col min="9222" max="9225" width="9.26953125" style="92" customWidth="1"/>
    <col min="9226" max="9226" width="7.453125" style="92" customWidth="1"/>
    <col min="9227" max="9230" width="9.26953125" style="92" customWidth="1"/>
    <col min="9231" max="9231" width="10.54296875" style="92" customWidth="1"/>
    <col min="9232" max="9234" width="9.1796875" style="92"/>
    <col min="9235" max="9235" width="12.26953125" style="92" customWidth="1"/>
    <col min="9236" max="9236" width="9.1796875" style="92"/>
    <col min="9237" max="9237" width="9.54296875" style="92" bestFit="1" customWidth="1"/>
    <col min="9238" max="9239" width="9.26953125" style="92" bestFit="1" customWidth="1"/>
    <col min="9240" max="9462" width="9.1796875" style="92"/>
    <col min="9463" max="9463" width="11.81640625" style="92" bestFit="1" customWidth="1"/>
    <col min="9464" max="9464" width="2.54296875" style="92" customWidth="1"/>
    <col min="9465" max="9465" width="9.26953125" style="92" customWidth="1"/>
    <col min="9466" max="9466" width="0" style="92" hidden="1" customWidth="1"/>
    <col min="9467" max="9470" width="9.26953125" style="92" customWidth="1"/>
    <col min="9471" max="9476" width="7.453125" style="92" customWidth="1"/>
    <col min="9477" max="9477" width="25.1796875" style="92" customWidth="1"/>
    <col min="9478" max="9481" width="9.26953125" style="92" customWidth="1"/>
    <col min="9482" max="9482" width="7.453125" style="92" customWidth="1"/>
    <col min="9483" max="9486" width="9.26953125" style="92" customWidth="1"/>
    <col min="9487" max="9487" width="10.54296875" style="92" customWidth="1"/>
    <col min="9488" max="9490" width="9.1796875" style="92"/>
    <col min="9491" max="9491" width="12.26953125" style="92" customWidth="1"/>
    <col min="9492" max="9492" width="9.1796875" style="92"/>
    <col min="9493" max="9493" width="9.54296875" style="92" bestFit="1" customWidth="1"/>
    <col min="9494" max="9495" width="9.26953125" style="92" bestFit="1" customWidth="1"/>
    <col min="9496" max="9718" width="9.1796875" style="92"/>
    <col min="9719" max="9719" width="11.81640625" style="92" bestFit="1" customWidth="1"/>
    <col min="9720" max="9720" width="2.54296875" style="92" customWidth="1"/>
    <col min="9721" max="9721" width="9.26953125" style="92" customWidth="1"/>
    <col min="9722" max="9722" width="0" style="92" hidden="1" customWidth="1"/>
    <col min="9723" max="9726" width="9.26953125" style="92" customWidth="1"/>
    <col min="9727" max="9732" width="7.453125" style="92" customWidth="1"/>
    <col min="9733" max="9733" width="25.1796875" style="92" customWidth="1"/>
    <col min="9734" max="9737" width="9.26953125" style="92" customWidth="1"/>
    <col min="9738" max="9738" width="7.453125" style="92" customWidth="1"/>
    <col min="9739" max="9742" width="9.26953125" style="92" customWidth="1"/>
    <col min="9743" max="9743" width="10.54296875" style="92" customWidth="1"/>
    <col min="9744" max="9746" width="9.1796875" style="92"/>
    <col min="9747" max="9747" width="12.26953125" style="92" customWidth="1"/>
    <col min="9748" max="9748" width="9.1796875" style="92"/>
    <col min="9749" max="9749" width="9.54296875" style="92" bestFit="1" customWidth="1"/>
    <col min="9750" max="9751" width="9.26953125" style="92" bestFit="1" customWidth="1"/>
    <col min="9752" max="9974" width="9.1796875" style="92"/>
    <col min="9975" max="9975" width="11.81640625" style="92" bestFit="1" customWidth="1"/>
    <col min="9976" max="9976" width="2.54296875" style="92" customWidth="1"/>
    <col min="9977" max="9977" width="9.26953125" style="92" customWidth="1"/>
    <col min="9978" max="9978" width="0" style="92" hidden="1" customWidth="1"/>
    <col min="9979" max="9982" width="9.26953125" style="92" customWidth="1"/>
    <col min="9983" max="9988" width="7.453125" style="92" customWidth="1"/>
    <col min="9989" max="9989" width="25.1796875" style="92" customWidth="1"/>
    <col min="9990" max="9993" width="9.26953125" style="92" customWidth="1"/>
    <col min="9994" max="9994" width="7.453125" style="92" customWidth="1"/>
    <col min="9995" max="9998" width="9.26953125" style="92" customWidth="1"/>
    <col min="9999" max="9999" width="10.54296875" style="92" customWidth="1"/>
    <col min="10000" max="10002" width="9.1796875" style="92"/>
    <col min="10003" max="10003" width="12.26953125" style="92" customWidth="1"/>
    <col min="10004" max="10004" width="9.1796875" style="92"/>
    <col min="10005" max="10005" width="9.54296875" style="92" bestFit="1" customWidth="1"/>
    <col min="10006" max="10007" width="9.26953125" style="92" bestFit="1" customWidth="1"/>
    <col min="10008" max="10230" width="9.1796875" style="92"/>
    <col min="10231" max="10231" width="11.81640625" style="92" bestFit="1" customWidth="1"/>
    <col min="10232" max="10232" width="2.54296875" style="92" customWidth="1"/>
    <col min="10233" max="10233" width="9.26953125" style="92" customWidth="1"/>
    <col min="10234" max="10234" width="0" style="92" hidden="1" customWidth="1"/>
    <col min="10235" max="10238" width="9.26953125" style="92" customWidth="1"/>
    <col min="10239" max="10244" width="7.453125" style="92" customWidth="1"/>
    <col min="10245" max="10245" width="25.1796875" style="92" customWidth="1"/>
    <col min="10246" max="10249" width="9.26953125" style="92" customWidth="1"/>
    <col min="10250" max="10250" width="7.453125" style="92" customWidth="1"/>
    <col min="10251" max="10254" width="9.26953125" style="92" customWidth="1"/>
    <col min="10255" max="10255" width="10.54296875" style="92" customWidth="1"/>
    <col min="10256" max="10258" width="9.1796875" style="92"/>
    <col min="10259" max="10259" width="12.26953125" style="92" customWidth="1"/>
    <col min="10260" max="10260" width="9.1796875" style="92"/>
    <col min="10261" max="10261" width="9.54296875" style="92" bestFit="1" customWidth="1"/>
    <col min="10262" max="10263" width="9.26953125" style="92" bestFit="1" customWidth="1"/>
    <col min="10264" max="10486" width="9.1796875" style="92"/>
    <col min="10487" max="10487" width="11.81640625" style="92" bestFit="1" customWidth="1"/>
    <col min="10488" max="10488" width="2.54296875" style="92" customWidth="1"/>
    <col min="10489" max="10489" width="9.26953125" style="92" customWidth="1"/>
    <col min="10490" max="10490" width="0" style="92" hidden="1" customWidth="1"/>
    <col min="10491" max="10494" width="9.26953125" style="92" customWidth="1"/>
    <col min="10495" max="10500" width="7.453125" style="92" customWidth="1"/>
    <col min="10501" max="10501" width="25.1796875" style="92" customWidth="1"/>
    <col min="10502" max="10505" width="9.26953125" style="92" customWidth="1"/>
    <col min="10506" max="10506" width="7.453125" style="92" customWidth="1"/>
    <col min="10507" max="10510" width="9.26953125" style="92" customWidth="1"/>
    <col min="10511" max="10511" width="10.54296875" style="92" customWidth="1"/>
    <col min="10512" max="10514" width="9.1796875" style="92"/>
    <col min="10515" max="10515" width="12.26953125" style="92" customWidth="1"/>
    <col min="10516" max="10516" width="9.1796875" style="92"/>
    <col min="10517" max="10517" width="9.54296875" style="92" bestFit="1" customWidth="1"/>
    <col min="10518" max="10519" width="9.26953125" style="92" bestFit="1" customWidth="1"/>
    <col min="10520" max="10742" width="9.1796875" style="92"/>
    <col min="10743" max="10743" width="11.81640625" style="92" bestFit="1" customWidth="1"/>
    <col min="10744" max="10744" width="2.54296875" style="92" customWidth="1"/>
    <col min="10745" max="10745" width="9.26953125" style="92" customWidth="1"/>
    <col min="10746" max="10746" width="0" style="92" hidden="1" customWidth="1"/>
    <col min="10747" max="10750" width="9.26953125" style="92" customWidth="1"/>
    <col min="10751" max="10756" width="7.453125" style="92" customWidth="1"/>
    <col min="10757" max="10757" width="25.1796875" style="92" customWidth="1"/>
    <col min="10758" max="10761" width="9.26953125" style="92" customWidth="1"/>
    <col min="10762" max="10762" width="7.453125" style="92" customWidth="1"/>
    <col min="10763" max="10766" width="9.26953125" style="92" customWidth="1"/>
    <col min="10767" max="10767" width="10.54296875" style="92" customWidth="1"/>
    <col min="10768" max="10770" width="9.1796875" style="92"/>
    <col min="10771" max="10771" width="12.26953125" style="92" customWidth="1"/>
    <col min="10772" max="10772" width="9.1796875" style="92"/>
    <col min="10773" max="10773" width="9.54296875" style="92" bestFit="1" customWidth="1"/>
    <col min="10774" max="10775" width="9.26953125" style="92" bestFit="1" customWidth="1"/>
    <col min="10776" max="10998" width="9.1796875" style="92"/>
    <col min="10999" max="10999" width="11.81640625" style="92" bestFit="1" customWidth="1"/>
    <col min="11000" max="11000" width="2.54296875" style="92" customWidth="1"/>
    <col min="11001" max="11001" width="9.26953125" style="92" customWidth="1"/>
    <col min="11002" max="11002" width="0" style="92" hidden="1" customWidth="1"/>
    <col min="11003" max="11006" width="9.26953125" style="92" customWidth="1"/>
    <col min="11007" max="11012" width="7.453125" style="92" customWidth="1"/>
    <col min="11013" max="11013" width="25.1796875" style="92" customWidth="1"/>
    <col min="11014" max="11017" width="9.26953125" style="92" customWidth="1"/>
    <col min="11018" max="11018" width="7.453125" style="92" customWidth="1"/>
    <col min="11019" max="11022" width="9.26953125" style="92" customWidth="1"/>
    <col min="11023" max="11023" width="10.54296875" style="92" customWidth="1"/>
    <col min="11024" max="11026" width="9.1796875" style="92"/>
    <col min="11027" max="11027" width="12.26953125" style="92" customWidth="1"/>
    <col min="11028" max="11028" width="9.1796875" style="92"/>
    <col min="11029" max="11029" width="9.54296875" style="92" bestFit="1" customWidth="1"/>
    <col min="11030" max="11031" width="9.26953125" style="92" bestFit="1" customWidth="1"/>
    <col min="11032" max="11254" width="9.1796875" style="92"/>
    <col min="11255" max="11255" width="11.81640625" style="92" bestFit="1" customWidth="1"/>
    <col min="11256" max="11256" width="2.54296875" style="92" customWidth="1"/>
    <col min="11257" max="11257" width="9.26953125" style="92" customWidth="1"/>
    <col min="11258" max="11258" width="0" style="92" hidden="1" customWidth="1"/>
    <col min="11259" max="11262" width="9.26953125" style="92" customWidth="1"/>
    <col min="11263" max="11268" width="7.453125" style="92" customWidth="1"/>
    <col min="11269" max="11269" width="25.1796875" style="92" customWidth="1"/>
    <col min="11270" max="11273" width="9.26953125" style="92" customWidth="1"/>
    <col min="11274" max="11274" width="7.453125" style="92" customWidth="1"/>
    <col min="11275" max="11278" width="9.26953125" style="92" customWidth="1"/>
    <col min="11279" max="11279" width="10.54296875" style="92" customWidth="1"/>
    <col min="11280" max="11282" width="9.1796875" style="92"/>
    <col min="11283" max="11283" width="12.26953125" style="92" customWidth="1"/>
    <col min="11284" max="11284" width="9.1796875" style="92"/>
    <col min="11285" max="11285" width="9.54296875" style="92" bestFit="1" customWidth="1"/>
    <col min="11286" max="11287" width="9.26953125" style="92" bestFit="1" customWidth="1"/>
    <col min="11288" max="11510" width="9.1796875" style="92"/>
    <col min="11511" max="11511" width="11.81640625" style="92" bestFit="1" customWidth="1"/>
    <col min="11512" max="11512" width="2.54296875" style="92" customWidth="1"/>
    <col min="11513" max="11513" width="9.26953125" style="92" customWidth="1"/>
    <col min="11514" max="11514" width="0" style="92" hidden="1" customWidth="1"/>
    <col min="11515" max="11518" width="9.26953125" style="92" customWidth="1"/>
    <col min="11519" max="11524" width="7.453125" style="92" customWidth="1"/>
    <col min="11525" max="11525" width="25.1796875" style="92" customWidth="1"/>
    <col min="11526" max="11529" width="9.26953125" style="92" customWidth="1"/>
    <col min="11530" max="11530" width="7.453125" style="92" customWidth="1"/>
    <col min="11531" max="11534" width="9.26953125" style="92" customWidth="1"/>
    <col min="11535" max="11535" width="10.54296875" style="92" customWidth="1"/>
    <col min="11536" max="11538" width="9.1796875" style="92"/>
    <col min="11539" max="11539" width="12.26953125" style="92" customWidth="1"/>
    <col min="11540" max="11540" width="9.1796875" style="92"/>
    <col min="11541" max="11541" width="9.54296875" style="92" bestFit="1" customWidth="1"/>
    <col min="11542" max="11543" width="9.26953125" style="92" bestFit="1" customWidth="1"/>
    <col min="11544" max="11766" width="9.1796875" style="92"/>
    <col min="11767" max="11767" width="11.81640625" style="92" bestFit="1" customWidth="1"/>
    <col min="11768" max="11768" width="2.54296875" style="92" customWidth="1"/>
    <col min="11769" max="11769" width="9.26953125" style="92" customWidth="1"/>
    <col min="11770" max="11770" width="0" style="92" hidden="1" customWidth="1"/>
    <col min="11771" max="11774" width="9.26953125" style="92" customWidth="1"/>
    <col min="11775" max="11780" width="7.453125" style="92" customWidth="1"/>
    <col min="11781" max="11781" width="25.1796875" style="92" customWidth="1"/>
    <col min="11782" max="11785" width="9.26953125" style="92" customWidth="1"/>
    <col min="11786" max="11786" width="7.453125" style="92" customWidth="1"/>
    <col min="11787" max="11790" width="9.26953125" style="92" customWidth="1"/>
    <col min="11791" max="11791" width="10.54296875" style="92" customWidth="1"/>
    <col min="11792" max="11794" width="9.1796875" style="92"/>
    <col min="11795" max="11795" width="12.26953125" style="92" customWidth="1"/>
    <col min="11796" max="11796" width="9.1796875" style="92"/>
    <col min="11797" max="11797" width="9.54296875" style="92" bestFit="1" customWidth="1"/>
    <col min="11798" max="11799" width="9.26953125" style="92" bestFit="1" customWidth="1"/>
    <col min="11800" max="12022" width="9.1796875" style="92"/>
    <col min="12023" max="12023" width="11.81640625" style="92" bestFit="1" customWidth="1"/>
    <col min="12024" max="12024" width="2.54296875" style="92" customWidth="1"/>
    <col min="12025" max="12025" width="9.26953125" style="92" customWidth="1"/>
    <col min="12026" max="12026" width="0" style="92" hidden="1" customWidth="1"/>
    <col min="12027" max="12030" width="9.26953125" style="92" customWidth="1"/>
    <col min="12031" max="12036" width="7.453125" style="92" customWidth="1"/>
    <col min="12037" max="12037" width="25.1796875" style="92" customWidth="1"/>
    <col min="12038" max="12041" width="9.26953125" style="92" customWidth="1"/>
    <col min="12042" max="12042" width="7.453125" style="92" customWidth="1"/>
    <col min="12043" max="12046" width="9.26953125" style="92" customWidth="1"/>
    <col min="12047" max="12047" width="10.54296875" style="92" customWidth="1"/>
    <col min="12048" max="12050" width="9.1796875" style="92"/>
    <col min="12051" max="12051" width="12.26953125" style="92" customWidth="1"/>
    <col min="12052" max="12052" width="9.1796875" style="92"/>
    <col min="12053" max="12053" width="9.54296875" style="92" bestFit="1" customWidth="1"/>
    <col min="12054" max="12055" width="9.26953125" style="92" bestFit="1" customWidth="1"/>
    <col min="12056" max="12278" width="9.1796875" style="92"/>
    <col min="12279" max="12279" width="11.81640625" style="92" bestFit="1" customWidth="1"/>
    <col min="12280" max="12280" width="2.54296875" style="92" customWidth="1"/>
    <col min="12281" max="12281" width="9.26953125" style="92" customWidth="1"/>
    <col min="12282" max="12282" width="0" style="92" hidden="1" customWidth="1"/>
    <col min="12283" max="12286" width="9.26953125" style="92" customWidth="1"/>
    <col min="12287" max="12292" width="7.453125" style="92" customWidth="1"/>
    <col min="12293" max="12293" width="25.1796875" style="92" customWidth="1"/>
    <col min="12294" max="12297" width="9.26953125" style="92" customWidth="1"/>
    <col min="12298" max="12298" width="7.453125" style="92" customWidth="1"/>
    <col min="12299" max="12302" width="9.26953125" style="92" customWidth="1"/>
    <col min="12303" max="12303" width="10.54296875" style="92" customWidth="1"/>
    <col min="12304" max="12306" width="9.1796875" style="92"/>
    <col min="12307" max="12307" width="12.26953125" style="92" customWidth="1"/>
    <col min="12308" max="12308" width="9.1796875" style="92"/>
    <col min="12309" max="12309" width="9.54296875" style="92" bestFit="1" customWidth="1"/>
    <col min="12310" max="12311" width="9.26953125" style="92" bestFit="1" customWidth="1"/>
    <col min="12312" max="12534" width="9.1796875" style="92"/>
    <col min="12535" max="12535" width="11.81640625" style="92" bestFit="1" customWidth="1"/>
    <col min="12536" max="12536" width="2.54296875" style="92" customWidth="1"/>
    <col min="12537" max="12537" width="9.26953125" style="92" customWidth="1"/>
    <col min="12538" max="12538" width="0" style="92" hidden="1" customWidth="1"/>
    <col min="12539" max="12542" width="9.26953125" style="92" customWidth="1"/>
    <col min="12543" max="12548" width="7.453125" style="92" customWidth="1"/>
    <col min="12549" max="12549" width="25.1796875" style="92" customWidth="1"/>
    <col min="12550" max="12553" width="9.26953125" style="92" customWidth="1"/>
    <col min="12554" max="12554" width="7.453125" style="92" customWidth="1"/>
    <col min="12555" max="12558" width="9.26953125" style="92" customWidth="1"/>
    <col min="12559" max="12559" width="10.54296875" style="92" customWidth="1"/>
    <col min="12560" max="12562" width="9.1796875" style="92"/>
    <col min="12563" max="12563" width="12.26953125" style="92" customWidth="1"/>
    <col min="12564" max="12564" width="9.1796875" style="92"/>
    <col min="12565" max="12565" width="9.54296875" style="92" bestFit="1" customWidth="1"/>
    <col min="12566" max="12567" width="9.26953125" style="92" bestFit="1" customWidth="1"/>
    <col min="12568" max="12790" width="9.1796875" style="92"/>
    <col min="12791" max="12791" width="11.81640625" style="92" bestFit="1" customWidth="1"/>
    <col min="12792" max="12792" width="2.54296875" style="92" customWidth="1"/>
    <col min="12793" max="12793" width="9.26953125" style="92" customWidth="1"/>
    <col min="12794" max="12794" width="0" style="92" hidden="1" customWidth="1"/>
    <col min="12795" max="12798" width="9.26953125" style="92" customWidth="1"/>
    <col min="12799" max="12804" width="7.453125" style="92" customWidth="1"/>
    <col min="12805" max="12805" width="25.1796875" style="92" customWidth="1"/>
    <col min="12806" max="12809" width="9.26953125" style="92" customWidth="1"/>
    <col min="12810" max="12810" width="7.453125" style="92" customWidth="1"/>
    <col min="12811" max="12814" width="9.26953125" style="92" customWidth="1"/>
    <col min="12815" max="12815" width="10.54296875" style="92" customWidth="1"/>
    <col min="12816" max="12818" width="9.1796875" style="92"/>
    <col min="12819" max="12819" width="12.26953125" style="92" customWidth="1"/>
    <col min="12820" max="12820" width="9.1796875" style="92"/>
    <col min="12821" max="12821" width="9.54296875" style="92" bestFit="1" customWidth="1"/>
    <col min="12822" max="12823" width="9.26953125" style="92" bestFit="1" customWidth="1"/>
    <col min="12824" max="13046" width="9.1796875" style="92"/>
    <col min="13047" max="13047" width="11.81640625" style="92" bestFit="1" customWidth="1"/>
    <col min="13048" max="13048" width="2.54296875" style="92" customWidth="1"/>
    <col min="13049" max="13049" width="9.26953125" style="92" customWidth="1"/>
    <col min="13050" max="13050" width="0" style="92" hidden="1" customWidth="1"/>
    <col min="13051" max="13054" width="9.26953125" style="92" customWidth="1"/>
    <col min="13055" max="13060" width="7.453125" style="92" customWidth="1"/>
    <col min="13061" max="13061" width="25.1796875" style="92" customWidth="1"/>
    <col min="13062" max="13065" width="9.26953125" style="92" customWidth="1"/>
    <col min="13066" max="13066" width="7.453125" style="92" customWidth="1"/>
    <col min="13067" max="13070" width="9.26953125" style="92" customWidth="1"/>
    <col min="13071" max="13071" width="10.54296875" style="92" customWidth="1"/>
    <col min="13072" max="13074" width="9.1796875" style="92"/>
    <col min="13075" max="13075" width="12.26953125" style="92" customWidth="1"/>
    <col min="13076" max="13076" width="9.1796875" style="92"/>
    <col min="13077" max="13077" width="9.54296875" style="92" bestFit="1" customWidth="1"/>
    <col min="13078" max="13079" width="9.26953125" style="92" bestFit="1" customWidth="1"/>
    <col min="13080" max="13302" width="9.1796875" style="92"/>
    <col min="13303" max="13303" width="11.81640625" style="92" bestFit="1" customWidth="1"/>
    <col min="13304" max="13304" width="2.54296875" style="92" customWidth="1"/>
    <col min="13305" max="13305" width="9.26953125" style="92" customWidth="1"/>
    <col min="13306" max="13306" width="0" style="92" hidden="1" customWidth="1"/>
    <col min="13307" max="13310" width="9.26953125" style="92" customWidth="1"/>
    <col min="13311" max="13316" width="7.453125" style="92" customWidth="1"/>
    <col min="13317" max="13317" width="25.1796875" style="92" customWidth="1"/>
    <col min="13318" max="13321" width="9.26953125" style="92" customWidth="1"/>
    <col min="13322" max="13322" width="7.453125" style="92" customWidth="1"/>
    <col min="13323" max="13326" width="9.26953125" style="92" customWidth="1"/>
    <col min="13327" max="13327" width="10.54296875" style="92" customWidth="1"/>
    <col min="13328" max="13330" width="9.1796875" style="92"/>
    <col min="13331" max="13331" width="12.26953125" style="92" customWidth="1"/>
    <col min="13332" max="13332" width="9.1796875" style="92"/>
    <col min="13333" max="13333" width="9.54296875" style="92" bestFit="1" customWidth="1"/>
    <col min="13334" max="13335" width="9.26953125" style="92" bestFit="1" customWidth="1"/>
    <col min="13336" max="13558" width="9.1796875" style="92"/>
    <col min="13559" max="13559" width="11.81640625" style="92" bestFit="1" customWidth="1"/>
    <col min="13560" max="13560" width="2.54296875" style="92" customWidth="1"/>
    <col min="13561" max="13561" width="9.26953125" style="92" customWidth="1"/>
    <col min="13562" max="13562" width="0" style="92" hidden="1" customWidth="1"/>
    <col min="13563" max="13566" width="9.26953125" style="92" customWidth="1"/>
    <col min="13567" max="13572" width="7.453125" style="92" customWidth="1"/>
    <col min="13573" max="13573" width="25.1796875" style="92" customWidth="1"/>
    <col min="13574" max="13577" width="9.26953125" style="92" customWidth="1"/>
    <col min="13578" max="13578" width="7.453125" style="92" customWidth="1"/>
    <col min="13579" max="13582" width="9.26953125" style="92" customWidth="1"/>
    <col min="13583" max="13583" width="10.54296875" style="92" customWidth="1"/>
    <col min="13584" max="13586" width="9.1796875" style="92"/>
    <col min="13587" max="13587" width="12.26953125" style="92" customWidth="1"/>
    <col min="13588" max="13588" width="9.1796875" style="92"/>
    <col min="13589" max="13589" width="9.54296875" style="92" bestFit="1" customWidth="1"/>
    <col min="13590" max="13591" width="9.26953125" style="92" bestFit="1" customWidth="1"/>
    <col min="13592" max="13814" width="9.1796875" style="92"/>
    <col min="13815" max="13815" width="11.81640625" style="92" bestFit="1" customWidth="1"/>
    <col min="13816" max="13816" width="2.54296875" style="92" customWidth="1"/>
    <col min="13817" max="13817" width="9.26953125" style="92" customWidth="1"/>
    <col min="13818" max="13818" width="0" style="92" hidden="1" customWidth="1"/>
    <col min="13819" max="13822" width="9.26953125" style="92" customWidth="1"/>
    <col min="13823" max="13828" width="7.453125" style="92" customWidth="1"/>
    <col min="13829" max="13829" width="25.1796875" style="92" customWidth="1"/>
    <col min="13830" max="13833" width="9.26953125" style="92" customWidth="1"/>
    <col min="13834" max="13834" width="7.453125" style="92" customWidth="1"/>
    <col min="13835" max="13838" width="9.26953125" style="92" customWidth="1"/>
    <col min="13839" max="13839" width="10.54296875" style="92" customWidth="1"/>
    <col min="13840" max="13842" width="9.1796875" style="92"/>
    <col min="13843" max="13843" width="12.26953125" style="92" customWidth="1"/>
    <col min="13844" max="13844" width="9.1796875" style="92"/>
    <col min="13845" max="13845" width="9.54296875" style="92" bestFit="1" customWidth="1"/>
    <col min="13846" max="13847" width="9.26953125" style="92" bestFit="1" customWidth="1"/>
    <col min="13848" max="14070" width="9.1796875" style="92"/>
    <col min="14071" max="14071" width="11.81640625" style="92" bestFit="1" customWidth="1"/>
    <col min="14072" max="14072" width="2.54296875" style="92" customWidth="1"/>
    <col min="14073" max="14073" width="9.26953125" style="92" customWidth="1"/>
    <col min="14074" max="14074" width="0" style="92" hidden="1" customWidth="1"/>
    <col min="14075" max="14078" width="9.26953125" style="92" customWidth="1"/>
    <col min="14079" max="14084" width="7.453125" style="92" customWidth="1"/>
    <col min="14085" max="14085" width="25.1796875" style="92" customWidth="1"/>
    <col min="14086" max="14089" width="9.26953125" style="92" customWidth="1"/>
    <col min="14090" max="14090" width="7.453125" style="92" customWidth="1"/>
    <col min="14091" max="14094" width="9.26953125" style="92" customWidth="1"/>
    <col min="14095" max="14095" width="10.54296875" style="92" customWidth="1"/>
    <col min="14096" max="14098" width="9.1796875" style="92"/>
    <col min="14099" max="14099" width="12.26953125" style="92" customWidth="1"/>
    <col min="14100" max="14100" width="9.1796875" style="92"/>
    <col min="14101" max="14101" width="9.54296875" style="92" bestFit="1" customWidth="1"/>
    <col min="14102" max="14103" width="9.26953125" style="92" bestFit="1" customWidth="1"/>
    <col min="14104" max="14326" width="9.1796875" style="92"/>
    <col min="14327" max="14327" width="11.81640625" style="92" bestFit="1" customWidth="1"/>
    <col min="14328" max="14328" width="2.54296875" style="92" customWidth="1"/>
    <col min="14329" max="14329" width="9.26953125" style="92" customWidth="1"/>
    <col min="14330" max="14330" width="0" style="92" hidden="1" customWidth="1"/>
    <col min="14331" max="14334" width="9.26953125" style="92" customWidth="1"/>
    <col min="14335" max="14340" width="7.453125" style="92" customWidth="1"/>
    <col min="14341" max="14341" width="25.1796875" style="92" customWidth="1"/>
    <col min="14342" max="14345" width="9.26953125" style="92" customWidth="1"/>
    <col min="14346" max="14346" width="7.453125" style="92" customWidth="1"/>
    <col min="14347" max="14350" width="9.26953125" style="92" customWidth="1"/>
    <col min="14351" max="14351" width="10.54296875" style="92" customWidth="1"/>
    <col min="14352" max="14354" width="9.1796875" style="92"/>
    <col min="14355" max="14355" width="12.26953125" style="92" customWidth="1"/>
    <col min="14356" max="14356" width="9.1796875" style="92"/>
    <col min="14357" max="14357" width="9.54296875" style="92" bestFit="1" customWidth="1"/>
    <col min="14358" max="14359" width="9.26953125" style="92" bestFit="1" customWidth="1"/>
    <col min="14360" max="14582" width="9.1796875" style="92"/>
    <col min="14583" max="14583" width="11.81640625" style="92" bestFit="1" customWidth="1"/>
    <col min="14584" max="14584" width="2.54296875" style="92" customWidth="1"/>
    <col min="14585" max="14585" width="9.26953125" style="92" customWidth="1"/>
    <col min="14586" max="14586" width="0" style="92" hidden="1" customWidth="1"/>
    <col min="14587" max="14590" width="9.26953125" style="92" customWidth="1"/>
    <col min="14591" max="14596" width="7.453125" style="92" customWidth="1"/>
    <col min="14597" max="14597" width="25.1796875" style="92" customWidth="1"/>
    <col min="14598" max="14601" width="9.26953125" style="92" customWidth="1"/>
    <col min="14602" max="14602" width="7.453125" style="92" customWidth="1"/>
    <col min="14603" max="14606" width="9.26953125" style="92" customWidth="1"/>
    <col min="14607" max="14607" width="10.54296875" style="92" customWidth="1"/>
    <col min="14608" max="14610" width="9.1796875" style="92"/>
    <col min="14611" max="14611" width="12.26953125" style="92" customWidth="1"/>
    <col min="14612" max="14612" width="9.1796875" style="92"/>
    <col min="14613" max="14613" width="9.54296875" style="92" bestFit="1" customWidth="1"/>
    <col min="14614" max="14615" width="9.26953125" style="92" bestFit="1" customWidth="1"/>
    <col min="14616" max="14838" width="9.1796875" style="92"/>
    <col min="14839" max="14839" width="11.81640625" style="92" bestFit="1" customWidth="1"/>
    <col min="14840" max="14840" width="2.54296875" style="92" customWidth="1"/>
    <col min="14841" max="14841" width="9.26953125" style="92" customWidth="1"/>
    <col min="14842" max="14842" width="0" style="92" hidden="1" customWidth="1"/>
    <col min="14843" max="14846" width="9.26953125" style="92" customWidth="1"/>
    <col min="14847" max="14852" width="7.453125" style="92" customWidth="1"/>
    <col min="14853" max="14853" width="25.1796875" style="92" customWidth="1"/>
    <col min="14854" max="14857" width="9.26953125" style="92" customWidth="1"/>
    <col min="14858" max="14858" width="7.453125" style="92" customWidth="1"/>
    <col min="14859" max="14862" width="9.26953125" style="92" customWidth="1"/>
    <col min="14863" max="14863" width="10.54296875" style="92" customWidth="1"/>
    <col min="14864" max="14866" width="9.1796875" style="92"/>
    <col min="14867" max="14867" width="12.26953125" style="92" customWidth="1"/>
    <col min="14868" max="14868" width="9.1796875" style="92"/>
    <col min="14869" max="14869" width="9.54296875" style="92" bestFit="1" customWidth="1"/>
    <col min="14870" max="14871" width="9.26953125" style="92" bestFit="1" customWidth="1"/>
    <col min="14872" max="15094" width="9.1796875" style="92"/>
    <col min="15095" max="15095" width="11.81640625" style="92" bestFit="1" customWidth="1"/>
    <col min="15096" max="15096" width="2.54296875" style="92" customWidth="1"/>
    <col min="15097" max="15097" width="9.26953125" style="92" customWidth="1"/>
    <col min="15098" max="15098" width="0" style="92" hidden="1" customWidth="1"/>
    <col min="15099" max="15102" width="9.26953125" style="92" customWidth="1"/>
    <col min="15103" max="15108" width="7.453125" style="92" customWidth="1"/>
    <col min="15109" max="15109" width="25.1796875" style="92" customWidth="1"/>
    <col min="15110" max="15113" width="9.26953125" style="92" customWidth="1"/>
    <col min="15114" max="15114" width="7.453125" style="92" customWidth="1"/>
    <col min="15115" max="15118" width="9.26953125" style="92" customWidth="1"/>
    <col min="15119" max="15119" width="10.54296875" style="92" customWidth="1"/>
    <col min="15120" max="15122" width="9.1796875" style="92"/>
    <col min="15123" max="15123" width="12.26953125" style="92" customWidth="1"/>
    <col min="15124" max="15124" width="9.1796875" style="92"/>
    <col min="15125" max="15125" width="9.54296875" style="92" bestFit="1" customWidth="1"/>
    <col min="15126" max="15127" width="9.26953125" style="92" bestFit="1" customWidth="1"/>
    <col min="15128" max="15350" width="9.1796875" style="92"/>
    <col min="15351" max="15351" width="11.81640625" style="92" bestFit="1" customWidth="1"/>
    <col min="15352" max="15352" width="2.54296875" style="92" customWidth="1"/>
    <col min="15353" max="15353" width="9.26953125" style="92" customWidth="1"/>
    <col min="15354" max="15354" width="0" style="92" hidden="1" customWidth="1"/>
    <col min="15355" max="15358" width="9.26953125" style="92" customWidth="1"/>
    <col min="15359" max="15364" width="7.453125" style="92" customWidth="1"/>
    <col min="15365" max="15365" width="25.1796875" style="92" customWidth="1"/>
    <col min="15366" max="15369" width="9.26953125" style="92" customWidth="1"/>
    <col min="15370" max="15370" width="7.453125" style="92" customWidth="1"/>
    <col min="15371" max="15374" width="9.26953125" style="92" customWidth="1"/>
    <col min="15375" max="15375" width="10.54296875" style="92" customWidth="1"/>
    <col min="15376" max="15378" width="9.1796875" style="92"/>
    <col min="15379" max="15379" width="12.26953125" style="92" customWidth="1"/>
    <col min="15380" max="15380" width="9.1796875" style="92"/>
    <col min="15381" max="15381" width="9.54296875" style="92" bestFit="1" customWidth="1"/>
    <col min="15382" max="15383" width="9.26953125" style="92" bestFit="1" customWidth="1"/>
    <col min="15384" max="15606" width="9.1796875" style="92"/>
    <col min="15607" max="15607" width="11.81640625" style="92" bestFit="1" customWidth="1"/>
    <col min="15608" max="15608" width="2.54296875" style="92" customWidth="1"/>
    <col min="15609" max="15609" width="9.26953125" style="92" customWidth="1"/>
    <col min="15610" max="15610" width="0" style="92" hidden="1" customWidth="1"/>
    <col min="15611" max="15614" width="9.26953125" style="92" customWidth="1"/>
    <col min="15615" max="15620" width="7.453125" style="92" customWidth="1"/>
    <col min="15621" max="15621" width="25.1796875" style="92" customWidth="1"/>
    <col min="15622" max="15625" width="9.26953125" style="92" customWidth="1"/>
    <col min="15626" max="15626" width="7.453125" style="92" customWidth="1"/>
    <col min="15627" max="15630" width="9.26953125" style="92" customWidth="1"/>
    <col min="15631" max="15631" width="10.54296875" style="92" customWidth="1"/>
    <col min="15632" max="15634" width="9.1796875" style="92"/>
    <col min="15635" max="15635" width="12.26953125" style="92" customWidth="1"/>
    <col min="15636" max="15636" width="9.1796875" style="92"/>
    <col min="15637" max="15637" width="9.54296875" style="92" bestFit="1" customWidth="1"/>
    <col min="15638" max="15639" width="9.26953125" style="92" bestFit="1" customWidth="1"/>
    <col min="15640" max="15862" width="9.1796875" style="92"/>
    <col min="15863" max="15863" width="11.81640625" style="92" bestFit="1" customWidth="1"/>
    <col min="15864" max="15864" width="2.54296875" style="92" customWidth="1"/>
    <col min="15865" max="15865" width="9.26953125" style="92" customWidth="1"/>
    <col min="15866" max="15866" width="0" style="92" hidden="1" customWidth="1"/>
    <col min="15867" max="15870" width="9.26953125" style="92" customWidth="1"/>
    <col min="15871" max="15876" width="7.453125" style="92" customWidth="1"/>
    <col min="15877" max="15877" width="25.1796875" style="92" customWidth="1"/>
    <col min="15878" max="15881" width="9.26953125" style="92" customWidth="1"/>
    <col min="15882" max="15882" width="7.453125" style="92" customWidth="1"/>
    <col min="15883" max="15886" width="9.26953125" style="92" customWidth="1"/>
    <col min="15887" max="15887" width="10.54296875" style="92" customWidth="1"/>
    <col min="15888" max="15890" width="9.1796875" style="92"/>
    <col min="15891" max="15891" width="12.26953125" style="92" customWidth="1"/>
    <col min="15892" max="15892" width="9.1796875" style="92"/>
    <col min="15893" max="15893" width="9.54296875" style="92" bestFit="1" customWidth="1"/>
    <col min="15894" max="15895" width="9.26953125" style="92" bestFit="1" customWidth="1"/>
    <col min="15896" max="16118" width="9.1796875" style="92"/>
    <col min="16119" max="16119" width="11.81640625" style="92" bestFit="1" customWidth="1"/>
    <col min="16120" max="16120" width="2.54296875" style="92" customWidth="1"/>
    <col min="16121" max="16121" width="9.26953125" style="92" customWidth="1"/>
    <col min="16122" max="16122" width="0" style="92" hidden="1" customWidth="1"/>
    <col min="16123" max="16126" width="9.26953125" style="92" customWidth="1"/>
    <col min="16127" max="16132" width="7.453125" style="92" customWidth="1"/>
    <col min="16133" max="16133" width="25.1796875" style="92" customWidth="1"/>
    <col min="16134" max="16137" width="9.26953125" style="92" customWidth="1"/>
    <col min="16138" max="16138" width="7.453125" style="92" customWidth="1"/>
    <col min="16139" max="16142" width="9.26953125" style="92" customWidth="1"/>
    <col min="16143" max="16143" width="10.54296875" style="92" customWidth="1"/>
    <col min="16144" max="16146" width="9.1796875" style="92"/>
    <col min="16147" max="16147" width="12.26953125" style="92" customWidth="1"/>
    <col min="16148" max="16148" width="9.1796875" style="92"/>
    <col min="16149" max="16149" width="9.54296875" style="92" bestFit="1" customWidth="1"/>
    <col min="16150" max="16151" width="9.26953125" style="92" bestFit="1" customWidth="1"/>
    <col min="16152" max="16384" width="9.1796875" style="92"/>
  </cols>
  <sheetData>
    <row r="1" spans="1:27" s="39" customFormat="1" ht="28.5" x14ac:dyDescent="0.35">
      <c r="A1" s="38" t="s">
        <v>445</v>
      </c>
      <c r="B1" s="82"/>
    </row>
    <row r="2" spans="1:27" s="39" customFormat="1" x14ac:dyDescent="0.35">
      <c r="A2" s="3" t="s">
        <v>15</v>
      </c>
      <c r="B2" s="82"/>
    </row>
    <row r="3" spans="1:27" s="39" customFormat="1" x14ac:dyDescent="0.35">
      <c r="A3" s="44" t="s">
        <v>158</v>
      </c>
      <c r="B3" s="82"/>
    </row>
    <row r="4" spans="1:27" s="39" customFormat="1" x14ac:dyDescent="0.35">
      <c r="A4" s="3" t="s">
        <v>159</v>
      </c>
      <c r="B4" s="82"/>
    </row>
    <row r="5" spans="1:27" s="39" customFormat="1" ht="62" x14ac:dyDescent="0.35">
      <c r="A5" s="57" t="s">
        <v>88</v>
      </c>
      <c r="B5" s="98" t="s">
        <v>446</v>
      </c>
      <c r="C5" s="99" t="s">
        <v>63</v>
      </c>
      <c r="D5" s="99" t="s">
        <v>64</v>
      </c>
      <c r="E5" s="99" t="s">
        <v>65</v>
      </c>
      <c r="F5" s="100" t="s">
        <v>66</v>
      </c>
      <c r="G5" s="98" t="s">
        <v>461</v>
      </c>
      <c r="H5" s="99" t="s">
        <v>449</v>
      </c>
      <c r="I5" s="99" t="s">
        <v>450</v>
      </c>
      <c r="J5" s="99" t="s">
        <v>451</v>
      </c>
      <c r="K5" s="100" t="s">
        <v>452</v>
      </c>
      <c r="L5" s="98" t="s">
        <v>447</v>
      </c>
      <c r="M5" s="99" t="s">
        <v>67</v>
      </c>
      <c r="N5" s="99" t="s">
        <v>59</v>
      </c>
      <c r="O5" s="100" t="s">
        <v>79</v>
      </c>
      <c r="P5" s="98" t="s">
        <v>462</v>
      </c>
      <c r="Q5" s="99" t="s">
        <v>453</v>
      </c>
      <c r="R5" s="99" t="s">
        <v>303</v>
      </c>
      <c r="S5" s="100" t="s">
        <v>454</v>
      </c>
      <c r="T5" s="98" t="s">
        <v>448</v>
      </c>
      <c r="U5" s="99" t="s">
        <v>455</v>
      </c>
      <c r="V5" s="99" t="s">
        <v>456</v>
      </c>
      <c r="W5" s="100" t="s">
        <v>457</v>
      </c>
      <c r="X5" s="99" t="s">
        <v>463</v>
      </c>
      <c r="Y5" s="99" t="s">
        <v>458</v>
      </c>
      <c r="Z5" s="99" t="s">
        <v>459</v>
      </c>
      <c r="AA5" s="100" t="s">
        <v>460</v>
      </c>
    </row>
    <row r="6" spans="1:27" x14ac:dyDescent="0.35">
      <c r="A6" s="50" t="s">
        <v>187</v>
      </c>
      <c r="B6" s="94">
        <f t="shared" ref="B6:B69" si="0">SUM(C6:F6)</f>
        <v>47122.46</v>
      </c>
      <c r="C6" s="95">
        <v>9834.2099999999991</v>
      </c>
      <c r="D6" s="95">
        <v>13675.85</v>
      </c>
      <c r="E6" s="95">
        <v>17526.32</v>
      </c>
      <c r="F6" s="96">
        <v>6086.08</v>
      </c>
      <c r="G6" s="94">
        <f>SUM(H6:K6)</f>
        <v>41195.03</v>
      </c>
      <c r="H6" s="95">
        <v>8442.0499999999993</v>
      </c>
      <c r="I6" s="95">
        <v>14149.64</v>
      </c>
      <c r="J6" s="95">
        <v>13569.62</v>
      </c>
      <c r="K6" s="96">
        <v>5033.72</v>
      </c>
      <c r="L6" s="94">
        <f t="shared" ref="L6:L69" si="1">SUM(M6:O6)</f>
        <v>47122.45</v>
      </c>
      <c r="M6" s="95">
        <v>20422.93</v>
      </c>
      <c r="N6" s="95">
        <v>7934.68</v>
      </c>
      <c r="O6" s="96">
        <v>18764.84</v>
      </c>
      <c r="P6" s="94">
        <f t="shared" ref="P6:P70" si="2">SUM(Q6:S6)</f>
        <v>41195.03</v>
      </c>
      <c r="Q6" s="95">
        <v>15181.02</v>
      </c>
      <c r="R6" s="95">
        <v>7365.81</v>
      </c>
      <c r="S6" s="96">
        <v>18648.2</v>
      </c>
      <c r="T6" s="94">
        <f t="shared" ref="T6:T69" si="3">SUM(U6:W6)</f>
        <v>17526.32</v>
      </c>
      <c r="U6" s="95">
        <v>12810.7</v>
      </c>
      <c r="V6" s="95">
        <v>3026.89</v>
      </c>
      <c r="W6" s="96">
        <v>1688.73</v>
      </c>
      <c r="X6" s="94">
        <f>SUM(Y6:AA6)</f>
        <v>13569.61</v>
      </c>
      <c r="Y6" s="95">
        <v>9507.01</v>
      </c>
      <c r="Z6" s="95">
        <v>2688.12</v>
      </c>
      <c r="AA6" s="96">
        <v>1374.48</v>
      </c>
    </row>
    <row r="7" spans="1:27" x14ac:dyDescent="0.35">
      <c r="A7" s="50" t="s">
        <v>188</v>
      </c>
      <c r="B7" s="94">
        <f t="shared" si="0"/>
        <v>34629.78</v>
      </c>
      <c r="C7" s="95">
        <v>7619.61</v>
      </c>
      <c r="D7" s="95">
        <v>13808.82</v>
      </c>
      <c r="E7" s="95">
        <v>8748.4599999999991</v>
      </c>
      <c r="F7" s="97">
        <v>4452.8900000000003</v>
      </c>
      <c r="G7" s="94">
        <f t="shared" ref="G7:G70" si="4">SUM(H7:K7)</f>
        <v>39653.86</v>
      </c>
      <c r="H7" s="95">
        <v>8206.8700000000008</v>
      </c>
      <c r="I7" s="95">
        <v>13740.38</v>
      </c>
      <c r="J7" s="95">
        <v>12717.75</v>
      </c>
      <c r="K7" s="97">
        <v>4988.8599999999997</v>
      </c>
      <c r="L7" s="94">
        <f t="shared" si="1"/>
        <v>34629.770000000004</v>
      </c>
      <c r="M7" s="95">
        <v>10733.57</v>
      </c>
      <c r="N7" s="95">
        <v>6701.36</v>
      </c>
      <c r="O7" s="97">
        <v>17194.84</v>
      </c>
      <c r="P7" s="94">
        <f t="shared" si="2"/>
        <v>39653.86</v>
      </c>
      <c r="Q7" s="95">
        <v>14659.28</v>
      </c>
      <c r="R7" s="95">
        <v>7219.45</v>
      </c>
      <c r="S7" s="97">
        <v>17775.13</v>
      </c>
      <c r="T7" s="94">
        <f t="shared" si="3"/>
        <v>8748.4600000000009</v>
      </c>
      <c r="U7" s="95">
        <v>5706.89</v>
      </c>
      <c r="V7" s="95">
        <v>2260.21</v>
      </c>
      <c r="W7" s="97">
        <v>781.36</v>
      </c>
      <c r="X7" s="94">
        <f t="shared" ref="X7:X70" si="5">SUM(Y7:AA7)</f>
        <v>12717.75</v>
      </c>
      <c r="Y7" s="95">
        <v>8984</v>
      </c>
      <c r="Z7" s="95">
        <v>2611.92</v>
      </c>
      <c r="AA7" s="97">
        <v>1121.83</v>
      </c>
    </row>
    <row r="8" spans="1:27" x14ac:dyDescent="0.35">
      <c r="A8" s="50" t="s">
        <v>189</v>
      </c>
      <c r="B8" s="94">
        <f t="shared" si="0"/>
        <v>31022.879999999997</v>
      </c>
      <c r="C8" s="95">
        <v>7179.82</v>
      </c>
      <c r="D8" s="95">
        <v>14371.05</v>
      </c>
      <c r="E8" s="95">
        <v>5793.33</v>
      </c>
      <c r="F8" s="97">
        <v>3678.68</v>
      </c>
      <c r="G8" s="94">
        <f t="shared" si="4"/>
        <v>40260.019999999997</v>
      </c>
      <c r="H8" s="95">
        <v>8531.4</v>
      </c>
      <c r="I8" s="95">
        <v>13756.59</v>
      </c>
      <c r="J8" s="95">
        <v>12787.13</v>
      </c>
      <c r="K8" s="97">
        <v>5184.8999999999996</v>
      </c>
      <c r="L8" s="94">
        <f t="shared" si="1"/>
        <v>31022.880000000001</v>
      </c>
      <c r="M8" s="95">
        <v>6676.1</v>
      </c>
      <c r="N8" s="95">
        <v>6447.03</v>
      </c>
      <c r="O8" s="97">
        <v>17899.75</v>
      </c>
      <c r="P8" s="94">
        <f t="shared" si="2"/>
        <v>40260.03</v>
      </c>
      <c r="Q8" s="95">
        <v>14867.14</v>
      </c>
      <c r="R8" s="95">
        <v>7186.85</v>
      </c>
      <c r="S8" s="97">
        <v>18206.04</v>
      </c>
      <c r="T8" s="94">
        <f t="shared" si="3"/>
        <v>5793.3300000000008</v>
      </c>
      <c r="U8" s="95">
        <v>2815.46</v>
      </c>
      <c r="V8" s="95">
        <v>2097.73</v>
      </c>
      <c r="W8" s="97">
        <v>880.14</v>
      </c>
      <c r="X8" s="94">
        <f t="shared" si="5"/>
        <v>12787.140000000001</v>
      </c>
      <c r="Y8" s="95">
        <v>8745.6200000000008</v>
      </c>
      <c r="Z8" s="95">
        <v>2617.0500000000002</v>
      </c>
      <c r="AA8" s="97">
        <v>1424.47</v>
      </c>
    </row>
    <row r="9" spans="1:27" x14ac:dyDescent="0.35">
      <c r="A9" s="50" t="s">
        <v>190</v>
      </c>
      <c r="B9" s="94">
        <f t="shared" si="0"/>
        <v>43700.770000000004</v>
      </c>
      <c r="C9" s="95">
        <v>9130.25</v>
      </c>
      <c r="D9" s="95">
        <v>13829.16</v>
      </c>
      <c r="E9" s="95">
        <v>15402.17</v>
      </c>
      <c r="F9" s="97">
        <v>5339.19</v>
      </c>
      <c r="G9" s="94">
        <f t="shared" si="4"/>
        <v>40688.070000000007</v>
      </c>
      <c r="H9" s="95">
        <v>8583.69</v>
      </c>
      <c r="I9" s="95">
        <v>14038.36</v>
      </c>
      <c r="J9" s="95">
        <v>13154.5</v>
      </c>
      <c r="K9" s="97">
        <v>4911.5200000000004</v>
      </c>
      <c r="L9" s="94">
        <f t="shared" si="1"/>
        <v>43700.770000000004</v>
      </c>
      <c r="M9" s="95">
        <v>17401.650000000001</v>
      </c>
      <c r="N9" s="95">
        <v>7584.38</v>
      </c>
      <c r="O9" s="97">
        <v>18714.740000000002</v>
      </c>
      <c r="P9" s="94">
        <f t="shared" si="2"/>
        <v>40688.06</v>
      </c>
      <c r="Q9" s="95">
        <v>14991.56</v>
      </c>
      <c r="R9" s="95">
        <v>7160.87</v>
      </c>
      <c r="S9" s="97">
        <v>18535.63</v>
      </c>
      <c r="T9" s="94">
        <f t="shared" si="3"/>
        <v>15402.17</v>
      </c>
      <c r="U9" s="95">
        <v>11029.24</v>
      </c>
      <c r="V9" s="95">
        <v>2934.61</v>
      </c>
      <c r="W9" s="97">
        <v>1438.32</v>
      </c>
      <c r="X9" s="94">
        <f t="shared" si="5"/>
        <v>13154.5</v>
      </c>
      <c r="Y9" s="95">
        <v>9253.3700000000008</v>
      </c>
      <c r="Z9" s="95">
        <v>2668.91</v>
      </c>
      <c r="AA9" s="97">
        <v>1232.22</v>
      </c>
    </row>
    <row r="10" spans="1:27" x14ac:dyDescent="0.35">
      <c r="A10" s="50" t="s">
        <v>191</v>
      </c>
      <c r="B10" s="94">
        <f t="shared" si="0"/>
        <v>47382.879999999997</v>
      </c>
      <c r="C10" s="95">
        <v>9849.1200000000008</v>
      </c>
      <c r="D10" s="95">
        <v>13395.74</v>
      </c>
      <c r="E10" s="95">
        <v>18328.53</v>
      </c>
      <c r="F10" s="97">
        <v>5809.49</v>
      </c>
      <c r="G10" s="94">
        <f t="shared" si="4"/>
        <v>40024.1</v>
      </c>
      <c r="H10" s="95">
        <v>8417.5400000000009</v>
      </c>
      <c r="I10" s="95">
        <v>13882.6</v>
      </c>
      <c r="J10" s="95">
        <v>12981.74</v>
      </c>
      <c r="K10" s="97">
        <v>4742.22</v>
      </c>
      <c r="L10" s="94">
        <f t="shared" si="1"/>
        <v>47382.880000000005</v>
      </c>
      <c r="M10" s="95">
        <v>21188.02</v>
      </c>
      <c r="N10" s="95">
        <v>7845.85</v>
      </c>
      <c r="O10" s="97">
        <v>18349.009999999998</v>
      </c>
      <c r="P10" s="94">
        <f t="shared" si="2"/>
        <v>40024.1</v>
      </c>
      <c r="Q10" s="95">
        <v>14661.05</v>
      </c>
      <c r="R10" s="95">
        <v>7203.78</v>
      </c>
      <c r="S10" s="97">
        <v>18159.27</v>
      </c>
      <c r="T10" s="94">
        <f t="shared" si="3"/>
        <v>18328.53</v>
      </c>
      <c r="U10" s="95">
        <v>13563.15</v>
      </c>
      <c r="V10" s="95">
        <v>3149.72</v>
      </c>
      <c r="W10" s="97">
        <v>1615.66</v>
      </c>
      <c r="X10" s="94">
        <f t="shared" si="5"/>
        <v>12981.740000000002</v>
      </c>
      <c r="Y10" s="95">
        <v>9001.1200000000008</v>
      </c>
      <c r="Z10" s="95">
        <v>2736.02</v>
      </c>
      <c r="AA10" s="97">
        <v>1244.5999999999999</v>
      </c>
    </row>
    <row r="11" spans="1:27" x14ac:dyDescent="0.35">
      <c r="A11" s="50" t="s">
        <v>192</v>
      </c>
      <c r="B11" s="94">
        <f t="shared" si="0"/>
        <v>34931.35</v>
      </c>
      <c r="C11" s="95">
        <v>8002.23</v>
      </c>
      <c r="D11" s="95">
        <v>14189.1</v>
      </c>
      <c r="E11" s="95">
        <v>8410.64</v>
      </c>
      <c r="F11" s="97">
        <v>4329.38</v>
      </c>
      <c r="G11" s="94">
        <f t="shared" si="4"/>
        <v>40851.43</v>
      </c>
      <c r="H11" s="95">
        <v>8611.9599999999991</v>
      </c>
      <c r="I11" s="95">
        <v>14112.98</v>
      </c>
      <c r="J11" s="95">
        <v>13072.02</v>
      </c>
      <c r="K11" s="97">
        <v>5054.47</v>
      </c>
      <c r="L11" s="94">
        <f t="shared" si="1"/>
        <v>34931.339999999997</v>
      </c>
      <c r="M11" s="95">
        <v>10706.51</v>
      </c>
      <c r="N11" s="95">
        <v>6799.74</v>
      </c>
      <c r="O11" s="97">
        <v>17425.09</v>
      </c>
      <c r="P11" s="94">
        <f t="shared" si="2"/>
        <v>40851.43</v>
      </c>
      <c r="Q11" s="95">
        <v>15433.33</v>
      </c>
      <c r="R11" s="95">
        <v>7364.68</v>
      </c>
      <c r="S11" s="97">
        <v>18053.419999999998</v>
      </c>
      <c r="T11" s="94">
        <f t="shared" si="3"/>
        <v>8410.64</v>
      </c>
      <c r="U11" s="95">
        <v>5387.69</v>
      </c>
      <c r="V11" s="95">
        <v>2284.0300000000002</v>
      </c>
      <c r="W11" s="97">
        <v>738.92</v>
      </c>
      <c r="X11" s="94">
        <f t="shared" si="5"/>
        <v>13072.02</v>
      </c>
      <c r="Y11" s="95">
        <v>9246.18</v>
      </c>
      <c r="Z11" s="95">
        <v>2680.91</v>
      </c>
      <c r="AA11" s="97">
        <v>1144.93</v>
      </c>
    </row>
    <row r="12" spans="1:27" x14ac:dyDescent="0.35">
      <c r="A12" s="50" t="s">
        <v>193</v>
      </c>
      <c r="B12" s="94">
        <f t="shared" si="0"/>
        <v>31223.05</v>
      </c>
      <c r="C12" s="95">
        <v>7333.93</v>
      </c>
      <c r="D12" s="95">
        <v>14815.42</v>
      </c>
      <c r="E12" s="95">
        <v>5692.86</v>
      </c>
      <c r="F12" s="97">
        <v>3380.84</v>
      </c>
      <c r="G12" s="94">
        <f t="shared" si="4"/>
        <v>40243</v>
      </c>
      <c r="H12" s="95">
        <v>8682.2900000000009</v>
      </c>
      <c r="I12" s="95">
        <v>14185.93</v>
      </c>
      <c r="J12" s="95">
        <v>12635.76</v>
      </c>
      <c r="K12" s="97">
        <v>4739.0200000000004</v>
      </c>
      <c r="L12" s="94">
        <f t="shared" si="1"/>
        <v>31223.059999999998</v>
      </c>
      <c r="M12" s="95">
        <v>6594.78</v>
      </c>
      <c r="N12" s="95">
        <v>6497.59</v>
      </c>
      <c r="O12" s="97">
        <v>18130.689999999999</v>
      </c>
      <c r="P12" s="94">
        <f t="shared" si="2"/>
        <v>40243</v>
      </c>
      <c r="Q12" s="95">
        <v>14765.92</v>
      </c>
      <c r="R12" s="95">
        <v>7237.38</v>
      </c>
      <c r="S12" s="97">
        <v>18239.7</v>
      </c>
      <c r="T12" s="94">
        <f t="shared" si="3"/>
        <v>5692.8600000000006</v>
      </c>
      <c r="U12" s="95">
        <v>2948.22</v>
      </c>
      <c r="V12" s="95">
        <v>2084.12</v>
      </c>
      <c r="W12" s="97">
        <v>660.52</v>
      </c>
      <c r="X12" s="94">
        <f t="shared" si="5"/>
        <v>12635.77</v>
      </c>
      <c r="Y12" s="95">
        <v>8946.4500000000007</v>
      </c>
      <c r="Z12" s="95">
        <v>2606.0500000000002</v>
      </c>
      <c r="AA12" s="97">
        <v>1083.27</v>
      </c>
    </row>
    <row r="13" spans="1:27" x14ac:dyDescent="0.35">
      <c r="A13" s="50" t="s">
        <v>194</v>
      </c>
      <c r="B13" s="94">
        <f t="shared" si="0"/>
        <v>44608.83</v>
      </c>
      <c r="C13" s="95">
        <v>8888.7099999999991</v>
      </c>
      <c r="D13" s="95">
        <v>13965.49</v>
      </c>
      <c r="E13" s="95">
        <v>15860.62</v>
      </c>
      <c r="F13" s="97">
        <v>5894.01</v>
      </c>
      <c r="G13" s="94">
        <f t="shared" si="4"/>
        <v>40448.579999999994</v>
      </c>
      <c r="H13" s="95">
        <v>8362.2099999999991</v>
      </c>
      <c r="I13" s="95">
        <v>14184.6</v>
      </c>
      <c r="J13" s="95">
        <v>12591.48</v>
      </c>
      <c r="K13" s="97">
        <v>5310.29</v>
      </c>
      <c r="L13" s="94">
        <f t="shared" si="1"/>
        <v>44608.82</v>
      </c>
      <c r="M13" s="95">
        <v>18212.47</v>
      </c>
      <c r="N13" s="95">
        <v>7766.53</v>
      </c>
      <c r="O13" s="97">
        <v>18629.82</v>
      </c>
      <c r="P13" s="94">
        <f t="shared" si="2"/>
        <v>40448.58</v>
      </c>
      <c r="Q13" s="95">
        <v>14776.7</v>
      </c>
      <c r="R13" s="95">
        <v>7275.27</v>
      </c>
      <c r="S13" s="97">
        <v>18396.61</v>
      </c>
      <c r="T13" s="94">
        <f t="shared" si="3"/>
        <v>15860.609999999999</v>
      </c>
      <c r="U13" s="95">
        <v>11332.96</v>
      </c>
      <c r="V13" s="95">
        <v>3058.35</v>
      </c>
      <c r="W13" s="97">
        <v>1469.3</v>
      </c>
      <c r="X13" s="94">
        <f t="shared" si="5"/>
        <v>12591.470000000001</v>
      </c>
      <c r="Y13" s="95">
        <v>8659.25</v>
      </c>
      <c r="Z13" s="95">
        <v>2726.02</v>
      </c>
      <c r="AA13" s="97">
        <v>1206.2</v>
      </c>
    </row>
    <row r="14" spans="1:27" x14ac:dyDescent="0.35">
      <c r="A14" s="50" t="s">
        <v>195</v>
      </c>
      <c r="B14" s="94">
        <f t="shared" si="0"/>
        <v>48568.78</v>
      </c>
      <c r="C14" s="95">
        <v>9747.33</v>
      </c>
      <c r="D14" s="95">
        <v>13770.55</v>
      </c>
      <c r="E14" s="95">
        <v>18356.88</v>
      </c>
      <c r="F14" s="97">
        <v>6694.02</v>
      </c>
      <c r="G14" s="94">
        <f t="shared" si="4"/>
        <v>41069.130000000005</v>
      </c>
      <c r="H14" s="95">
        <v>8338.6299999999992</v>
      </c>
      <c r="I14" s="95">
        <v>14301.1</v>
      </c>
      <c r="J14" s="95">
        <v>12998.04</v>
      </c>
      <c r="K14" s="97">
        <v>5431.36</v>
      </c>
      <c r="L14" s="94">
        <f t="shared" si="1"/>
        <v>48568.770000000004</v>
      </c>
      <c r="M14" s="95">
        <v>21784.95</v>
      </c>
      <c r="N14" s="95">
        <v>8140.07</v>
      </c>
      <c r="O14" s="97">
        <v>18643.75</v>
      </c>
      <c r="P14" s="94">
        <f t="shared" si="2"/>
        <v>41069.130000000005</v>
      </c>
      <c r="Q14" s="95">
        <v>15048.79</v>
      </c>
      <c r="R14" s="95">
        <v>7489.12</v>
      </c>
      <c r="S14" s="97">
        <v>18531.22</v>
      </c>
      <c r="T14" s="94">
        <f t="shared" si="3"/>
        <v>18356.88</v>
      </c>
      <c r="U14" s="95">
        <v>13728.62</v>
      </c>
      <c r="V14" s="95">
        <v>3069.96</v>
      </c>
      <c r="W14" s="97">
        <v>1558.3</v>
      </c>
      <c r="X14" s="94">
        <f t="shared" si="5"/>
        <v>12998.029999999999</v>
      </c>
      <c r="Y14" s="95">
        <v>9120.06</v>
      </c>
      <c r="Z14" s="95">
        <v>2668.25</v>
      </c>
      <c r="AA14" s="97">
        <v>1209.72</v>
      </c>
    </row>
    <row r="15" spans="1:27" x14ac:dyDescent="0.35">
      <c r="A15" s="50" t="s">
        <v>196</v>
      </c>
      <c r="B15" s="94">
        <f t="shared" si="0"/>
        <v>35402.410000000003</v>
      </c>
      <c r="C15" s="95">
        <v>7638.11</v>
      </c>
      <c r="D15" s="95">
        <v>14346.87</v>
      </c>
      <c r="E15" s="95">
        <v>8983.18</v>
      </c>
      <c r="F15" s="97">
        <v>4434.25</v>
      </c>
      <c r="G15" s="94">
        <f t="shared" si="4"/>
        <v>40965.440000000002</v>
      </c>
      <c r="H15" s="95">
        <v>8276.76</v>
      </c>
      <c r="I15" s="95">
        <v>14228.02</v>
      </c>
      <c r="J15" s="95">
        <v>13371.04</v>
      </c>
      <c r="K15" s="97">
        <v>5089.62</v>
      </c>
      <c r="L15" s="94">
        <f t="shared" si="1"/>
        <v>35402.42</v>
      </c>
      <c r="M15" s="95">
        <v>10748.08</v>
      </c>
      <c r="N15" s="95">
        <v>6546.78</v>
      </c>
      <c r="O15" s="97">
        <v>18107.560000000001</v>
      </c>
      <c r="P15" s="94">
        <f t="shared" si="2"/>
        <v>40965.440000000002</v>
      </c>
      <c r="Q15" s="95">
        <v>15203.77</v>
      </c>
      <c r="R15" s="95">
        <v>7096.25</v>
      </c>
      <c r="S15" s="97">
        <v>18665.419999999998</v>
      </c>
      <c r="T15" s="94">
        <f t="shared" si="3"/>
        <v>8983.19</v>
      </c>
      <c r="U15" s="95">
        <v>5749.59</v>
      </c>
      <c r="V15" s="95">
        <v>2387.9299999999998</v>
      </c>
      <c r="W15" s="97">
        <v>845.67</v>
      </c>
      <c r="X15" s="94">
        <f t="shared" si="5"/>
        <v>13371.05</v>
      </c>
      <c r="Y15" s="95">
        <v>9380.9699999999993</v>
      </c>
      <c r="Z15" s="95">
        <v>2764.72</v>
      </c>
      <c r="AA15" s="97">
        <v>1225.3599999999999</v>
      </c>
    </row>
    <row r="16" spans="1:27" x14ac:dyDescent="0.35">
      <c r="A16" s="50" t="s">
        <v>197</v>
      </c>
      <c r="B16" s="94">
        <f t="shared" si="0"/>
        <v>31729.449999999997</v>
      </c>
      <c r="C16" s="95">
        <v>6863.68</v>
      </c>
      <c r="D16" s="95">
        <v>14973.63</v>
      </c>
      <c r="E16" s="95">
        <v>6198.91</v>
      </c>
      <c r="F16" s="97">
        <v>3693.23</v>
      </c>
      <c r="G16" s="94">
        <f t="shared" si="4"/>
        <v>41125.85</v>
      </c>
      <c r="H16" s="95">
        <v>8125.32</v>
      </c>
      <c r="I16" s="95">
        <v>14325.84</v>
      </c>
      <c r="J16" s="95">
        <v>13452.22</v>
      </c>
      <c r="K16" s="97">
        <v>5222.47</v>
      </c>
      <c r="L16" s="94">
        <f t="shared" si="1"/>
        <v>31729.45</v>
      </c>
      <c r="M16" s="95">
        <v>6755.21</v>
      </c>
      <c r="N16" s="95">
        <v>6624.65</v>
      </c>
      <c r="O16" s="97">
        <v>18349.59</v>
      </c>
      <c r="P16" s="94">
        <f t="shared" si="2"/>
        <v>41125.839999999997</v>
      </c>
      <c r="Q16" s="95">
        <v>15314.41</v>
      </c>
      <c r="R16" s="95">
        <v>7392.06</v>
      </c>
      <c r="S16" s="97">
        <v>18419.37</v>
      </c>
      <c r="T16" s="94">
        <f t="shared" si="3"/>
        <v>6198.9100000000008</v>
      </c>
      <c r="U16" s="95">
        <v>3210.78</v>
      </c>
      <c r="V16" s="95">
        <v>2250.7600000000002</v>
      </c>
      <c r="W16" s="97">
        <v>737.37</v>
      </c>
      <c r="X16" s="94">
        <f t="shared" si="5"/>
        <v>13452.21</v>
      </c>
      <c r="Y16" s="95">
        <v>9493.5300000000007</v>
      </c>
      <c r="Z16" s="95">
        <v>2784.22</v>
      </c>
      <c r="AA16" s="97">
        <v>1174.46</v>
      </c>
    </row>
    <row r="17" spans="1:27" x14ac:dyDescent="0.35">
      <c r="A17" s="50" t="s">
        <v>198</v>
      </c>
      <c r="B17" s="94">
        <f t="shared" si="0"/>
        <v>44236.380000000005</v>
      </c>
      <c r="C17" s="95">
        <v>8663.1</v>
      </c>
      <c r="D17" s="95">
        <v>14283.13</v>
      </c>
      <c r="E17" s="95">
        <v>15794.21</v>
      </c>
      <c r="F17" s="97">
        <v>5495.94</v>
      </c>
      <c r="G17" s="94">
        <f t="shared" si="4"/>
        <v>40764.53</v>
      </c>
      <c r="H17" s="95">
        <v>8170.29</v>
      </c>
      <c r="I17" s="95">
        <v>14518.97</v>
      </c>
      <c r="J17" s="95">
        <v>13015.71</v>
      </c>
      <c r="K17" s="97">
        <v>5059.5600000000004</v>
      </c>
      <c r="L17" s="94">
        <f t="shared" si="1"/>
        <v>44236.38</v>
      </c>
      <c r="M17" s="95">
        <v>17791.96</v>
      </c>
      <c r="N17" s="95">
        <v>7832.99</v>
      </c>
      <c r="O17" s="97">
        <v>18611.43</v>
      </c>
      <c r="P17" s="94">
        <f t="shared" si="2"/>
        <v>40764.520000000004</v>
      </c>
      <c r="Q17" s="95">
        <v>14932.03</v>
      </c>
      <c r="R17" s="95">
        <v>7364.5</v>
      </c>
      <c r="S17" s="97">
        <v>18467.990000000002</v>
      </c>
      <c r="T17" s="94">
        <f t="shared" si="3"/>
        <v>15794.21</v>
      </c>
      <c r="U17" s="95">
        <v>11396.43</v>
      </c>
      <c r="V17" s="95">
        <v>2970.73</v>
      </c>
      <c r="W17" s="97">
        <v>1427.05</v>
      </c>
      <c r="X17" s="94">
        <f t="shared" si="5"/>
        <v>13015.71</v>
      </c>
      <c r="Y17" s="95">
        <v>9152.44</v>
      </c>
      <c r="Z17" s="95">
        <v>2660.81</v>
      </c>
      <c r="AA17" s="97">
        <v>1202.46</v>
      </c>
    </row>
    <row r="18" spans="1:27" x14ac:dyDescent="0.35">
      <c r="A18" s="50" t="s">
        <v>199</v>
      </c>
      <c r="B18" s="94">
        <f t="shared" si="0"/>
        <v>47947.87</v>
      </c>
      <c r="C18" s="95">
        <v>9536.1200000000008</v>
      </c>
      <c r="D18" s="95">
        <v>14081.75</v>
      </c>
      <c r="E18" s="95">
        <v>17828.25</v>
      </c>
      <c r="F18" s="97">
        <v>6501.75</v>
      </c>
      <c r="G18" s="94">
        <f t="shared" si="4"/>
        <v>41019.72</v>
      </c>
      <c r="H18" s="95">
        <v>8136.12</v>
      </c>
      <c r="I18" s="95">
        <v>14641.6</v>
      </c>
      <c r="J18" s="95">
        <v>13011.78</v>
      </c>
      <c r="K18" s="97">
        <v>5230.22</v>
      </c>
      <c r="L18" s="94">
        <f t="shared" si="1"/>
        <v>47947.87</v>
      </c>
      <c r="M18" s="95">
        <v>21121.9</v>
      </c>
      <c r="N18" s="95">
        <v>8105.27</v>
      </c>
      <c r="O18" s="97">
        <v>18720.7</v>
      </c>
      <c r="P18" s="94">
        <f t="shared" si="2"/>
        <v>41019.72</v>
      </c>
      <c r="Q18" s="95">
        <v>14866.99</v>
      </c>
      <c r="R18" s="95">
        <v>7479.66</v>
      </c>
      <c r="S18" s="97">
        <v>18673.07</v>
      </c>
      <c r="T18" s="94">
        <f t="shared" si="3"/>
        <v>17828.260000000002</v>
      </c>
      <c r="U18" s="95">
        <v>13318.57</v>
      </c>
      <c r="V18" s="95">
        <v>3108.29</v>
      </c>
      <c r="W18" s="97">
        <v>1401.4</v>
      </c>
      <c r="X18" s="94">
        <f t="shared" si="5"/>
        <v>13011.78</v>
      </c>
      <c r="Y18" s="95">
        <v>9180.19</v>
      </c>
      <c r="Z18" s="95">
        <v>2723.44</v>
      </c>
      <c r="AA18" s="97">
        <v>1108.1500000000001</v>
      </c>
    </row>
    <row r="19" spans="1:27" x14ac:dyDescent="0.35">
      <c r="A19" s="50" t="s">
        <v>200</v>
      </c>
      <c r="B19" s="94">
        <f t="shared" si="0"/>
        <v>36249.79</v>
      </c>
      <c r="C19" s="95">
        <v>7632.98</v>
      </c>
      <c r="D19" s="95">
        <v>14774.59</v>
      </c>
      <c r="E19" s="95">
        <v>9061.48</v>
      </c>
      <c r="F19" s="97">
        <v>4780.74</v>
      </c>
      <c r="G19" s="94">
        <f t="shared" si="4"/>
        <v>40629.03</v>
      </c>
      <c r="H19" s="95">
        <v>8252.9699999999993</v>
      </c>
      <c r="I19" s="95">
        <v>14614.26</v>
      </c>
      <c r="J19" s="95">
        <v>12467.53</v>
      </c>
      <c r="K19" s="97">
        <v>5294.27</v>
      </c>
      <c r="L19" s="94">
        <f t="shared" si="1"/>
        <v>36249.78</v>
      </c>
      <c r="M19" s="95">
        <v>10890.96</v>
      </c>
      <c r="N19" s="95">
        <v>7088.63</v>
      </c>
      <c r="O19" s="97">
        <v>18270.189999999999</v>
      </c>
      <c r="P19" s="94">
        <f t="shared" si="2"/>
        <v>40629.03</v>
      </c>
      <c r="Q19" s="95">
        <v>14432.73</v>
      </c>
      <c r="R19" s="95">
        <v>7617.74</v>
      </c>
      <c r="S19" s="97">
        <v>18578.560000000001</v>
      </c>
      <c r="T19" s="94">
        <f t="shared" si="3"/>
        <v>9061.48</v>
      </c>
      <c r="U19" s="95">
        <v>5861.99</v>
      </c>
      <c r="V19" s="95">
        <v>2402.48</v>
      </c>
      <c r="W19" s="97">
        <v>797.01</v>
      </c>
      <c r="X19" s="94">
        <f t="shared" si="5"/>
        <v>12467.53</v>
      </c>
      <c r="Y19" s="95">
        <v>8677.15</v>
      </c>
      <c r="Z19" s="95">
        <v>2741.96</v>
      </c>
      <c r="AA19" s="97">
        <v>1048.42</v>
      </c>
    </row>
    <row r="20" spans="1:27" x14ac:dyDescent="0.35">
      <c r="A20" s="50" t="s">
        <v>201</v>
      </c>
      <c r="B20" s="94">
        <f t="shared" si="0"/>
        <v>31584.49</v>
      </c>
      <c r="C20" s="95">
        <v>6633.77</v>
      </c>
      <c r="D20" s="95">
        <v>15382.14</v>
      </c>
      <c r="E20" s="95">
        <v>5776.88</v>
      </c>
      <c r="F20" s="97">
        <v>3791.7</v>
      </c>
      <c r="G20" s="94">
        <f t="shared" si="4"/>
        <v>40435.019999999997</v>
      </c>
      <c r="H20" s="95">
        <v>7878.91</v>
      </c>
      <c r="I20" s="95">
        <v>14709.83</v>
      </c>
      <c r="J20" s="95">
        <v>12581.41</v>
      </c>
      <c r="K20" s="97">
        <v>5264.87</v>
      </c>
      <c r="L20" s="94">
        <f t="shared" si="1"/>
        <v>31584.5</v>
      </c>
      <c r="M20" s="95">
        <v>6199.86</v>
      </c>
      <c r="N20" s="95">
        <v>6713.32</v>
      </c>
      <c r="O20" s="97">
        <v>18671.32</v>
      </c>
      <c r="P20" s="94">
        <f t="shared" si="2"/>
        <v>40435.03</v>
      </c>
      <c r="Q20" s="95">
        <v>14194.16</v>
      </c>
      <c r="R20" s="95">
        <v>7487.74</v>
      </c>
      <c r="S20" s="97">
        <v>18753.13</v>
      </c>
      <c r="T20" s="94">
        <f t="shared" si="3"/>
        <v>5776.88</v>
      </c>
      <c r="U20" s="95">
        <v>2858.34</v>
      </c>
      <c r="V20" s="95">
        <v>2219.67</v>
      </c>
      <c r="W20" s="97">
        <v>698.87</v>
      </c>
      <c r="X20" s="94">
        <f t="shared" si="5"/>
        <v>12581.41</v>
      </c>
      <c r="Y20" s="95">
        <v>8704.9699999999993</v>
      </c>
      <c r="Z20" s="95">
        <v>2763.08</v>
      </c>
      <c r="AA20" s="97">
        <v>1113.3599999999999</v>
      </c>
    </row>
    <row r="21" spans="1:27" x14ac:dyDescent="0.35">
      <c r="A21" s="50" t="s">
        <v>202</v>
      </c>
      <c r="B21" s="94">
        <f t="shared" si="0"/>
        <v>43894.5</v>
      </c>
      <c r="C21" s="95">
        <v>8500.56</v>
      </c>
      <c r="D21" s="95">
        <v>14554.69</v>
      </c>
      <c r="E21" s="95">
        <v>15138.98</v>
      </c>
      <c r="F21" s="97">
        <v>5700.27</v>
      </c>
      <c r="G21" s="94">
        <f t="shared" si="4"/>
        <v>40680.269999999997</v>
      </c>
      <c r="H21" s="95">
        <v>8015</v>
      </c>
      <c r="I21" s="95">
        <v>14817.35</v>
      </c>
      <c r="J21" s="95">
        <v>12516.28</v>
      </c>
      <c r="K21" s="97">
        <v>5331.64</v>
      </c>
      <c r="L21" s="94">
        <f t="shared" si="1"/>
        <v>43894.5</v>
      </c>
      <c r="M21" s="95">
        <v>17171.169999999998</v>
      </c>
      <c r="N21" s="95">
        <v>8073.59</v>
      </c>
      <c r="O21" s="97">
        <v>18649.740000000002</v>
      </c>
      <c r="P21" s="94">
        <f t="shared" si="2"/>
        <v>40680.28</v>
      </c>
      <c r="Q21" s="95">
        <v>14518.12</v>
      </c>
      <c r="R21" s="95">
        <v>7578.91</v>
      </c>
      <c r="S21" s="97">
        <v>18583.25</v>
      </c>
      <c r="T21" s="94">
        <f t="shared" si="3"/>
        <v>15138.99</v>
      </c>
      <c r="U21" s="95">
        <v>10796.99</v>
      </c>
      <c r="V21" s="95">
        <v>3078.83</v>
      </c>
      <c r="W21" s="97">
        <v>1263.17</v>
      </c>
      <c r="X21" s="94">
        <f t="shared" si="5"/>
        <v>12516.28</v>
      </c>
      <c r="Y21" s="95">
        <v>8690.68</v>
      </c>
      <c r="Z21" s="95">
        <v>2762.52</v>
      </c>
      <c r="AA21" s="97">
        <v>1063.08</v>
      </c>
    </row>
    <row r="22" spans="1:27" x14ac:dyDescent="0.35">
      <c r="A22" s="50" t="s">
        <v>203</v>
      </c>
      <c r="B22" s="94">
        <f t="shared" si="0"/>
        <v>49432.520000000004</v>
      </c>
      <c r="C22" s="95">
        <v>10546.73</v>
      </c>
      <c r="D22" s="95">
        <v>14113.99</v>
      </c>
      <c r="E22" s="95">
        <v>18144.77</v>
      </c>
      <c r="F22" s="97">
        <v>6627.03</v>
      </c>
      <c r="G22" s="94">
        <f t="shared" si="4"/>
        <v>41003.790000000008</v>
      </c>
      <c r="H22" s="95">
        <v>9044.52</v>
      </c>
      <c r="I22" s="95">
        <v>14693.56</v>
      </c>
      <c r="J22" s="95">
        <v>12046.16</v>
      </c>
      <c r="K22" s="97">
        <v>5219.55</v>
      </c>
      <c r="L22" s="94">
        <f t="shared" si="1"/>
        <v>49432.54</v>
      </c>
      <c r="M22" s="95">
        <v>22010.63</v>
      </c>
      <c r="N22" s="95">
        <v>8298.09</v>
      </c>
      <c r="O22" s="97">
        <v>19123.82</v>
      </c>
      <c r="P22" s="94">
        <f t="shared" si="2"/>
        <v>41003.78</v>
      </c>
      <c r="Q22" s="95">
        <v>14518.68</v>
      </c>
      <c r="R22" s="95">
        <v>7570.68</v>
      </c>
      <c r="S22" s="97">
        <v>18914.419999999998</v>
      </c>
      <c r="T22" s="94">
        <f t="shared" si="3"/>
        <v>18144.78</v>
      </c>
      <c r="U22" s="95">
        <v>13535.38</v>
      </c>
      <c r="V22" s="95">
        <v>3221.62</v>
      </c>
      <c r="W22" s="97">
        <v>1387.78</v>
      </c>
      <c r="X22" s="94">
        <f t="shared" si="5"/>
        <v>12046.16</v>
      </c>
      <c r="Y22" s="95">
        <v>8326.7999999999993</v>
      </c>
      <c r="Z22" s="95">
        <v>2738.59</v>
      </c>
      <c r="AA22" s="97">
        <v>980.77</v>
      </c>
    </row>
    <row r="23" spans="1:27" x14ac:dyDescent="0.35">
      <c r="A23" s="50" t="s">
        <v>204</v>
      </c>
      <c r="B23" s="94">
        <f t="shared" si="0"/>
        <v>35272.97</v>
      </c>
      <c r="C23" s="95">
        <v>6435.64</v>
      </c>
      <c r="D23" s="95">
        <v>15170.31</v>
      </c>
      <c r="E23" s="95">
        <v>9391.9699999999993</v>
      </c>
      <c r="F23" s="97">
        <v>4275.05</v>
      </c>
      <c r="G23" s="94">
        <f t="shared" si="4"/>
        <v>40505.89</v>
      </c>
      <c r="H23" s="95">
        <v>7076.28</v>
      </c>
      <c r="I23" s="95">
        <v>14981.32</v>
      </c>
      <c r="J23" s="95">
        <v>13637.01</v>
      </c>
      <c r="K23" s="97">
        <v>4811.28</v>
      </c>
      <c r="L23" s="94">
        <f t="shared" si="1"/>
        <v>35272.97</v>
      </c>
      <c r="M23" s="95">
        <v>10067.58</v>
      </c>
      <c r="N23" s="95">
        <v>6886.9</v>
      </c>
      <c r="O23" s="97">
        <v>18318.490000000002</v>
      </c>
      <c r="P23" s="94">
        <f t="shared" si="2"/>
        <v>40505.9</v>
      </c>
      <c r="Q23" s="95">
        <v>14407.59</v>
      </c>
      <c r="R23" s="95">
        <v>7434.6</v>
      </c>
      <c r="S23" s="97">
        <v>18663.71</v>
      </c>
      <c r="T23" s="94">
        <f t="shared" si="3"/>
        <v>9391.9700000000012</v>
      </c>
      <c r="U23" s="95">
        <v>6032.77</v>
      </c>
      <c r="V23" s="95">
        <v>2363.6799999999998</v>
      </c>
      <c r="W23" s="97">
        <v>995.52</v>
      </c>
      <c r="X23" s="94">
        <f t="shared" si="5"/>
        <v>13637.009999999998</v>
      </c>
      <c r="Y23" s="95">
        <v>9603.6299999999992</v>
      </c>
      <c r="Z23" s="95">
        <v>2726.04</v>
      </c>
      <c r="AA23" s="97">
        <v>1307.3399999999999</v>
      </c>
    </row>
    <row r="24" spans="1:27" x14ac:dyDescent="0.35">
      <c r="A24" s="50" t="s">
        <v>205</v>
      </c>
      <c r="B24" s="94">
        <f t="shared" si="0"/>
        <v>30929.54</v>
      </c>
      <c r="C24" s="95">
        <v>6516.5</v>
      </c>
      <c r="D24" s="95">
        <v>15611.29</v>
      </c>
      <c r="E24" s="95">
        <v>5199.53</v>
      </c>
      <c r="F24" s="97">
        <v>3602.22</v>
      </c>
      <c r="G24" s="94">
        <f t="shared" si="4"/>
        <v>39179.519999999997</v>
      </c>
      <c r="H24" s="95">
        <v>7765.71</v>
      </c>
      <c r="I24" s="95">
        <v>14926.77</v>
      </c>
      <c r="J24" s="95">
        <v>11466.65</v>
      </c>
      <c r="K24" s="97">
        <v>5020.3900000000003</v>
      </c>
      <c r="L24" s="94">
        <f t="shared" si="1"/>
        <v>30929.54</v>
      </c>
      <c r="M24" s="95">
        <v>5441.57</v>
      </c>
      <c r="N24" s="95">
        <v>6713.63</v>
      </c>
      <c r="O24" s="97">
        <v>18774.34</v>
      </c>
      <c r="P24" s="94">
        <f t="shared" si="2"/>
        <v>39179.53</v>
      </c>
      <c r="Q24" s="95">
        <v>12867.21</v>
      </c>
      <c r="R24" s="95">
        <v>7519.1</v>
      </c>
      <c r="S24" s="97">
        <v>18793.22</v>
      </c>
      <c r="T24" s="94">
        <f t="shared" si="3"/>
        <v>5199.54</v>
      </c>
      <c r="U24" s="95">
        <v>2333.7399999999998</v>
      </c>
      <c r="V24" s="95">
        <v>2149.08</v>
      </c>
      <c r="W24" s="97">
        <v>716.72</v>
      </c>
      <c r="X24" s="94">
        <f t="shared" si="5"/>
        <v>11466.65</v>
      </c>
      <c r="Y24" s="95">
        <v>7624.07</v>
      </c>
      <c r="Z24" s="95">
        <v>2723.33</v>
      </c>
      <c r="AA24" s="97">
        <v>1119.25</v>
      </c>
    </row>
    <row r="25" spans="1:27" x14ac:dyDescent="0.35">
      <c r="A25" s="50" t="s">
        <v>206</v>
      </c>
      <c r="B25" s="94">
        <f t="shared" si="0"/>
        <v>41407.090000000004</v>
      </c>
      <c r="C25" s="95">
        <v>7943.61</v>
      </c>
      <c r="D25" s="95">
        <v>14605.85</v>
      </c>
      <c r="E25" s="95">
        <v>13838.95</v>
      </c>
      <c r="F25" s="97">
        <v>5018.68</v>
      </c>
      <c r="G25" s="94">
        <f t="shared" si="4"/>
        <v>39461.869999999995</v>
      </c>
      <c r="H25" s="95">
        <v>7537.48</v>
      </c>
      <c r="I25" s="95">
        <v>14887.44</v>
      </c>
      <c r="J25" s="95">
        <v>12126.18</v>
      </c>
      <c r="K25" s="97">
        <v>4910.7700000000004</v>
      </c>
      <c r="L25" s="94">
        <f t="shared" si="1"/>
        <v>41407.089999999997</v>
      </c>
      <c r="M25" s="95">
        <v>15113.55</v>
      </c>
      <c r="N25" s="95">
        <v>7786.08</v>
      </c>
      <c r="O25" s="97">
        <v>18507.46</v>
      </c>
      <c r="P25" s="94">
        <f t="shared" si="2"/>
        <v>39461.89</v>
      </c>
      <c r="Q25" s="95">
        <v>13484.52</v>
      </c>
      <c r="R25" s="95">
        <v>7367.71</v>
      </c>
      <c r="S25" s="97">
        <v>18609.66</v>
      </c>
      <c r="T25" s="94">
        <f t="shared" si="3"/>
        <v>13838.949999999999</v>
      </c>
      <c r="U25" s="95">
        <v>9648.41</v>
      </c>
      <c r="V25" s="95">
        <v>2988.3</v>
      </c>
      <c r="W25" s="97">
        <v>1202.24</v>
      </c>
      <c r="X25" s="94">
        <f t="shared" si="5"/>
        <v>12126.18</v>
      </c>
      <c r="Y25" s="95">
        <v>8307.5</v>
      </c>
      <c r="Z25" s="95">
        <v>2742.04</v>
      </c>
      <c r="AA25" s="97">
        <v>1076.6400000000001</v>
      </c>
    </row>
    <row r="26" spans="1:27" x14ac:dyDescent="0.35">
      <c r="A26" s="50" t="s">
        <v>207</v>
      </c>
      <c r="B26" s="94">
        <f t="shared" si="0"/>
        <v>45170.45</v>
      </c>
      <c r="C26" s="95">
        <v>9018.02</v>
      </c>
      <c r="D26" s="95">
        <v>14365.76</v>
      </c>
      <c r="E26" s="95">
        <v>15360.93</v>
      </c>
      <c r="F26" s="97">
        <v>6425.74</v>
      </c>
      <c r="G26" s="94">
        <f t="shared" si="4"/>
        <v>39433.130000000005</v>
      </c>
      <c r="H26" s="95">
        <v>7792.35</v>
      </c>
      <c r="I26" s="95">
        <v>14970.77</v>
      </c>
      <c r="J26" s="95">
        <v>11472.44</v>
      </c>
      <c r="K26" s="97">
        <v>5197.57</v>
      </c>
      <c r="L26" s="94">
        <f t="shared" si="1"/>
        <v>45170.46</v>
      </c>
      <c r="M26" s="95">
        <v>18580.599999999999</v>
      </c>
      <c r="N26" s="95">
        <v>7890.7</v>
      </c>
      <c r="O26" s="97">
        <v>18699.16</v>
      </c>
      <c r="P26" s="94">
        <f t="shared" si="2"/>
        <v>39433.129999999997</v>
      </c>
      <c r="Q26" s="95">
        <v>13307.55</v>
      </c>
      <c r="R26" s="95">
        <v>7315.96</v>
      </c>
      <c r="S26" s="97">
        <v>18809.62</v>
      </c>
      <c r="T26" s="94">
        <f t="shared" si="3"/>
        <v>15360.94</v>
      </c>
      <c r="U26" s="95">
        <v>11028.84</v>
      </c>
      <c r="V26" s="95">
        <v>3028.93</v>
      </c>
      <c r="W26" s="97">
        <v>1303.17</v>
      </c>
      <c r="X26" s="94">
        <f t="shared" si="5"/>
        <v>11472.45</v>
      </c>
      <c r="Y26" s="95">
        <v>7727.75</v>
      </c>
      <c r="Z26" s="95">
        <v>2690.68</v>
      </c>
      <c r="AA26" s="97">
        <v>1054.02</v>
      </c>
    </row>
    <row r="27" spans="1:27" x14ac:dyDescent="0.35">
      <c r="A27" s="50" t="s">
        <v>208</v>
      </c>
      <c r="B27" s="94">
        <f t="shared" si="0"/>
        <v>34093.67</v>
      </c>
      <c r="C27" s="95">
        <v>6847.03</v>
      </c>
      <c r="D27" s="95">
        <v>15354.75</v>
      </c>
      <c r="E27" s="95">
        <v>7751.43</v>
      </c>
      <c r="F27" s="97">
        <v>4140.46</v>
      </c>
      <c r="G27" s="94">
        <f t="shared" si="4"/>
        <v>39926.25</v>
      </c>
      <c r="H27" s="95">
        <v>7475.53</v>
      </c>
      <c r="I27" s="95">
        <v>15154.76</v>
      </c>
      <c r="J27" s="95">
        <v>12404.43</v>
      </c>
      <c r="K27" s="97">
        <v>4891.53</v>
      </c>
      <c r="L27" s="94">
        <f t="shared" si="1"/>
        <v>34093.68</v>
      </c>
      <c r="M27" s="95">
        <v>8571.64</v>
      </c>
      <c r="N27" s="95">
        <v>6807.43</v>
      </c>
      <c r="O27" s="97">
        <v>18714.61</v>
      </c>
      <c r="P27" s="94">
        <f t="shared" si="2"/>
        <v>39926.25</v>
      </c>
      <c r="Q27" s="95">
        <v>13376.33</v>
      </c>
      <c r="R27" s="95">
        <v>7415.9</v>
      </c>
      <c r="S27" s="97">
        <v>19134.02</v>
      </c>
      <c r="T27" s="94">
        <f t="shared" si="3"/>
        <v>7751.43</v>
      </c>
      <c r="U27" s="95">
        <v>4677.8100000000004</v>
      </c>
      <c r="V27" s="95">
        <v>2291.0300000000002</v>
      </c>
      <c r="W27" s="97">
        <v>782.59</v>
      </c>
      <c r="X27" s="94">
        <f t="shared" si="5"/>
        <v>12404.43</v>
      </c>
      <c r="Y27" s="95">
        <v>8565.0300000000007</v>
      </c>
      <c r="Z27" s="95">
        <v>2708.58</v>
      </c>
      <c r="AA27" s="97">
        <v>1130.82</v>
      </c>
    </row>
    <row r="28" spans="1:27" x14ac:dyDescent="0.35">
      <c r="A28" s="50" t="s">
        <v>209</v>
      </c>
      <c r="B28" s="94">
        <f t="shared" si="0"/>
        <v>31909.41</v>
      </c>
      <c r="C28" s="95">
        <v>6418.56</v>
      </c>
      <c r="D28" s="95">
        <v>15605.77</v>
      </c>
      <c r="E28" s="95">
        <v>6296.62</v>
      </c>
      <c r="F28" s="97">
        <v>3588.46</v>
      </c>
      <c r="G28" s="94">
        <f t="shared" si="4"/>
        <v>40114.300000000003</v>
      </c>
      <c r="H28" s="95">
        <v>7543.11</v>
      </c>
      <c r="I28" s="95">
        <v>14917.51</v>
      </c>
      <c r="J28" s="95">
        <v>12831.41</v>
      </c>
      <c r="K28" s="97">
        <v>4822.2700000000004</v>
      </c>
      <c r="L28" s="94">
        <f t="shared" si="1"/>
        <v>31909.42</v>
      </c>
      <c r="M28" s="95">
        <v>6369.18</v>
      </c>
      <c r="N28" s="95">
        <v>6672.65</v>
      </c>
      <c r="O28" s="97">
        <v>18867.59</v>
      </c>
      <c r="P28" s="94">
        <f t="shared" si="2"/>
        <v>40114.31</v>
      </c>
      <c r="Q28" s="95">
        <v>13930.3</v>
      </c>
      <c r="R28" s="95">
        <v>7376.19</v>
      </c>
      <c r="S28" s="97">
        <v>18807.82</v>
      </c>
      <c r="T28" s="94">
        <f t="shared" si="3"/>
        <v>6296.6200000000008</v>
      </c>
      <c r="U28" s="95">
        <v>3396.37</v>
      </c>
      <c r="V28" s="95">
        <v>2191.23</v>
      </c>
      <c r="W28" s="97">
        <v>709.02</v>
      </c>
      <c r="X28" s="94">
        <f t="shared" si="5"/>
        <v>12831.41</v>
      </c>
      <c r="Y28" s="95">
        <v>9042.07</v>
      </c>
      <c r="Z28" s="95">
        <v>2670.33</v>
      </c>
      <c r="AA28" s="97">
        <v>1119.01</v>
      </c>
    </row>
    <row r="29" spans="1:27" x14ac:dyDescent="0.35">
      <c r="A29" s="50" t="s">
        <v>210</v>
      </c>
      <c r="B29" s="94">
        <f t="shared" si="0"/>
        <v>43086.54</v>
      </c>
      <c r="C29" s="95">
        <v>8256.92</v>
      </c>
      <c r="D29" s="95">
        <v>14444.65</v>
      </c>
      <c r="E29" s="95">
        <v>15523.83</v>
      </c>
      <c r="F29" s="97">
        <v>4861.1400000000003</v>
      </c>
      <c r="G29" s="94">
        <f t="shared" si="4"/>
        <v>39339.949999999997</v>
      </c>
      <c r="H29" s="95">
        <v>7711.01</v>
      </c>
      <c r="I29" s="95">
        <v>14717.59</v>
      </c>
      <c r="J29" s="95">
        <v>12286.72</v>
      </c>
      <c r="K29" s="97">
        <v>4624.63</v>
      </c>
      <c r="L29" s="94">
        <f t="shared" si="1"/>
        <v>43086.54</v>
      </c>
      <c r="M29" s="95">
        <v>16439.740000000002</v>
      </c>
      <c r="N29" s="95">
        <v>8006.55</v>
      </c>
      <c r="O29" s="97">
        <v>18640.25</v>
      </c>
      <c r="P29" s="94">
        <f t="shared" si="2"/>
        <v>39339.949999999997</v>
      </c>
      <c r="Q29" s="95">
        <v>13238.82</v>
      </c>
      <c r="R29" s="95">
        <v>7496.58</v>
      </c>
      <c r="S29" s="97">
        <v>18604.55</v>
      </c>
      <c r="T29" s="94">
        <f t="shared" si="3"/>
        <v>15523.83</v>
      </c>
      <c r="U29" s="95">
        <v>11238.34</v>
      </c>
      <c r="V29" s="95">
        <v>3071.51</v>
      </c>
      <c r="W29" s="97">
        <v>1213.98</v>
      </c>
      <c r="X29" s="94">
        <f t="shared" si="5"/>
        <v>12286.72</v>
      </c>
      <c r="Y29" s="95">
        <v>8530.16</v>
      </c>
      <c r="Z29" s="95">
        <v>2738.41</v>
      </c>
      <c r="AA29" s="97">
        <v>1018.15</v>
      </c>
    </row>
    <row r="30" spans="1:27" x14ac:dyDescent="0.35">
      <c r="A30" s="50" t="s">
        <v>211</v>
      </c>
      <c r="B30" s="94">
        <f t="shared" si="0"/>
        <v>46735.72</v>
      </c>
      <c r="C30" s="95">
        <v>9089.31</v>
      </c>
      <c r="D30" s="95">
        <v>14379.26</v>
      </c>
      <c r="E30" s="95">
        <v>16568.88</v>
      </c>
      <c r="F30" s="97">
        <v>6698.27</v>
      </c>
      <c r="G30" s="94">
        <f t="shared" si="4"/>
        <v>39869.14</v>
      </c>
      <c r="H30" s="95">
        <v>7840.75</v>
      </c>
      <c r="I30" s="95">
        <v>14762.73</v>
      </c>
      <c r="J30" s="95">
        <v>11325.72</v>
      </c>
      <c r="K30" s="97">
        <v>5939.94</v>
      </c>
      <c r="L30" s="94">
        <f t="shared" si="1"/>
        <v>46735.72</v>
      </c>
      <c r="M30" s="95">
        <v>19687</v>
      </c>
      <c r="N30" s="95">
        <v>8132.27</v>
      </c>
      <c r="O30" s="97">
        <v>18916.45</v>
      </c>
      <c r="P30" s="94">
        <f t="shared" si="2"/>
        <v>39869.15</v>
      </c>
      <c r="Q30" s="95">
        <v>13483.35</v>
      </c>
      <c r="R30" s="95">
        <v>7479.66</v>
      </c>
      <c r="S30" s="97">
        <v>18906.14</v>
      </c>
      <c r="T30" s="94">
        <f t="shared" si="3"/>
        <v>16568.870000000003</v>
      </c>
      <c r="U30" s="95">
        <v>12264.09</v>
      </c>
      <c r="V30" s="95">
        <v>2982.2</v>
      </c>
      <c r="W30" s="97">
        <v>1322.58</v>
      </c>
      <c r="X30" s="94">
        <f t="shared" si="5"/>
        <v>11325.730000000001</v>
      </c>
      <c r="Y30" s="95">
        <v>7730.93</v>
      </c>
      <c r="Z30" s="95">
        <v>2532.7800000000002</v>
      </c>
      <c r="AA30" s="97">
        <v>1062.02</v>
      </c>
    </row>
    <row r="31" spans="1:27" x14ac:dyDescent="0.35">
      <c r="A31" s="50" t="s">
        <v>212</v>
      </c>
      <c r="B31" s="94">
        <f t="shared" si="0"/>
        <v>34896.460000000006</v>
      </c>
      <c r="C31" s="95">
        <v>7079.4</v>
      </c>
      <c r="D31" s="95">
        <v>14472.71</v>
      </c>
      <c r="E31" s="95">
        <v>8220.3700000000008</v>
      </c>
      <c r="F31" s="97">
        <v>5123.9799999999996</v>
      </c>
      <c r="G31" s="94">
        <f t="shared" si="4"/>
        <v>39554.83</v>
      </c>
      <c r="H31" s="95">
        <v>7766.07</v>
      </c>
      <c r="I31" s="95">
        <v>14486.47</v>
      </c>
      <c r="J31" s="95">
        <v>11460.99</v>
      </c>
      <c r="K31" s="97">
        <v>5841.3</v>
      </c>
      <c r="L31" s="94">
        <f t="shared" si="1"/>
        <v>34896.449999999997</v>
      </c>
      <c r="M31" s="95">
        <v>9753.32</v>
      </c>
      <c r="N31" s="95">
        <v>6888.62</v>
      </c>
      <c r="O31" s="97">
        <v>18254.509999999998</v>
      </c>
      <c r="P31" s="94">
        <f t="shared" si="2"/>
        <v>39554.83</v>
      </c>
      <c r="Q31" s="95">
        <v>13677.47</v>
      </c>
      <c r="R31" s="95">
        <v>7418.15</v>
      </c>
      <c r="S31" s="97">
        <v>18459.21</v>
      </c>
      <c r="T31" s="94">
        <f t="shared" si="3"/>
        <v>8220.369999999999</v>
      </c>
      <c r="U31" s="95">
        <v>5074.3900000000003</v>
      </c>
      <c r="V31" s="95">
        <v>2282.77</v>
      </c>
      <c r="W31" s="97">
        <v>863.21</v>
      </c>
      <c r="X31" s="94">
        <f t="shared" si="5"/>
        <v>11460.99</v>
      </c>
      <c r="Y31" s="95">
        <v>7879.45</v>
      </c>
      <c r="Z31" s="95">
        <v>2624.89</v>
      </c>
      <c r="AA31" s="97">
        <v>956.65</v>
      </c>
    </row>
    <row r="32" spans="1:27" x14ac:dyDescent="0.35">
      <c r="A32" s="50" t="s">
        <v>213</v>
      </c>
      <c r="B32" s="94">
        <f t="shared" si="0"/>
        <v>30457.599999999999</v>
      </c>
      <c r="C32" s="95">
        <v>6347.95</v>
      </c>
      <c r="D32" s="95">
        <v>14851.73</v>
      </c>
      <c r="E32" s="95">
        <v>5641.39</v>
      </c>
      <c r="F32" s="97">
        <v>3616.53</v>
      </c>
      <c r="G32" s="94">
        <f t="shared" si="4"/>
        <v>37557.14</v>
      </c>
      <c r="H32" s="95">
        <v>7355.86</v>
      </c>
      <c r="I32" s="95">
        <v>14348.83</v>
      </c>
      <c r="J32" s="95">
        <v>11301.4</v>
      </c>
      <c r="K32" s="97">
        <v>4551.05</v>
      </c>
      <c r="L32" s="94">
        <f t="shared" si="1"/>
        <v>30457.599999999999</v>
      </c>
      <c r="M32" s="95">
        <v>5807.75</v>
      </c>
      <c r="N32" s="95">
        <v>6635.93</v>
      </c>
      <c r="O32" s="97">
        <v>18013.919999999998</v>
      </c>
      <c r="P32" s="94">
        <f t="shared" si="2"/>
        <v>37557.149999999994</v>
      </c>
      <c r="Q32" s="95">
        <v>12165.3</v>
      </c>
      <c r="R32" s="95">
        <v>7277.57</v>
      </c>
      <c r="S32" s="97">
        <v>18114.28</v>
      </c>
      <c r="T32" s="94">
        <f t="shared" si="3"/>
        <v>5641.39</v>
      </c>
      <c r="U32" s="95">
        <v>2877.63</v>
      </c>
      <c r="V32" s="95">
        <v>2148.79</v>
      </c>
      <c r="W32" s="97">
        <v>614.97</v>
      </c>
      <c r="X32" s="94">
        <f t="shared" si="5"/>
        <v>11301.4</v>
      </c>
      <c r="Y32" s="95">
        <v>7631.06</v>
      </c>
      <c r="Z32" s="95">
        <v>2624.26</v>
      </c>
      <c r="AA32" s="97">
        <v>1046.08</v>
      </c>
    </row>
    <row r="33" spans="1:27" x14ac:dyDescent="0.35">
      <c r="A33" s="50" t="s">
        <v>214</v>
      </c>
      <c r="B33" s="94">
        <f t="shared" si="0"/>
        <v>42149.2</v>
      </c>
      <c r="C33" s="95">
        <v>7702.89</v>
      </c>
      <c r="D33" s="95">
        <v>13689.61</v>
      </c>
      <c r="E33" s="95">
        <v>14922.96</v>
      </c>
      <c r="F33" s="97">
        <v>5833.74</v>
      </c>
      <c r="G33" s="94">
        <f t="shared" si="4"/>
        <v>36734.83</v>
      </c>
      <c r="H33" s="95">
        <v>7198.31</v>
      </c>
      <c r="I33" s="95">
        <v>13724.93</v>
      </c>
      <c r="J33" s="95">
        <v>10939.89</v>
      </c>
      <c r="K33" s="97">
        <v>4871.7</v>
      </c>
      <c r="L33" s="94">
        <f t="shared" si="1"/>
        <v>42149.2</v>
      </c>
      <c r="M33" s="95">
        <v>16254.27</v>
      </c>
      <c r="N33" s="95">
        <v>7734.59</v>
      </c>
      <c r="O33" s="97">
        <v>18160.34</v>
      </c>
      <c r="P33" s="94">
        <f t="shared" si="2"/>
        <v>36734.83</v>
      </c>
      <c r="Q33" s="95">
        <v>11807.88</v>
      </c>
      <c r="R33" s="95">
        <v>7124.58</v>
      </c>
      <c r="S33" s="97">
        <v>17802.37</v>
      </c>
      <c r="T33" s="94">
        <f t="shared" si="3"/>
        <v>14922.95</v>
      </c>
      <c r="U33" s="95">
        <v>10699.95</v>
      </c>
      <c r="V33" s="95">
        <v>2887.18</v>
      </c>
      <c r="W33" s="97">
        <v>1335.82</v>
      </c>
      <c r="X33" s="94">
        <f t="shared" si="5"/>
        <v>10939.89</v>
      </c>
      <c r="Y33" s="95">
        <v>7365.57</v>
      </c>
      <c r="Z33" s="95">
        <v>2504.08</v>
      </c>
      <c r="AA33" s="97">
        <v>1070.24</v>
      </c>
    </row>
    <row r="34" spans="1:27" x14ac:dyDescent="0.35">
      <c r="A34" s="50" t="s">
        <v>215</v>
      </c>
      <c r="B34" s="94">
        <f t="shared" si="0"/>
        <v>44240.52</v>
      </c>
      <c r="C34" s="95">
        <v>6783.7</v>
      </c>
      <c r="D34" s="95">
        <v>13783.21</v>
      </c>
      <c r="E34" s="95">
        <v>17293.04</v>
      </c>
      <c r="F34" s="97">
        <v>6380.57</v>
      </c>
      <c r="G34" s="94">
        <f t="shared" si="4"/>
        <v>36644.49</v>
      </c>
      <c r="H34" s="95">
        <v>5714.21</v>
      </c>
      <c r="I34" s="95">
        <v>14400.88</v>
      </c>
      <c r="J34" s="95">
        <v>11013.16</v>
      </c>
      <c r="K34" s="97">
        <v>5516.24</v>
      </c>
      <c r="L34" s="94">
        <f t="shared" si="1"/>
        <v>44240.509999999995</v>
      </c>
      <c r="M34" s="95">
        <v>18594.11</v>
      </c>
      <c r="N34" s="95">
        <v>7704.42</v>
      </c>
      <c r="O34" s="97">
        <v>17941.98</v>
      </c>
      <c r="P34" s="94">
        <f t="shared" si="2"/>
        <v>36644.49</v>
      </c>
      <c r="Q34" s="95">
        <v>11670.34</v>
      </c>
      <c r="R34" s="95">
        <v>6952.21</v>
      </c>
      <c r="S34" s="97">
        <v>18021.939999999999</v>
      </c>
      <c r="T34" s="94">
        <f t="shared" si="3"/>
        <v>17293.03</v>
      </c>
      <c r="U34" s="95">
        <v>12767.96</v>
      </c>
      <c r="V34" s="95">
        <v>3128.8</v>
      </c>
      <c r="W34" s="97">
        <v>1396.27</v>
      </c>
      <c r="X34" s="94">
        <f t="shared" si="5"/>
        <v>11013.17</v>
      </c>
      <c r="Y34" s="95">
        <v>7387.89</v>
      </c>
      <c r="Z34" s="95">
        <v>2594.7800000000002</v>
      </c>
      <c r="AA34" s="97">
        <v>1030.5</v>
      </c>
    </row>
    <row r="35" spans="1:27" x14ac:dyDescent="0.35">
      <c r="A35" s="50" t="s">
        <v>216</v>
      </c>
      <c r="B35" s="94">
        <f t="shared" si="0"/>
        <v>31614.720000000001</v>
      </c>
      <c r="C35" s="95">
        <v>5035.7700000000004</v>
      </c>
      <c r="D35" s="95">
        <v>14136.45</v>
      </c>
      <c r="E35" s="95">
        <v>7473.37</v>
      </c>
      <c r="F35" s="97">
        <v>4969.13</v>
      </c>
      <c r="G35" s="94">
        <f t="shared" si="4"/>
        <v>36075.729999999996</v>
      </c>
      <c r="H35" s="95">
        <v>5590.93</v>
      </c>
      <c r="I35" s="95">
        <v>14141.92</v>
      </c>
      <c r="J35" s="95">
        <v>10740.89</v>
      </c>
      <c r="K35" s="97">
        <v>5601.99</v>
      </c>
      <c r="L35" s="94">
        <f t="shared" si="1"/>
        <v>31614.730000000003</v>
      </c>
      <c r="M35" s="95">
        <v>7746.06</v>
      </c>
      <c r="N35" s="95">
        <v>6381.09</v>
      </c>
      <c r="O35" s="97">
        <v>17487.580000000002</v>
      </c>
      <c r="P35" s="94">
        <f t="shared" si="2"/>
        <v>36075.729999999996</v>
      </c>
      <c r="Q35" s="95">
        <v>11394.15</v>
      </c>
      <c r="R35" s="95">
        <v>6908.31</v>
      </c>
      <c r="S35" s="97">
        <v>17773.27</v>
      </c>
      <c r="T35" s="94">
        <f t="shared" si="3"/>
        <v>7473.37</v>
      </c>
      <c r="U35" s="95">
        <v>4398.1499999999996</v>
      </c>
      <c r="V35" s="95">
        <v>2177.46</v>
      </c>
      <c r="W35" s="97">
        <v>897.76</v>
      </c>
      <c r="X35" s="94">
        <f t="shared" si="5"/>
        <v>10740.89</v>
      </c>
      <c r="Y35" s="95">
        <v>7186.21</v>
      </c>
      <c r="Z35" s="95">
        <v>2533.37</v>
      </c>
      <c r="AA35" s="97">
        <v>1021.31</v>
      </c>
    </row>
    <row r="36" spans="1:27" x14ac:dyDescent="0.35">
      <c r="A36" s="50" t="s">
        <v>217</v>
      </c>
      <c r="B36" s="94">
        <f t="shared" si="0"/>
        <v>28812.190000000002</v>
      </c>
      <c r="C36" s="95">
        <v>4817.71</v>
      </c>
      <c r="D36" s="95">
        <v>14377.08</v>
      </c>
      <c r="E36" s="95">
        <v>5183.1499999999996</v>
      </c>
      <c r="F36" s="97">
        <v>4434.25</v>
      </c>
      <c r="G36" s="94">
        <f t="shared" si="4"/>
        <v>36042.839999999997</v>
      </c>
      <c r="H36" s="95">
        <v>5631.37</v>
      </c>
      <c r="I36" s="95">
        <v>13901.81</v>
      </c>
      <c r="J36" s="95">
        <v>10961.96</v>
      </c>
      <c r="K36" s="97">
        <v>5547.7</v>
      </c>
      <c r="L36" s="94">
        <f t="shared" si="1"/>
        <v>28812.19</v>
      </c>
      <c r="M36" s="95">
        <v>5298.1</v>
      </c>
      <c r="N36" s="95">
        <v>6247.4</v>
      </c>
      <c r="O36" s="97">
        <v>17266.689999999999</v>
      </c>
      <c r="P36" s="94">
        <f t="shared" si="2"/>
        <v>36042.839999999997</v>
      </c>
      <c r="Q36" s="95">
        <v>11738.96</v>
      </c>
      <c r="R36" s="95">
        <v>6879.9</v>
      </c>
      <c r="S36" s="97">
        <v>17423.98</v>
      </c>
      <c r="T36" s="94">
        <f t="shared" si="3"/>
        <v>5183.1499999999996</v>
      </c>
      <c r="U36" s="95">
        <v>2588.67</v>
      </c>
      <c r="V36" s="95">
        <v>2052.64</v>
      </c>
      <c r="W36" s="97">
        <v>541.84</v>
      </c>
      <c r="X36" s="94">
        <f t="shared" si="5"/>
        <v>10961.960000000001</v>
      </c>
      <c r="Y36" s="95">
        <v>7454.03</v>
      </c>
      <c r="Z36" s="95">
        <v>2532.42</v>
      </c>
      <c r="AA36" s="97">
        <v>975.51</v>
      </c>
    </row>
    <row r="37" spans="1:27" x14ac:dyDescent="0.35">
      <c r="A37" s="50" t="s">
        <v>218</v>
      </c>
      <c r="B37" s="94">
        <f t="shared" si="0"/>
        <v>39928.120000000003</v>
      </c>
      <c r="C37" s="95">
        <v>6286.28</v>
      </c>
      <c r="D37" s="95">
        <v>13533.38</v>
      </c>
      <c r="E37" s="95">
        <v>13917.13</v>
      </c>
      <c r="F37" s="97">
        <v>6191.33</v>
      </c>
      <c r="G37" s="94">
        <f t="shared" si="4"/>
        <v>35706.25</v>
      </c>
      <c r="H37" s="95">
        <v>5924.49</v>
      </c>
      <c r="I37" s="95">
        <v>13538.7</v>
      </c>
      <c r="J37" s="95">
        <v>10906.99</v>
      </c>
      <c r="K37" s="97">
        <v>5336.07</v>
      </c>
      <c r="L37" s="94">
        <f t="shared" si="1"/>
        <v>39928.130000000005</v>
      </c>
      <c r="M37" s="95">
        <v>15189.34</v>
      </c>
      <c r="N37" s="95">
        <v>7332.43</v>
      </c>
      <c r="O37" s="97">
        <v>17406.36</v>
      </c>
      <c r="P37" s="94">
        <f t="shared" si="2"/>
        <v>35706.25</v>
      </c>
      <c r="Q37" s="95">
        <v>11759.54</v>
      </c>
      <c r="R37" s="95">
        <v>6858.9</v>
      </c>
      <c r="S37" s="97">
        <v>17087.810000000001</v>
      </c>
      <c r="T37" s="94">
        <f t="shared" si="3"/>
        <v>13917.130000000001</v>
      </c>
      <c r="U37" s="95">
        <v>9927.02</v>
      </c>
      <c r="V37" s="95">
        <v>2833.77</v>
      </c>
      <c r="W37" s="97">
        <v>1156.3399999999999</v>
      </c>
      <c r="X37" s="94">
        <f t="shared" si="5"/>
        <v>10906.99</v>
      </c>
      <c r="Y37" s="95">
        <v>7428.87</v>
      </c>
      <c r="Z37" s="95">
        <v>2508.44</v>
      </c>
      <c r="AA37" s="97">
        <v>969.68</v>
      </c>
    </row>
    <row r="38" spans="1:27" x14ac:dyDescent="0.35">
      <c r="A38" s="50" t="s">
        <v>219</v>
      </c>
      <c r="B38" s="94">
        <f t="shared" si="0"/>
        <v>45430.880000000005</v>
      </c>
      <c r="C38" s="95">
        <v>7086.22</v>
      </c>
      <c r="D38" s="95">
        <v>12921.52</v>
      </c>
      <c r="E38" s="95">
        <v>18700.25</v>
      </c>
      <c r="F38" s="97">
        <v>6722.89</v>
      </c>
      <c r="G38" s="94">
        <f t="shared" si="4"/>
        <v>36011.72</v>
      </c>
      <c r="H38" s="95">
        <v>5840.08</v>
      </c>
      <c r="I38" s="95">
        <v>13843.93</v>
      </c>
      <c r="J38" s="95">
        <v>10786.26</v>
      </c>
      <c r="K38" s="97">
        <v>5541.45</v>
      </c>
      <c r="L38" s="94">
        <f t="shared" si="1"/>
        <v>45430.880000000005</v>
      </c>
      <c r="M38" s="95">
        <v>20193.36</v>
      </c>
      <c r="N38" s="95">
        <v>7842.26</v>
      </c>
      <c r="O38" s="97">
        <v>17395.259999999998</v>
      </c>
      <c r="P38" s="94">
        <f t="shared" si="2"/>
        <v>36011.72</v>
      </c>
      <c r="Q38" s="95">
        <v>11509.95</v>
      </c>
      <c r="R38" s="95">
        <v>6961.9</v>
      </c>
      <c r="S38" s="97">
        <v>17539.87</v>
      </c>
      <c r="T38" s="94">
        <f t="shared" si="3"/>
        <v>18700.250000000004</v>
      </c>
      <c r="U38" s="95">
        <v>14041.94</v>
      </c>
      <c r="V38" s="95">
        <v>3102.57</v>
      </c>
      <c r="W38" s="97">
        <v>1555.74</v>
      </c>
      <c r="X38" s="94">
        <f t="shared" si="5"/>
        <v>10786.250000000002</v>
      </c>
      <c r="Y38" s="95">
        <v>7272.31</v>
      </c>
      <c r="Z38" s="95">
        <v>2490.41</v>
      </c>
      <c r="AA38" s="97">
        <v>1023.53</v>
      </c>
    </row>
    <row r="39" spans="1:27" x14ac:dyDescent="0.35">
      <c r="A39" s="50" t="s">
        <v>220</v>
      </c>
      <c r="B39" s="94">
        <f t="shared" si="0"/>
        <v>32072.83</v>
      </c>
      <c r="C39" s="95">
        <v>5358.72</v>
      </c>
      <c r="D39" s="95">
        <v>13804.93</v>
      </c>
      <c r="E39" s="95">
        <v>7899.05</v>
      </c>
      <c r="F39" s="97">
        <v>5010.13</v>
      </c>
      <c r="G39" s="94">
        <f t="shared" si="4"/>
        <v>35738.21</v>
      </c>
      <c r="H39" s="95">
        <v>5875.21</v>
      </c>
      <c r="I39" s="95">
        <v>13792.27</v>
      </c>
      <c r="J39" s="95">
        <v>10583.74</v>
      </c>
      <c r="K39" s="97">
        <v>5486.99</v>
      </c>
      <c r="L39" s="94">
        <f t="shared" si="1"/>
        <v>32072.83</v>
      </c>
      <c r="M39" s="95">
        <v>8255.7800000000007</v>
      </c>
      <c r="N39" s="95">
        <v>6443.02</v>
      </c>
      <c r="O39" s="97">
        <v>17374.03</v>
      </c>
      <c r="P39" s="94">
        <f t="shared" si="2"/>
        <v>35738.21</v>
      </c>
      <c r="Q39" s="95">
        <v>11280.83</v>
      </c>
      <c r="R39" s="95">
        <v>6929.4</v>
      </c>
      <c r="S39" s="97">
        <v>17527.98</v>
      </c>
      <c r="T39" s="94">
        <f t="shared" si="3"/>
        <v>7899.06</v>
      </c>
      <c r="U39" s="95">
        <v>4748.55</v>
      </c>
      <c r="V39" s="95">
        <v>2156.08</v>
      </c>
      <c r="W39" s="97">
        <v>994.43</v>
      </c>
      <c r="X39" s="94">
        <f t="shared" si="5"/>
        <v>10583.74</v>
      </c>
      <c r="Y39" s="95">
        <v>7045.45</v>
      </c>
      <c r="Z39" s="95">
        <v>2467.37</v>
      </c>
      <c r="AA39" s="97">
        <v>1070.92</v>
      </c>
    </row>
    <row r="40" spans="1:27" x14ac:dyDescent="0.35">
      <c r="A40" s="50" t="s">
        <v>221</v>
      </c>
      <c r="B40" s="94">
        <f t="shared" si="0"/>
        <v>29239.399999999998</v>
      </c>
      <c r="C40" s="95">
        <v>5049.9799999999996</v>
      </c>
      <c r="D40" s="95">
        <v>14525.44</v>
      </c>
      <c r="E40" s="95">
        <v>5239.17</v>
      </c>
      <c r="F40" s="97">
        <v>4424.8100000000004</v>
      </c>
      <c r="G40" s="94">
        <f t="shared" si="4"/>
        <v>36117.15</v>
      </c>
      <c r="H40" s="95">
        <v>5860.27</v>
      </c>
      <c r="I40" s="95">
        <v>14085.49</v>
      </c>
      <c r="J40" s="95">
        <v>10707.91</v>
      </c>
      <c r="K40" s="97">
        <v>5463.48</v>
      </c>
      <c r="L40" s="94">
        <f t="shared" si="1"/>
        <v>29239.4</v>
      </c>
      <c r="M40" s="95">
        <v>5323.09</v>
      </c>
      <c r="N40" s="95">
        <v>6273.63</v>
      </c>
      <c r="O40" s="97">
        <v>17642.68</v>
      </c>
      <c r="P40" s="94">
        <f t="shared" si="2"/>
        <v>36117.149999999994</v>
      </c>
      <c r="Q40" s="95">
        <v>11428.07</v>
      </c>
      <c r="R40" s="95">
        <v>6878.48</v>
      </c>
      <c r="S40" s="97">
        <v>17810.599999999999</v>
      </c>
      <c r="T40" s="94">
        <f t="shared" si="3"/>
        <v>5239.17</v>
      </c>
      <c r="U40" s="95">
        <v>2624.2</v>
      </c>
      <c r="V40" s="95">
        <v>1996.16</v>
      </c>
      <c r="W40" s="97">
        <v>618.80999999999995</v>
      </c>
      <c r="X40" s="94">
        <f t="shared" si="5"/>
        <v>10707.9</v>
      </c>
      <c r="Y40" s="95">
        <v>7205.52</v>
      </c>
      <c r="Z40" s="95">
        <v>2452.89</v>
      </c>
      <c r="AA40" s="97">
        <v>1049.49</v>
      </c>
    </row>
    <row r="41" spans="1:27" x14ac:dyDescent="0.35">
      <c r="A41" s="50" t="s">
        <v>222</v>
      </c>
      <c r="B41" s="94">
        <f t="shared" si="0"/>
        <v>44081.57</v>
      </c>
      <c r="C41" s="95">
        <v>6431.72</v>
      </c>
      <c r="D41" s="95">
        <v>14081.1</v>
      </c>
      <c r="E41" s="95">
        <v>16500.14</v>
      </c>
      <c r="F41" s="97">
        <v>7068.61</v>
      </c>
      <c r="G41" s="94">
        <f t="shared" si="4"/>
        <v>36183.65</v>
      </c>
      <c r="H41" s="95">
        <v>5799.43</v>
      </c>
      <c r="I41" s="95">
        <v>14032.05</v>
      </c>
      <c r="J41" s="95">
        <v>10777.09</v>
      </c>
      <c r="K41" s="97">
        <v>5575.08</v>
      </c>
      <c r="L41" s="94">
        <f t="shared" si="1"/>
        <v>44081.560000000005</v>
      </c>
      <c r="M41" s="95">
        <v>17858.22</v>
      </c>
      <c r="N41" s="95">
        <v>7716.01</v>
      </c>
      <c r="O41" s="97">
        <v>18507.330000000002</v>
      </c>
      <c r="P41" s="94">
        <f t="shared" si="2"/>
        <v>36183.660000000003</v>
      </c>
      <c r="Q41" s="95">
        <v>11499.16</v>
      </c>
      <c r="R41" s="95">
        <v>6896.95</v>
      </c>
      <c r="S41" s="97">
        <v>17787.55</v>
      </c>
      <c r="T41" s="94">
        <f t="shared" si="3"/>
        <v>16500.13</v>
      </c>
      <c r="U41" s="95">
        <v>12084.49</v>
      </c>
      <c r="V41" s="95">
        <v>2962.9</v>
      </c>
      <c r="W41" s="97">
        <v>1452.74</v>
      </c>
      <c r="X41" s="94">
        <f t="shared" si="5"/>
        <v>10777.09</v>
      </c>
      <c r="Y41" s="95">
        <v>7245.71</v>
      </c>
      <c r="Z41" s="95">
        <v>2490.33</v>
      </c>
      <c r="AA41" s="97">
        <v>1041.05</v>
      </c>
    </row>
    <row r="42" spans="1:27" x14ac:dyDescent="0.35">
      <c r="A42" s="50" t="s">
        <v>223</v>
      </c>
      <c r="B42" s="94">
        <f t="shared" si="0"/>
        <v>42303.780000000006</v>
      </c>
      <c r="C42" s="95">
        <v>6975.99</v>
      </c>
      <c r="D42" s="95">
        <v>13013.69</v>
      </c>
      <c r="E42" s="95">
        <v>16134.34</v>
      </c>
      <c r="F42" s="97">
        <v>6179.76</v>
      </c>
      <c r="G42" s="94">
        <f t="shared" si="4"/>
        <v>35830.329999999994</v>
      </c>
      <c r="H42" s="95">
        <v>5935.58</v>
      </c>
      <c r="I42" s="95">
        <v>13569.7</v>
      </c>
      <c r="J42" s="95">
        <v>10839.88</v>
      </c>
      <c r="K42" s="97">
        <v>5485.17</v>
      </c>
      <c r="L42" s="94">
        <f t="shared" si="1"/>
        <v>42303.770000000004</v>
      </c>
      <c r="M42" s="95">
        <v>17645.009999999998</v>
      </c>
      <c r="N42" s="95">
        <v>7585.02</v>
      </c>
      <c r="O42" s="97">
        <v>17073.740000000002</v>
      </c>
      <c r="P42" s="94">
        <f t="shared" si="2"/>
        <v>35830.339999999997</v>
      </c>
      <c r="Q42" s="95">
        <v>11630.62</v>
      </c>
      <c r="R42" s="95">
        <v>6955.95</v>
      </c>
      <c r="S42" s="97">
        <v>17243.77</v>
      </c>
      <c r="T42" s="94">
        <f t="shared" si="3"/>
        <v>16134.34</v>
      </c>
      <c r="U42" s="95">
        <v>11862.94</v>
      </c>
      <c r="V42" s="95">
        <v>2930.77</v>
      </c>
      <c r="W42" s="97">
        <v>1340.63</v>
      </c>
      <c r="X42" s="94">
        <f t="shared" si="5"/>
        <v>10839.880000000001</v>
      </c>
      <c r="Y42" s="95">
        <v>7297.74</v>
      </c>
      <c r="Z42" s="95">
        <v>2486.86</v>
      </c>
      <c r="AA42" s="97">
        <v>1055.28</v>
      </c>
    </row>
    <row r="43" spans="1:27" x14ac:dyDescent="0.35">
      <c r="A43" s="50" t="s">
        <v>224</v>
      </c>
      <c r="B43" s="94">
        <f t="shared" si="0"/>
        <v>30427.03</v>
      </c>
      <c r="C43" s="95">
        <v>5182.4799999999996</v>
      </c>
      <c r="D43" s="95">
        <v>13782.17</v>
      </c>
      <c r="E43" s="95">
        <v>6768.19</v>
      </c>
      <c r="F43" s="97">
        <v>4694.1899999999996</v>
      </c>
      <c r="G43" s="94">
        <f t="shared" si="4"/>
        <v>35562.57</v>
      </c>
      <c r="H43" s="95">
        <v>5845.09</v>
      </c>
      <c r="I43" s="95">
        <v>13746.37</v>
      </c>
      <c r="J43" s="95">
        <v>10509.69</v>
      </c>
      <c r="K43" s="97">
        <v>5461.42</v>
      </c>
      <c r="L43" s="94">
        <f t="shared" si="1"/>
        <v>30427.03</v>
      </c>
      <c r="M43" s="95">
        <v>7065.15</v>
      </c>
      <c r="N43" s="95">
        <v>6325.25</v>
      </c>
      <c r="O43" s="97">
        <v>17036.63</v>
      </c>
      <c r="P43" s="94">
        <f t="shared" si="2"/>
        <v>35562.559999999998</v>
      </c>
      <c r="Q43" s="95">
        <v>11275.5</v>
      </c>
      <c r="R43" s="95">
        <v>6876.57</v>
      </c>
      <c r="S43" s="97">
        <v>17410.490000000002</v>
      </c>
      <c r="T43" s="94">
        <f t="shared" si="3"/>
        <v>6768.1999999999989</v>
      </c>
      <c r="U43" s="95">
        <v>3875.12</v>
      </c>
      <c r="V43" s="95">
        <v>2059.85</v>
      </c>
      <c r="W43" s="97">
        <v>833.23</v>
      </c>
      <c r="X43" s="94">
        <f t="shared" si="5"/>
        <v>10509.7</v>
      </c>
      <c r="Y43" s="95">
        <v>7053.41</v>
      </c>
      <c r="Z43" s="95">
        <v>2434.85</v>
      </c>
      <c r="AA43" s="97">
        <v>1021.44</v>
      </c>
    </row>
    <row r="44" spans="1:27" x14ac:dyDescent="0.35">
      <c r="A44" s="50" t="s">
        <v>225</v>
      </c>
      <c r="B44" s="94">
        <f t="shared" si="0"/>
        <v>28565.03</v>
      </c>
      <c r="C44" s="95">
        <v>4922.76</v>
      </c>
      <c r="D44" s="95">
        <v>13995.22</v>
      </c>
      <c r="E44" s="95">
        <v>5148.51</v>
      </c>
      <c r="F44" s="97">
        <v>4498.54</v>
      </c>
      <c r="G44" s="94">
        <f t="shared" si="4"/>
        <v>35538.36</v>
      </c>
      <c r="H44" s="95">
        <v>5730.7</v>
      </c>
      <c r="I44" s="95">
        <v>13590.75</v>
      </c>
      <c r="J44" s="95">
        <v>10676.54</v>
      </c>
      <c r="K44" s="97">
        <v>5540.37</v>
      </c>
      <c r="L44" s="94">
        <f t="shared" si="1"/>
        <v>28565.02</v>
      </c>
      <c r="M44" s="95">
        <v>5248.6</v>
      </c>
      <c r="N44" s="95">
        <v>6258.58</v>
      </c>
      <c r="O44" s="97">
        <v>17057.84</v>
      </c>
      <c r="P44" s="94">
        <f t="shared" si="2"/>
        <v>35538.36</v>
      </c>
      <c r="Q44" s="95">
        <v>11430.67</v>
      </c>
      <c r="R44" s="95">
        <v>6855.27</v>
      </c>
      <c r="S44" s="97">
        <v>17252.419999999998</v>
      </c>
      <c r="T44" s="94">
        <f t="shared" si="3"/>
        <v>5148.51</v>
      </c>
      <c r="U44" s="95">
        <v>2564.52</v>
      </c>
      <c r="V44" s="95">
        <v>1967.42</v>
      </c>
      <c r="W44" s="97">
        <v>616.57000000000005</v>
      </c>
      <c r="X44" s="94">
        <f t="shared" si="5"/>
        <v>10676.529999999999</v>
      </c>
      <c r="Y44" s="95">
        <v>7206.16</v>
      </c>
      <c r="Z44" s="95">
        <v>2421</v>
      </c>
      <c r="AA44" s="97">
        <v>1049.3699999999999</v>
      </c>
    </row>
    <row r="45" spans="1:27" x14ac:dyDescent="0.35">
      <c r="A45" s="50" t="s">
        <v>226</v>
      </c>
      <c r="B45" s="94">
        <f t="shared" si="0"/>
        <v>37807.08</v>
      </c>
      <c r="C45" s="95">
        <v>5948.96</v>
      </c>
      <c r="D45" s="95">
        <v>13866.72</v>
      </c>
      <c r="E45" s="95">
        <v>12049.5</v>
      </c>
      <c r="F45" s="97">
        <v>5941.9</v>
      </c>
      <c r="G45" s="94">
        <f t="shared" si="4"/>
        <v>35535.35</v>
      </c>
      <c r="H45" s="95">
        <v>5768.63</v>
      </c>
      <c r="I45" s="95">
        <v>13749.78</v>
      </c>
      <c r="J45" s="95">
        <v>10530.89</v>
      </c>
      <c r="K45" s="97">
        <v>5486.05</v>
      </c>
      <c r="L45" s="94">
        <f t="shared" si="1"/>
        <v>37807.08</v>
      </c>
      <c r="M45" s="95">
        <v>12948.51</v>
      </c>
      <c r="N45" s="95">
        <v>7163.25</v>
      </c>
      <c r="O45" s="97">
        <v>17695.32</v>
      </c>
      <c r="P45" s="94">
        <f t="shared" si="2"/>
        <v>35535.339999999997</v>
      </c>
      <c r="Q45" s="95">
        <v>11240.21</v>
      </c>
      <c r="R45" s="95">
        <v>6893.81</v>
      </c>
      <c r="S45" s="97">
        <v>17401.32</v>
      </c>
      <c r="T45" s="94">
        <f t="shared" si="3"/>
        <v>12049.490000000002</v>
      </c>
      <c r="U45" s="95">
        <v>8252.9500000000007</v>
      </c>
      <c r="V45" s="95">
        <v>2636.67</v>
      </c>
      <c r="W45" s="97">
        <v>1159.8699999999999</v>
      </c>
      <c r="X45" s="94">
        <f t="shared" si="5"/>
        <v>10530.89</v>
      </c>
      <c r="Y45" s="95">
        <v>7074.69</v>
      </c>
      <c r="Z45" s="95">
        <v>2399.29</v>
      </c>
      <c r="AA45" s="97">
        <v>1056.9100000000001</v>
      </c>
    </row>
    <row r="46" spans="1:27" x14ac:dyDescent="0.35">
      <c r="A46" s="50" t="s">
        <v>227</v>
      </c>
      <c r="B46" s="94">
        <f t="shared" si="0"/>
        <v>41084.89</v>
      </c>
      <c r="C46" s="95">
        <v>6450.11</v>
      </c>
      <c r="D46" s="95">
        <v>13327.72</v>
      </c>
      <c r="E46" s="95">
        <v>15258.65</v>
      </c>
      <c r="F46" s="97">
        <v>6048.41</v>
      </c>
      <c r="G46" s="94">
        <f t="shared" si="4"/>
        <v>35496.51</v>
      </c>
      <c r="H46" s="95">
        <v>5562.2</v>
      </c>
      <c r="I46" s="95">
        <v>13860.92</v>
      </c>
      <c r="J46" s="95">
        <v>10636.63</v>
      </c>
      <c r="K46" s="97">
        <v>5436.76</v>
      </c>
      <c r="L46" s="94">
        <f t="shared" si="1"/>
        <v>41084.89</v>
      </c>
      <c r="M46" s="95">
        <v>16629.84</v>
      </c>
      <c r="N46" s="95">
        <v>7403.53</v>
      </c>
      <c r="O46" s="97">
        <v>17051.52</v>
      </c>
      <c r="P46" s="94">
        <f t="shared" si="2"/>
        <v>35496.5</v>
      </c>
      <c r="Q46" s="95">
        <v>11328.5</v>
      </c>
      <c r="R46" s="95">
        <v>6850.6</v>
      </c>
      <c r="S46" s="97">
        <v>17317.400000000001</v>
      </c>
      <c r="T46" s="94">
        <f t="shared" si="3"/>
        <v>15258.65</v>
      </c>
      <c r="U46" s="95">
        <v>11169.82</v>
      </c>
      <c r="V46" s="95">
        <v>2881.02</v>
      </c>
      <c r="W46" s="97">
        <v>1207.81</v>
      </c>
      <c r="X46" s="94">
        <f t="shared" si="5"/>
        <v>10636.62</v>
      </c>
      <c r="Y46" s="95">
        <v>7148.43</v>
      </c>
      <c r="Z46" s="95">
        <v>2487.27</v>
      </c>
      <c r="AA46" s="97">
        <v>1000.92</v>
      </c>
    </row>
    <row r="47" spans="1:27" x14ac:dyDescent="0.35">
      <c r="A47" s="50" t="s">
        <v>228</v>
      </c>
      <c r="B47" s="94">
        <f t="shared" si="0"/>
        <v>32471.530000000002</v>
      </c>
      <c r="C47" s="95">
        <v>5216.4799999999996</v>
      </c>
      <c r="D47" s="95">
        <v>13103.99</v>
      </c>
      <c r="E47" s="95">
        <v>8740.51</v>
      </c>
      <c r="F47" s="97">
        <v>5410.55</v>
      </c>
      <c r="G47" s="94">
        <f t="shared" si="4"/>
        <v>34995.49</v>
      </c>
      <c r="H47" s="95">
        <v>5695.13</v>
      </c>
      <c r="I47" s="95">
        <v>13015.89</v>
      </c>
      <c r="J47" s="95">
        <v>10614.82</v>
      </c>
      <c r="K47" s="97">
        <v>5669.65</v>
      </c>
      <c r="L47" s="94">
        <f t="shared" si="1"/>
        <v>32471.520000000004</v>
      </c>
      <c r="M47" s="95">
        <v>9464.6200000000008</v>
      </c>
      <c r="N47" s="95">
        <v>6405.41</v>
      </c>
      <c r="O47" s="97">
        <v>16601.490000000002</v>
      </c>
      <c r="P47" s="94">
        <f t="shared" si="2"/>
        <v>34995.479999999996</v>
      </c>
      <c r="Q47" s="95">
        <v>11626.56</v>
      </c>
      <c r="R47" s="95">
        <v>6832.42</v>
      </c>
      <c r="S47" s="97">
        <v>16536.5</v>
      </c>
      <c r="T47" s="94">
        <f t="shared" si="3"/>
        <v>8740.51</v>
      </c>
      <c r="U47" s="95">
        <v>5622.74</v>
      </c>
      <c r="V47" s="95">
        <v>2163.09</v>
      </c>
      <c r="W47" s="97">
        <v>954.68</v>
      </c>
      <c r="X47" s="94">
        <f t="shared" si="5"/>
        <v>10614.82</v>
      </c>
      <c r="Y47" s="95">
        <v>7225.49</v>
      </c>
      <c r="Z47" s="95">
        <v>2413.7399999999998</v>
      </c>
      <c r="AA47" s="97">
        <v>975.59</v>
      </c>
    </row>
    <row r="48" spans="1:27" x14ac:dyDescent="0.35">
      <c r="A48" s="50" t="s">
        <v>229</v>
      </c>
      <c r="B48" s="94">
        <f t="shared" si="0"/>
        <v>28732.879999999997</v>
      </c>
      <c r="C48" s="95">
        <v>4663.54</v>
      </c>
      <c r="D48" s="95">
        <v>13882.33</v>
      </c>
      <c r="E48" s="95">
        <v>5457.01</v>
      </c>
      <c r="F48" s="97">
        <v>4730</v>
      </c>
      <c r="G48" s="94">
        <f t="shared" si="4"/>
        <v>35032.39</v>
      </c>
      <c r="H48" s="95">
        <v>5389.83</v>
      </c>
      <c r="I48" s="95">
        <v>13496.97</v>
      </c>
      <c r="J48" s="95">
        <v>10474.65</v>
      </c>
      <c r="K48" s="97">
        <v>5670.94</v>
      </c>
      <c r="L48" s="94">
        <f t="shared" si="1"/>
        <v>28732.870000000003</v>
      </c>
      <c r="M48" s="95">
        <v>5493.39</v>
      </c>
      <c r="N48" s="95">
        <v>6221.78</v>
      </c>
      <c r="O48" s="97">
        <v>17017.7</v>
      </c>
      <c r="P48" s="94">
        <f t="shared" si="2"/>
        <v>35032.380000000005</v>
      </c>
      <c r="Q48" s="95">
        <v>11165.31</v>
      </c>
      <c r="R48" s="95">
        <v>6798.09</v>
      </c>
      <c r="S48" s="97">
        <v>17068.98</v>
      </c>
      <c r="T48" s="94">
        <f t="shared" si="3"/>
        <v>5457</v>
      </c>
      <c r="U48" s="95">
        <v>2812.51</v>
      </c>
      <c r="V48" s="95">
        <v>1991.72</v>
      </c>
      <c r="W48" s="97">
        <v>652.77</v>
      </c>
      <c r="X48" s="94">
        <f t="shared" si="5"/>
        <v>10474.64</v>
      </c>
      <c r="Y48" s="95">
        <v>7058.33</v>
      </c>
      <c r="Z48" s="95">
        <v>2432.6</v>
      </c>
      <c r="AA48" s="97">
        <v>983.71</v>
      </c>
    </row>
    <row r="49" spans="1:27" x14ac:dyDescent="0.35">
      <c r="A49" s="50" t="s">
        <v>230</v>
      </c>
      <c r="B49" s="94">
        <f t="shared" si="0"/>
        <v>40348.740000000005</v>
      </c>
      <c r="C49" s="95">
        <v>6086.65</v>
      </c>
      <c r="D49" s="95">
        <v>13775.04</v>
      </c>
      <c r="E49" s="95">
        <v>13955.47</v>
      </c>
      <c r="F49" s="97">
        <v>6531.58</v>
      </c>
      <c r="G49" s="94">
        <f t="shared" si="4"/>
        <v>35198.85</v>
      </c>
      <c r="H49" s="95">
        <v>5650.85</v>
      </c>
      <c r="I49" s="95">
        <v>13613.44</v>
      </c>
      <c r="J49" s="95">
        <v>10386.91</v>
      </c>
      <c r="K49" s="97">
        <v>5547.65</v>
      </c>
      <c r="L49" s="94">
        <f t="shared" si="1"/>
        <v>40348.75</v>
      </c>
      <c r="M49" s="95">
        <v>15265.26</v>
      </c>
      <c r="N49" s="95">
        <v>7335.7</v>
      </c>
      <c r="O49" s="97">
        <v>17747.79</v>
      </c>
      <c r="P49" s="94">
        <f t="shared" si="2"/>
        <v>35198.839999999997</v>
      </c>
      <c r="Q49" s="95">
        <v>11260.62</v>
      </c>
      <c r="R49" s="95">
        <v>6769.11</v>
      </c>
      <c r="S49" s="97">
        <v>17169.11</v>
      </c>
      <c r="T49" s="94">
        <f t="shared" si="3"/>
        <v>13955.470000000001</v>
      </c>
      <c r="U49" s="95">
        <v>9903.11</v>
      </c>
      <c r="V49" s="95">
        <v>2823.38</v>
      </c>
      <c r="W49" s="97">
        <v>1228.98</v>
      </c>
      <c r="X49" s="94">
        <f t="shared" si="5"/>
        <v>10386.91</v>
      </c>
      <c r="Y49" s="95">
        <v>6950.75</v>
      </c>
      <c r="Z49" s="95">
        <v>2458.39</v>
      </c>
      <c r="AA49" s="97">
        <v>977.77</v>
      </c>
    </row>
    <row r="50" spans="1:27" x14ac:dyDescent="0.35">
      <c r="A50" s="50" t="s">
        <v>231</v>
      </c>
      <c r="B50" s="94">
        <f t="shared" si="0"/>
        <v>43832.290000000008</v>
      </c>
      <c r="C50" s="95">
        <v>6752.18</v>
      </c>
      <c r="D50" s="95">
        <v>12337.05</v>
      </c>
      <c r="E50" s="95">
        <v>17695.04</v>
      </c>
      <c r="F50" s="97">
        <v>7048.02</v>
      </c>
      <c r="G50" s="94">
        <f t="shared" si="4"/>
        <v>34939.64</v>
      </c>
      <c r="H50" s="95">
        <v>5579.24</v>
      </c>
      <c r="I50" s="95">
        <v>13407.59</v>
      </c>
      <c r="J50" s="95">
        <v>10205.15</v>
      </c>
      <c r="K50" s="97">
        <v>5747.66</v>
      </c>
      <c r="L50" s="94">
        <f t="shared" si="1"/>
        <v>43832.29</v>
      </c>
      <c r="M50" s="95">
        <v>19587</v>
      </c>
      <c r="N50" s="95">
        <v>7538.81</v>
      </c>
      <c r="O50" s="97">
        <v>16706.48</v>
      </c>
      <c r="P50" s="94">
        <f t="shared" si="2"/>
        <v>34939.64</v>
      </c>
      <c r="Q50" s="95">
        <v>11149.89</v>
      </c>
      <c r="R50" s="95">
        <v>6732.47</v>
      </c>
      <c r="S50" s="97">
        <v>17057.28</v>
      </c>
      <c r="T50" s="94">
        <f t="shared" si="3"/>
        <v>17695.03</v>
      </c>
      <c r="U50" s="95">
        <v>13280.48</v>
      </c>
      <c r="V50" s="95">
        <v>2949.46</v>
      </c>
      <c r="W50" s="97">
        <v>1465.09</v>
      </c>
      <c r="X50" s="94">
        <f t="shared" si="5"/>
        <v>10205.15</v>
      </c>
      <c r="Y50" s="95">
        <v>6853.48</v>
      </c>
      <c r="Z50" s="95">
        <v>2383.44</v>
      </c>
      <c r="AA50" s="97">
        <v>968.23</v>
      </c>
    </row>
    <row r="51" spans="1:27" x14ac:dyDescent="0.35">
      <c r="A51" s="50" t="s">
        <v>232</v>
      </c>
      <c r="B51" s="94">
        <f t="shared" si="0"/>
        <v>33208.870000000003</v>
      </c>
      <c r="C51" s="95">
        <v>5249.68</v>
      </c>
      <c r="D51" s="95">
        <v>13885.08</v>
      </c>
      <c r="E51" s="95">
        <v>8644.85</v>
      </c>
      <c r="F51" s="97">
        <v>5429.26</v>
      </c>
      <c r="G51" s="94">
        <f t="shared" si="4"/>
        <v>35423.820000000007</v>
      </c>
      <c r="H51" s="95">
        <v>5700.16</v>
      </c>
      <c r="I51" s="95">
        <v>13769.49</v>
      </c>
      <c r="J51" s="95">
        <v>10267.51</v>
      </c>
      <c r="K51" s="97">
        <v>5686.66</v>
      </c>
      <c r="L51" s="94">
        <f t="shared" si="1"/>
        <v>33208.86</v>
      </c>
      <c r="M51" s="95">
        <v>9248.06</v>
      </c>
      <c r="N51" s="95">
        <v>6351.69</v>
      </c>
      <c r="O51" s="97">
        <v>17609.11</v>
      </c>
      <c r="P51" s="94">
        <f t="shared" si="2"/>
        <v>35423.83</v>
      </c>
      <c r="Q51" s="95">
        <v>11184.69</v>
      </c>
      <c r="R51" s="95">
        <v>6757.11</v>
      </c>
      <c r="S51" s="97">
        <v>17482.03</v>
      </c>
      <c r="T51" s="94">
        <f t="shared" si="3"/>
        <v>8644.85</v>
      </c>
      <c r="U51" s="95">
        <v>5447.64</v>
      </c>
      <c r="V51" s="95">
        <v>2189.85</v>
      </c>
      <c r="W51" s="97">
        <v>1007.36</v>
      </c>
      <c r="X51" s="94">
        <f t="shared" si="5"/>
        <v>10267.51</v>
      </c>
      <c r="Y51" s="95">
        <v>6842.81</v>
      </c>
      <c r="Z51" s="95">
        <v>2421.0300000000002</v>
      </c>
      <c r="AA51" s="97">
        <v>1003.67</v>
      </c>
    </row>
    <row r="52" spans="1:27" x14ac:dyDescent="0.35">
      <c r="A52" s="50" t="s">
        <v>233</v>
      </c>
      <c r="B52" s="94">
        <f t="shared" si="0"/>
        <v>28372.73</v>
      </c>
      <c r="C52" s="95">
        <v>4995.8500000000004</v>
      </c>
      <c r="D52" s="95">
        <v>13906.8</v>
      </c>
      <c r="E52" s="95">
        <v>4880.46</v>
      </c>
      <c r="F52" s="97">
        <v>4589.62</v>
      </c>
      <c r="G52" s="94">
        <f t="shared" si="4"/>
        <v>35354.129999999997</v>
      </c>
      <c r="H52" s="95">
        <v>5772.09</v>
      </c>
      <c r="I52" s="95">
        <v>13524.79</v>
      </c>
      <c r="J52" s="95">
        <v>10367.9</v>
      </c>
      <c r="K52" s="97">
        <v>5689.35</v>
      </c>
      <c r="L52" s="94">
        <f t="shared" si="1"/>
        <v>28372.73</v>
      </c>
      <c r="M52" s="95">
        <v>5021.97</v>
      </c>
      <c r="N52" s="95">
        <v>6187.5</v>
      </c>
      <c r="O52" s="97">
        <v>17163.259999999998</v>
      </c>
      <c r="P52" s="94">
        <f t="shared" si="2"/>
        <v>35354.130000000005</v>
      </c>
      <c r="Q52" s="95">
        <v>11194.11</v>
      </c>
      <c r="R52" s="95">
        <v>6768.4</v>
      </c>
      <c r="S52" s="97">
        <v>17391.62</v>
      </c>
      <c r="T52" s="94">
        <f t="shared" si="3"/>
        <v>4880.4599999999991</v>
      </c>
      <c r="U52" s="95">
        <v>2288.58</v>
      </c>
      <c r="V52" s="95">
        <v>1952.56</v>
      </c>
      <c r="W52" s="97">
        <v>639.32000000000005</v>
      </c>
      <c r="X52" s="94">
        <f t="shared" si="5"/>
        <v>10367.91</v>
      </c>
      <c r="Y52" s="95">
        <v>6883.17</v>
      </c>
      <c r="Z52" s="95">
        <v>2402.29</v>
      </c>
      <c r="AA52" s="97">
        <v>1082.45</v>
      </c>
    </row>
    <row r="53" spans="1:27" x14ac:dyDescent="0.35">
      <c r="A53" s="50" t="s">
        <v>234</v>
      </c>
      <c r="B53" s="94">
        <f t="shared" si="0"/>
        <v>38634.939999999995</v>
      </c>
      <c r="C53" s="95">
        <v>6070.93</v>
      </c>
      <c r="D53" s="95">
        <v>13842.56</v>
      </c>
      <c r="E53" s="95">
        <v>12451.48</v>
      </c>
      <c r="F53" s="97">
        <v>6269.97</v>
      </c>
      <c r="G53" s="94">
        <f t="shared" si="4"/>
        <v>35320.630000000005</v>
      </c>
      <c r="H53" s="95">
        <v>5756.51</v>
      </c>
      <c r="I53" s="95">
        <v>13681.36</v>
      </c>
      <c r="J53" s="95">
        <v>10220.43</v>
      </c>
      <c r="K53" s="97">
        <v>5662.33</v>
      </c>
      <c r="L53" s="94">
        <f t="shared" si="1"/>
        <v>38634.949999999997</v>
      </c>
      <c r="M53" s="95">
        <v>13572.32</v>
      </c>
      <c r="N53" s="95">
        <v>7116.4</v>
      </c>
      <c r="O53" s="97">
        <v>17946.23</v>
      </c>
      <c r="P53" s="94">
        <f t="shared" si="2"/>
        <v>35320.629999999997</v>
      </c>
      <c r="Q53" s="95">
        <v>11065.3</v>
      </c>
      <c r="R53" s="95">
        <v>6733.26</v>
      </c>
      <c r="S53" s="97">
        <v>17522.07</v>
      </c>
      <c r="T53" s="94">
        <f t="shared" si="3"/>
        <v>12451.48</v>
      </c>
      <c r="U53" s="95">
        <v>8605.0499999999993</v>
      </c>
      <c r="V53" s="95">
        <v>2659.83</v>
      </c>
      <c r="W53" s="97">
        <v>1186.5999999999999</v>
      </c>
      <c r="X53" s="94">
        <f t="shared" si="5"/>
        <v>10220.43</v>
      </c>
      <c r="Y53" s="95">
        <v>6820.53</v>
      </c>
      <c r="Z53" s="95">
        <v>2375.2399999999998</v>
      </c>
      <c r="AA53" s="97">
        <v>1024.6600000000001</v>
      </c>
    </row>
    <row r="54" spans="1:27" x14ac:dyDescent="0.35">
      <c r="A54" s="50" t="s">
        <v>235</v>
      </c>
      <c r="B54" s="94">
        <f t="shared" si="0"/>
        <v>39750.26</v>
      </c>
      <c r="C54" s="95">
        <v>6547.51</v>
      </c>
      <c r="D54" s="95">
        <v>12896.85</v>
      </c>
      <c r="E54" s="95">
        <v>14177.69</v>
      </c>
      <c r="F54" s="97">
        <v>6128.21</v>
      </c>
      <c r="G54" s="94">
        <f t="shared" si="4"/>
        <v>34849.270000000004</v>
      </c>
      <c r="H54" s="95">
        <v>5687.06</v>
      </c>
      <c r="I54" s="95">
        <v>13427.91</v>
      </c>
      <c r="J54" s="95">
        <v>10144.65</v>
      </c>
      <c r="K54" s="97">
        <v>5589.65</v>
      </c>
      <c r="L54" s="94">
        <f t="shared" si="1"/>
        <v>39750.26</v>
      </c>
      <c r="M54" s="95">
        <v>15633.4</v>
      </c>
      <c r="N54" s="95">
        <v>7105.3</v>
      </c>
      <c r="O54" s="97">
        <v>17011.560000000001</v>
      </c>
      <c r="P54" s="94">
        <f t="shared" si="2"/>
        <v>34849.270000000004</v>
      </c>
      <c r="Q54" s="95">
        <v>10906.41</v>
      </c>
      <c r="R54" s="95">
        <v>6639.35</v>
      </c>
      <c r="S54" s="97">
        <v>17303.509999999998</v>
      </c>
      <c r="T54" s="94">
        <f t="shared" si="3"/>
        <v>14177.680000000002</v>
      </c>
      <c r="U54" s="95">
        <v>10238.77</v>
      </c>
      <c r="V54" s="95">
        <v>2728.38</v>
      </c>
      <c r="W54" s="97">
        <v>1210.53</v>
      </c>
      <c r="X54" s="94">
        <f t="shared" si="5"/>
        <v>10144.65</v>
      </c>
      <c r="Y54" s="95">
        <v>6737.88</v>
      </c>
      <c r="Z54" s="95">
        <v>2384.63</v>
      </c>
      <c r="AA54" s="97">
        <v>1022.14</v>
      </c>
    </row>
    <row r="55" spans="1:27" x14ac:dyDescent="0.35">
      <c r="A55" s="50" t="s">
        <v>236</v>
      </c>
      <c r="B55" s="94">
        <f t="shared" si="0"/>
        <v>30436.129999999997</v>
      </c>
      <c r="C55" s="95">
        <v>4999.29</v>
      </c>
      <c r="D55" s="95">
        <v>13690.88</v>
      </c>
      <c r="E55" s="95">
        <v>6908.27</v>
      </c>
      <c r="F55" s="97">
        <v>4837.6899999999996</v>
      </c>
      <c r="G55" s="94">
        <f t="shared" si="4"/>
        <v>35056.869999999995</v>
      </c>
      <c r="H55" s="95">
        <v>5656.27</v>
      </c>
      <c r="I55" s="95">
        <v>13531.52</v>
      </c>
      <c r="J55" s="95">
        <v>10252.85</v>
      </c>
      <c r="K55" s="97">
        <v>5616.23</v>
      </c>
      <c r="L55" s="94">
        <f t="shared" si="1"/>
        <v>30436.13</v>
      </c>
      <c r="M55" s="95">
        <v>7144.83</v>
      </c>
      <c r="N55" s="95">
        <v>6107.08</v>
      </c>
      <c r="O55" s="97">
        <v>17184.22</v>
      </c>
      <c r="P55" s="94">
        <f t="shared" si="2"/>
        <v>35056.869999999995</v>
      </c>
      <c r="Q55" s="95">
        <v>11018.92</v>
      </c>
      <c r="R55" s="95">
        <v>6615.11</v>
      </c>
      <c r="S55" s="97">
        <v>17422.84</v>
      </c>
      <c r="T55" s="94">
        <f t="shared" si="3"/>
        <v>6908.2599999999993</v>
      </c>
      <c r="U55" s="95">
        <v>3954.85</v>
      </c>
      <c r="V55" s="95">
        <v>2074.62</v>
      </c>
      <c r="W55" s="97">
        <v>878.79</v>
      </c>
      <c r="X55" s="94">
        <f t="shared" si="5"/>
        <v>10252.850000000002</v>
      </c>
      <c r="Y55" s="95">
        <v>6788.52</v>
      </c>
      <c r="Z55" s="95">
        <v>2412.54</v>
      </c>
      <c r="AA55" s="97">
        <v>1051.79</v>
      </c>
    </row>
    <row r="56" spans="1:27" x14ac:dyDescent="0.35">
      <c r="A56" s="50" t="s">
        <v>237</v>
      </c>
      <c r="B56" s="94">
        <f t="shared" si="0"/>
        <v>28107.89</v>
      </c>
      <c r="C56" s="95">
        <v>4882.8500000000004</v>
      </c>
      <c r="D56" s="95">
        <v>14235.17</v>
      </c>
      <c r="E56" s="95">
        <v>4620.5</v>
      </c>
      <c r="F56" s="97">
        <v>4369.37</v>
      </c>
      <c r="G56" s="94">
        <f t="shared" si="4"/>
        <v>35017.869999999995</v>
      </c>
      <c r="H56" s="95">
        <v>5643.36</v>
      </c>
      <c r="I56" s="95">
        <v>13839.31</v>
      </c>
      <c r="J56" s="95">
        <v>10103.93</v>
      </c>
      <c r="K56" s="97">
        <v>5431.27</v>
      </c>
      <c r="L56" s="94">
        <f t="shared" si="1"/>
        <v>28107.89</v>
      </c>
      <c r="M56" s="95">
        <v>4721.53</v>
      </c>
      <c r="N56" s="95">
        <v>6000.51</v>
      </c>
      <c r="O56" s="97">
        <v>17385.849999999999</v>
      </c>
      <c r="P56" s="94">
        <f t="shared" si="2"/>
        <v>35017.880000000005</v>
      </c>
      <c r="Q56" s="95">
        <v>10836.08</v>
      </c>
      <c r="R56" s="95">
        <v>6565.89</v>
      </c>
      <c r="S56" s="97">
        <v>17615.91</v>
      </c>
      <c r="T56" s="94">
        <f t="shared" si="3"/>
        <v>4620.49</v>
      </c>
      <c r="U56" s="95">
        <v>2106.0500000000002</v>
      </c>
      <c r="V56" s="95">
        <v>1921.52</v>
      </c>
      <c r="W56" s="97">
        <v>592.91999999999996</v>
      </c>
      <c r="X56" s="94">
        <f t="shared" si="5"/>
        <v>10103.93</v>
      </c>
      <c r="Y56" s="95">
        <v>6692.76</v>
      </c>
      <c r="Z56" s="95">
        <v>2368.04</v>
      </c>
      <c r="AA56" s="97">
        <v>1043.1300000000001</v>
      </c>
    </row>
    <row r="57" spans="1:27" x14ac:dyDescent="0.35">
      <c r="A57" s="50" t="s">
        <v>238</v>
      </c>
      <c r="B57" s="94">
        <f t="shared" si="0"/>
        <v>37741.14</v>
      </c>
      <c r="C57" s="95">
        <v>5830.92</v>
      </c>
      <c r="D57" s="95">
        <v>13795.54</v>
      </c>
      <c r="E57" s="95">
        <v>11837.77</v>
      </c>
      <c r="F57" s="97">
        <v>6276.91</v>
      </c>
      <c r="G57" s="94">
        <f t="shared" si="4"/>
        <v>34943.29</v>
      </c>
      <c r="H57" s="95">
        <v>5553.3</v>
      </c>
      <c r="I57" s="95">
        <v>13652.57</v>
      </c>
      <c r="J57" s="95">
        <v>9978.57</v>
      </c>
      <c r="K57" s="97">
        <v>5758.85</v>
      </c>
      <c r="L57" s="94">
        <f t="shared" si="1"/>
        <v>37741.14</v>
      </c>
      <c r="M57" s="95">
        <v>12927.66</v>
      </c>
      <c r="N57" s="95">
        <v>6822.01</v>
      </c>
      <c r="O57" s="97">
        <v>17991.47</v>
      </c>
      <c r="P57" s="94">
        <f t="shared" si="2"/>
        <v>34943.279999999999</v>
      </c>
      <c r="Q57" s="95">
        <v>10814.59</v>
      </c>
      <c r="R57" s="95">
        <v>6487.95</v>
      </c>
      <c r="S57" s="97">
        <v>17640.740000000002</v>
      </c>
      <c r="T57" s="94">
        <f t="shared" si="3"/>
        <v>11837.77</v>
      </c>
      <c r="U57" s="95">
        <v>8093.35</v>
      </c>
      <c r="V57" s="95">
        <v>2568.34</v>
      </c>
      <c r="W57" s="97">
        <v>1176.08</v>
      </c>
      <c r="X57" s="94">
        <f t="shared" si="5"/>
        <v>9978.5700000000015</v>
      </c>
      <c r="Y57" s="95">
        <v>6617.84</v>
      </c>
      <c r="Z57" s="95">
        <v>2310.79</v>
      </c>
      <c r="AA57" s="97">
        <v>1049.94</v>
      </c>
    </row>
    <row r="58" spans="1:27" x14ac:dyDescent="0.35">
      <c r="A58" s="50" t="s">
        <v>239</v>
      </c>
      <c r="B58" s="94">
        <f t="shared" si="0"/>
        <v>41993.3</v>
      </c>
      <c r="C58" s="95">
        <v>6772.49</v>
      </c>
      <c r="D58" s="95">
        <v>13054.98</v>
      </c>
      <c r="E58" s="95">
        <v>15729.08</v>
      </c>
      <c r="F58" s="97">
        <v>6436.75</v>
      </c>
      <c r="G58" s="94">
        <f t="shared" si="4"/>
        <v>35592.53</v>
      </c>
      <c r="H58" s="95">
        <v>5799.12</v>
      </c>
      <c r="I58" s="95">
        <v>13876.89</v>
      </c>
      <c r="J58" s="95">
        <v>10366.870000000001</v>
      </c>
      <c r="K58" s="97">
        <v>5549.65</v>
      </c>
      <c r="L58" s="94">
        <f t="shared" si="1"/>
        <v>41993.3</v>
      </c>
      <c r="M58" s="95">
        <v>17335.95</v>
      </c>
      <c r="N58" s="95">
        <v>7167.29</v>
      </c>
      <c r="O58" s="97">
        <v>17490.060000000001</v>
      </c>
      <c r="P58" s="94">
        <f t="shared" si="2"/>
        <v>35592.53</v>
      </c>
      <c r="Q58" s="95">
        <v>11184.18</v>
      </c>
      <c r="R58" s="95">
        <v>6588.38</v>
      </c>
      <c r="S58" s="97">
        <v>17819.97</v>
      </c>
      <c r="T58" s="94">
        <f t="shared" si="3"/>
        <v>15729.08</v>
      </c>
      <c r="U58" s="95">
        <v>11585.5</v>
      </c>
      <c r="V58" s="95">
        <v>2712.43</v>
      </c>
      <c r="W58" s="97">
        <v>1431.15</v>
      </c>
      <c r="X58" s="94">
        <f t="shared" si="5"/>
        <v>10366.870000000001</v>
      </c>
      <c r="Y58" s="95">
        <v>6985.37</v>
      </c>
      <c r="Z58" s="95">
        <v>2294.9899999999998</v>
      </c>
      <c r="AA58" s="97">
        <v>1086.51</v>
      </c>
    </row>
    <row r="59" spans="1:27" x14ac:dyDescent="0.35">
      <c r="A59" s="50" t="s">
        <v>240</v>
      </c>
      <c r="B59" s="94">
        <f t="shared" si="0"/>
        <v>31347.82</v>
      </c>
      <c r="C59" s="95">
        <v>5088.3</v>
      </c>
      <c r="D59" s="95">
        <v>13831.45</v>
      </c>
      <c r="E59" s="95">
        <v>7483.77</v>
      </c>
      <c r="F59" s="97">
        <v>4944.3</v>
      </c>
      <c r="G59" s="94">
        <f t="shared" si="4"/>
        <v>34271.71</v>
      </c>
      <c r="H59" s="95">
        <v>5617.7</v>
      </c>
      <c r="I59" s="95">
        <v>13624.07</v>
      </c>
      <c r="J59" s="95">
        <v>9627.3700000000008</v>
      </c>
      <c r="K59" s="97">
        <v>5402.57</v>
      </c>
      <c r="L59" s="94">
        <f t="shared" si="1"/>
        <v>31347.83</v>
      </c>
      <c r="M59" s="95">
        <v>7685.06</v>
      </c>
      <c r="N59" s="95">
        <v>6163.32</v>
      </c>
      <c r="O59" s="97">
        <v>17499.45</v>
      </c>
      <c r="P59" s="94">
        <f t="shared" si="2"/>
        <v>34271.699999999997</v>
      </c>
      <c r="Q59" s="95">
        <v>10253.030000000001</v>
      </c>
      <c r="R59" s="95">
        <v>6581.05</v>
      </c>
      <c r="S59" s="97">
        <v>17437.62</v>
      </c>
      <c r="T59" s="94">
        <f t="shared" si="3"/>
        <v>7483.7699999999995</v>
      </c>
      <c r="U59" s="95">
        <v>4411.53</v>
      </c>
      <c r="V59" s="95">
        <v>2076.35</v>
      </c>
      <c r="W59" s="97">
        <v>995.89</v>
      </c>
      <c r="X59" s="94">
        <f t="shared" si="5"/>
        <v>9627.369999999999</v>
      </c>
      <c r="Y59" s="95">
        <v>6229.96</v>
      </c>
      <c r="Z59" s="95">
        <v>2325.86</v>
      </c>
      <c r="AA59" s="97">
        <v>1071.55</v>
      </c>
    </row>
    <row r="60" spans="1:27" x14ac:dyDescent="0.35">
      <c r="A60" s="50" t="s">
        <v>241</v>
      </c>
      <c r="B60" s="94">
        <f t="shared" si="0"/>
        <v>28246.489999999998</v>
      </c>
      <c r="C60" s="95">
        <v>4861.8900000000003</v>
      </c>
      <c r="D60" s="95">
        <v>13884.18</v>
      </c>
      <c r="E60" s="95">
        <v>4915.99</v>
      </c>
      <c r="F60" s="97">
        <v>4584.43</v>
      </c>
      <c r="G60" s="94">
        <f t="shared" si="4"/>
        <v>34317.300000000003</v>
      </c>
      <c r="H60" s="95">
        <v>5611.54</v>
      </c>
      <c r="I60" s="95">
        <v>13468.93</v>
      </c>
      <c r="J60" s="95">
        <v>9767.67</v>
      </c>
      <c r="K60" s="97">
        <v>5469.16</v>
      </c>
      <c r="L60" s="94">
        <f t="shared" si="1"/>
        <v>28246.5</v>
      </c>
      <c r="M60" s="95">
        <v>5090.09</v>
      </c>
      <c r="N60" s="95">
        <v>6043.72</v>
      </c>
      <c r="O60" s="97">
        <v>17112.689999999999</v>
      </c>
      <c r="P60" s="94">
        <f t="shared" si="2"/>
        <v>34317.29</v>
      </c>
      <c r="Q60" s="95">
        <v>10593.46</v>
      </c>
      <c r="R60" s="95">
        <v>6581.76</v>
      </c>
      <c r="S60" s="97">
        <v>17142.07</v>
      </c>
      <c r="T60" s="94">
        <f t="shared" si="3"/>
        <v>4915.99</v>
      </c>
      <c r="U60" s="95">
        <v>2335.08</v>
      </c>
      <c r="V60" s="95">
        <v>1906.6</v>
      </c>
      <c r="W60" s="97">
        <v>674.31</v>
      </c>
      <c r="X60" s="94">
        <f t="shared" si="5"/>
        <v>9767.67</v>
      </c>
      <c r="Y60" s="95">
        <v>6421.26</v>
      </c>
      <c r="Z60" s="95">
        <v>2323.84</v>
      </c>
      <c r="AA60" s="97">
        <v>1022.57</v>
      </c>
    </row>
    <row r="61" spans="1:27" x14ac:dyDescent="0.35">
      <c r="A61" s="50" t="s">
        <v>242</v>
      </c>
      <c r="B61" s="94">
        <f t="shared" si="0"/>
        <v>36112.370000000003</v>
      </c>
      <c r="C61" s="95">
        <v>5585.04</v>
      </c>
      <c r="D61" s="95">
        <v>13846.7</v>
      </c>
      <c r="E61" s="95">
        <v>10897.76</v>
      </c>
      <c r="F61" s="97">
        <v>5782.87</v>
      </c>
      <c r="G61" s="94">
        <f t="shared" si="4"/>
        <v>34837.829999999994</v>
      </c>
      <c r="H61" s="95">
        <v>5413.64</v>
      </c>
      <c r="I61" s="95">
        <v>13737.46</v>
      </c>
      <c r="J61" s="95">
        <v>10111.1</v>
      </c>
      <c r="K61" s="97">
        <v>5575.63</v>
      </c>
      <c r="L61" s="94">
        <f t="shared" si="1"/>
        <v>36112.36</v>
      </c>
      <c r="M61" s="95">
        <v>11784.6</v>
      </c>
      <c r="N61" s="95">
        <v>6720.25</v>
      </c>
      <c r="O61" s="97">
        <v>17607.509999999998</v>
      </c>
      <c r="P61" s="94">
        <f t="shared" si="2"/>
        <v>34837.82</v>
      </c>
      <c r="Q61" s="95">
        <v>10863.33</v>
      </c>
      <c r="R61" s="95">
        <v>6535.16</v>
      </c>
      <c r="S61" s="97">
        <v>17439.330000000002</v>
      </c>
      <c r="T61" s="94">
        <f t="shared" si="3"/>
        <v>10897.76</v>
      </c>
      <c r="U61" s="95">
        <v>7255.31</v>
      </c>
      <c r="V61" s="95">
        <v>2570.63</v>
      </c>
      <c r="W61" s="97">
        <v>1071.82</v>
      </c>
      <c r="X61" s="94">
        <f t="shared" si="5"/>
        <v>10111.099999999999</v>
      </c>
      <c r="Y61" s="95">
        <v>6707.41</v>
      </c>
      <c r="Z61" s="95">
        <v>2377.3200000000002</v>
      </c>
      <c r="AA61" s="97">
        <v>1026.3699999999999</v>
      </c>
    </row>
    <row r="62" spans="1:27" x14ac:dyDescent="0.35">
      <c r="A62" s="50" t="s">
        <v>243</v>
      </c>
      <c r="B62" s="94">
        <f t="shared" si="0"/>
        <v>40626.06</v>
      </c>
      <c r="C62" s="95">
        <v>6267.74</v>
      </c>
      <c r="D62" s="95">
        <v>13226.17</v>
      </c>
      <c r="E62" s="95">
        <v>14821.26</v>
      </c>
      <c r="F62" s="97">
        <v>6310.89</v>
      </c>
      <c r="G62" s="94">
        <f t="shared" si="4"/>
        <v>34959.909999999996</v>
      </c>
      <c r="H62" s="95">
        <v>5403.95</v>
      </c>
      <c r="I62" s="95">
        <v>13986.63</v>
      </c>
      <c r="J62" s="95">
        <v>10082.120000000001</v>
      </c>
      <c r="K62" s="97">
        <v>5487.21</v>
      </c>
      <c r="L62" s="94">
        <f t="shared" si="1"/>
        <v>40626.050000000003</v>
      </c>
      <c r="M62" s="95">
        <v>16198.65</v>
      </c>
      <c r="N62" s="95">
        <v>7099.08</v>
      </c>
      <c r="O62" s="97">
        <v>17328.32</v>
      </c>
      <c r="P62" s="94">
        <f t="shared" si="2"/>
        <v>34959.910000000003</v>
      </c>
      <c r="Q62" s="95">
        <v>10751.08</v>
      </c>
      <c r="R62" s="95">
        <v>6554.18</v>
      </c>
      <c r="S62" s="97">
        <v>17654.650000000001</v>
      </c>
      <c r="T62" s="94">
        <f t="shared" si="3"/>
        <v>14821.259999999998</v>
      </c>
      <c r="U62" s="95">
        <v>10734.31</v>
      </c>
      <c r="V62" s="95">
        <v>2745.48</v>
      </c>
      <c r="W62" s="97">
        <v>1341.47</v>
      </c>
      <c r="X62" s="94">
        <f t="shared" si="5"/>
        <v>10082.129999999999</v>
      </c>
      <c r="Y62" s="95">
        <v>6702.46</v>
      </c>
      <c r="Z62" s="95">
        <v>2347.0300000000002</v>
      </c>
      <c r="AA62" s="97">
        <v>1032.6400000000001</v>
      </c>
    </row>
    <row r="63" spans="1:27" x14ac:dyDescent="0.35">
      <c r="A63" s="50" t="s">
        <v>244</v>
      </c>
      <c r="B63" s="94">
        <f t="shared" si="0"/>
        <v>31869.67</v>
      </c>
      <c r="C63" s="95">
        <v>5063.05</v>
      </c>
      <c r="D63" s="95">
        <v>14154.74</v>
      </c>
      <c r="E63" s="95">
        <v>7665.89</v>
      </c>
      <c r="F63" s="97">
        <v>4985.99</v>
      </c>
      <c r="G63" s="94">
        <f t="shared" si="4"/>
        <v>35084.74</v>
      </c>
      <c r="H63" s="95">
        <v>5644.27</v>
      </c>
      <c r="I63" s="95">
        <v>13888.64</v>
      </c>
      <c r="J63" s="95">
        <v>10021.48</v>
      </c>
      <c r="K63" s="97">
        <v>5530.35</v>
      </c>
      <c r="L63" s="94">
        <f t="shared" si="1"/>
        <v>31869.670000000002</v>
      </c>
      <c r="M63" s="95">
        <v>7979.92</v>
      </c>
      <c r="N63" s="95">
        <v>6114.55</v>
      </c>
      <c r="O63" s="97">
        <v>17775.2</v>
      </c>
      <c r="P63" s="94">
        <f t="shared" si="2"/>
        <v>35084.740000000005</v>
      </c>
      <c r="Q63" s="95">
        <v>10841.42</v>
      </c>
      <c r="R63" s="95">
        <v>6539.48</v>
      </c>
      <c r="S63" s="97">
        <v>17703.84</v>
      </c>
      <c r="T63" s="94">
        <f t="shared" si="3"/>
        <v>7665.8899999999994</v>
      </c>
      <c r="U63" s="95">
        <v>4625.05</v>
      </c>
      <c r="V63" s="95">
        <v>2064.61</v>
      </c>
      <c r="W63" s="97">
        <v>976.23</v>
      </c>
      <c r="X63" s="94">
        <f t="shared" si="5"/>
        <v>10021.48</v>
      </c>
      <c r="Y63" s="95">
        <v>6625.4</v>
      </c>
      <c r="Z63" s="95">
        <v>2323.9699999999998</v>
      </c>
      <c r="AA63" s="97">
        <v>1072.1099999999999</v>
      </c>
    </row>
    <row r="64" spans="1:27" x14ac:dyDescent="0.35">
      <c r="A64" s="50" t="s">
        <v>245</v>
      </c>
      <c r="B64" s="94">
        <f t="shared" si="0"/>
        <v>27955.25</v>
      </c>
      <c r="C64" s="95">
        <v>4684.51</v>
      </c>
      <c r="D64" s="95">
        <v>14549.96</v>
      </c>
      <c r="E64" s="95">
        <v>4293.34</v>
      </c>
      <c r="F64" s="97">
        <v>4427.4399999999996</v>
      </c>
      <c r="G64" s="94">
        <f t="shared" si="4"/>
        <v>34918</v>
      </c>
      <c r="H64" s="95">
        <v>5389.03</v>
      </c>
      <c r="I64" s="95">
        <v>14117.6</v>
      </c>
      <c r="J64" s="95">
        <v>9875.67</v>
      </c>
      <c r="K64" s="97">
        <v>5535.7</v>
      </c>
      <c r="L64" s="94">
        <f t="shared" si="1"/>
        <v>27955.260000000002</v>
      </c>
      <c r="M64" s="95">
        <v>4311.83</v>
      </c>
      <c r="N64" s="95">
        <v>5974.28</v>
      </c>
      <c r="O64" s="97">
        <v>17669.150000000001</v>
      </c>
      <c r="P64" s="94">
        <f t="shared" si="2"/>
        <v>34918</v>
      </c>
      <c r="Q64" s="95">
        <v>10384.32</v>
      </c>
      <c r="R64" s="95">
        <v>6555.81</v>
      </c>
      <c r="S64" s="97">
        <v>17977.87</v>
      </c>
      <c r="T64" s="94">
        <f t="shared" si="3"/>
        <v>4293.3500000000004</v>
      </c>
      <c r="U64" s="95">
        <v>1801.24</v>
      </c>
      <c r="V64" s="95">
        <v>1877.64</v>
      </c>
      <c r="W64" s="97">
        <v>614.47</v>
      </c>
      <c r="X64" s="94">
        <f t="shared" si="5"/>
        <v>9875.67</v>
      </c>
      <c r="Y64" s="95">
        <v>6390.82</v>
      </c>
      <c r="Z64" s="95">
        <v>2331.86</v>
      </c>
      <c r="AA64" s="97">
        <v>1152.99</v>
      </c>
    </row>
    <row r="65" spans="1:27" x14ac:dyDescent="0.35">
      <c r="A65" s="50" t="s">
        <v>246</v>
      </c>
      <c r="B65" s="94">
        <f t="shared" si="0"/>
        <v>38980.949999999997</v>
      </c>
      <c r="C65" s="95">
        <v>5903.18</v>
      </c>
      <c r="D65" s="95">
        <v>14154.73</v>
      </c>
      <c r="E65" s="95">
        <v>12747.94</v>
      </c>
      <c r="F65" s="97">
        <v>6175.1</v>
      </c>
      <c r="G65" s="94">
        <f t="shared" si="4"/>
        <v>35000.620000000003</v>
      </c>
      <c r="H65" s="95">
        <v>5465.75</v>
      </c>
      <c r="I65" s="95">
        <v>14091.4</v>
      </c>
      <c r="J65" s="95">
        <v>9938.7199999999993</v>
      </c>
      <c r="K65" s="97">
        <v>5504.75</v>
      </c>
      <c r="L65" s="94">
        <f t="shared" si="1"/>
        <v>38980.949999999997</v>
      </c>
      <c r="M65" s="95">
        <v>13792.88</v>
      </c>
      <c r="N65" s="95">
        <v>6954.25</v>
      </c>
      <c r="O65" s="97">
        <v>18233.82</v>
      </c>
      <c r="P65" s="94">
        <f t="shared" si="2"/>
        <v>35000.61</v>
      </c>
      <c r="Q65" s="95">
        <v>10662.18</v>
      </c>
      <c r="R65" s="95">
        <v>6502.8</v>
      </c>
      <c r="S65" s="97">
        <v>17835.63</v>
      </c>
      <c r="T65" s="94">
        <f t="shared" si="3"/>
        <v>12747.939999999999</v>
      </c>
      <c r="U65" s="95">
        <v>8838.9599999999991</v>
      </c>
      <c r="V65" s="95">
        <v>2600.75</v>
      </c>
      <c r="W65" s="97">
        <v>1308.23</v>
      </c>
      <c r="X65" s="94">
        <f t="shared" si="5"/>
        <v>9938.7199999999993</v>
      </c>
      <c r="Y65" s="95">
        <v>6555.33</v>
      </c>
      <c r="Z65" s="95">
        <v>2303.13</v>
      </c>
      <c r="AA65" s="97">
        <v>1080.26</v>
      </c>
    </row>
    <row r="66" spans="1:27" x14ac:dyDescent="0.35">
      <c r="A66" s="50" t="s">
        <v>247</v>
      </c>
      <c r="B66" s="94">
        <f t="shared" si="0"/>
        <v>40182.69</v>
      </c>
      <c r="C66" s="95">
        <v>6318.04</v>
      </c>
      <c r="D66" s="95">
        <v>13498</v>
      </c>
      <c r="E66" s="95">
        <v>14032.46</v>
      </c>
      <c r="F66" s="97">
        <v>6334.19</v>
      </c>
      <c r="G66" s="94">
        <f t="shared" si="4"/>
        <v>35105.549999999996</v>
      </c>
      <c r="H66" s="95">
        <v>5508.18</v>
      </c>
      <c r="I66" s="95">
        <v>14141.24</v>
      </c>
      <c r="J66" s="95">
        <v>9869.8799999999992</v>
      </c>
      <c r="K66" s="97">
        <v>5586.25</v>
      </c>
      <c r="L66" s="94">
        <f t="shared" si="1"/>
        <v>40182.699999999997</v>
      </c>
      <c r="M66" s="95">
        <v>15748.28</v>
      </c>
      <c r="N66" s="95">
        <v>6891.08</v>
      </c>
      <c r="O66" s="97">
        <v>17543.34</v>
      </c>
      <c r="P66" s="94">
        <f t="shared" si="2"/>
        <v>35105.56</v>
      </c>
      <c r="Q66" s="95">
        <v>10860.28</v>
      </c>
      <c r="R66" s="95">
        <v>6418.7</v>
      </c>
      <c r="S66" s="97">
        <v>17826.580000000002</v>
      </c>
      <c r="T66" s="94">
        <f t="shared" si="3"/>
        <v>14032.45</v>
      </c>
      <c r="U66" s="95">
        <v>10119.450000000001</v>
      </c>
      <c r="V66" s="95">
        <v>2621.62</v>
      </c>
      <c r="W66" s="97">
        <v>1291.3800000000001</v>
      </c>
      <c r="X66" s="94">
        <f t="shared" si="5"/>
        <v>9869.8799999999992</v>
      </c>
      <c r="Y66" s="95">
        <v>6563.76</v>
      </c>
      <c r="Z66" s="95">
        <v>2272.5700000000002</v>
      </c>
      <c r="AA66" s="97">
        <v>1033.55</v>
      </c>
    </row>
    <row r="67" spans="1:27" x14ac:dyDescent="0.35">
      <c r="A67" s="50" t="s">
        <v>248</v>
      </c>
      <c r="B67" s="94">
        <f t="shared" si="0"/>
        <v>31408.41</v>
      </c>
      <c r="C67" s="95">
        <v>4807.42</v>
      </c>
      <c r="D67" s="95">
        <v>14761.91</v>
      </c>
      <c r="E67" s="95">
        <v>7029.69</v>
      </c>
      <c r="F67" s="97">
        <v>4809.3900000000003</v>
      </c>
      <c r="G67" s="94">
        <f t="shared" si="4"/>
        <v>35565.58</v>
      </c>
      <c r="H67" s="95">
        <v>5476.6</v>
      </c>
      <c r="I67" s="95">
        <v>14446.78</v>
      </c>
      <c r="J67" s="95">
        <v>10053.65</v>
      </c>
      <c r="K67" s="97">
        <v>5588.55</v>
      </c>
      <c r="L67" s="94">
        <f t="shared" si="1"/>
        <v>31408.41</v>
      </c>
      <c r="M67" s="95">
        <v>7299.46</v>
      </c>
      <c r="N67" s="95">
        <v>5996.47</v>
      </c>
      <c r="O67" s="97">
        <v>18112.48</v>
      </c>
      <c r="P67" s="94">
        <f t="shared" si="2"/>
        <v>35565.590000000004</v>
      </c>
      <c r="Q67" s="95">
        <v>10932.17</v>
      </c>
      <c r="R67" s="95">
        <v>6454.09</v>
      </c>
      <c r="S67" s="97">
        <v>18179.330000000002</v>
      </c>
      <c r="T67" s="94">
        <f t="shared" si="3"/>
        <v>7029.6900000000005</v>
      </c>
      <c r="U67" s="95">
        <v>4175.33</v>
      </c>
      <c r="V67" s="95">
        <v>1974.85</v>
      </c>
      <c r="W67" s="97">
        <v>879.51</v>
      </c>
      <c r="X67" s="94">
        <f t="shared" si="5"/>
        <v>10053.66</v>
      </c>
      <c r="Y67" s="95">
        <v>6723.07</v>
      </c>
      <c r="Z67" s="95">
        <v>2267.8200000000002</v>
      </c>
      <c r="AA67" s="97">
        <v>1062.77</v>
      </c>
    </row>
    <row r="68" spans="1:27" x14ac:dyDescent="0.35">
      <c r="A68" s="50" t="s">
        <v>249</v>
      </c>
      <c r="B68" s="94">
        <f t="shared" si="0"/>
        <v>28983.559999999998</v>
      </c>
      <c r="C68" s="95">
        <v>4774.04</v>
      </c>
      <c r="D68" s="95">
        <v>14823.08</v>
      </c>
      <c r="E68" s="95">
        <v>4759.34</v>
      </c>
      <c r="F68" s="97">
        <v>4627.1000000000004</v>
      </c>
      <c r="G68" s="94">
        <f t="shared" si="4"/>
        <v>35828.620000000003</v>
      </c>
      <c r="H68" s="95">
        <v>5547.18</v>
      </c>
      <c r="I68" s="95">
        <v>14378.5</v>
      </c>
      <c r="J68" s="95">
        <v>10288.040000000001</v>
      </c>
      <c r="K68" s="97">
        <v>5614.9</v>
      </c>
      <c r="L68" s="94">
        <f t="shared" si="1"/>
        <v>28983.550000000003</v>
      </c>
      <c r="M68" s="95">
        <v>4986.7700000000004</v>
      </c>
      <c r="N68" s="95">
        <v>5930.79</v>
      </c>
      <c r="O68" s="97">
        <v>18065.990000000002</v>
      </c>
      <c r="P68" s="94">
        <f t="shared" si="2"/>
        <v>35828.61</v>
      </c>
      <c r="Q68" s="95">
        <v>11071.55</v>
      </c>
      <c r="R68" s="95">
        <v>6504.17</v>
      </c>
      <c r="S68" s="97">
        <v>18252.89</v>
      </c>
      <c r="T68" s="94">
        <f t="shared" si="3"/>
        <v>4759.3499999999995</v>
      </c>
      <c r="U68" s="95">
        <v>2206.4699999999998</v>
      </c>
      <c r="V68" s="95">
        <v>1889.83</v>
      </c>
      <c r="W68" s="97">
        <v>663.05</v>
      </c>
      <c r="X68" s="94">
        <f t="shared" si="5"/>
        <v>10288.040000000001</v>
      </c>
      <c r="Y68" s="95">
        <v>6820.93</v>
      </c>
      <c r="Z68" s="95">
        <v>2329.36</v>
      </c>
      <c r="AA68" s="97">
        <v>1137.75</v>
      </c>
    </row>
    <row r="69" spans="1:27" x14ac:dyDescent="0.35">
      <c r="A69" s="50" t="s">
        <v>250</v>
      </c>
      <c r="B69" s="94">
        <f t="shared" si="0"/>
        <v>39212.25</v>
      </c>
      <c r="C69" s="95">
        <v>6003.91</v>
      </c>
      <c r="D69" s="95">
        <v>14370.09</v>
      </c>
      <c r="E69" s="95">
        <v>12797.23</v>
      </c>
      <c r="F69" s="97">
        <v>6041.02</v>
      </c>
      <c r="G69" s="94">
        <f t="shared" si="4"/>
        <v>35588.270000000004</v>
      </c>
      <c r="H69" s="95">
        <v>5540.04</v>
      </c>
      <c r="I69" s="95">
        <v>14341.5</v>
      </c>
      <c r="J69" s="95">
        <v>10209.43</v>
      </c>
      <c r="K69" s="97">
        <v>5497.3</v>
      </c>
      <c r="L69" s="94">
        <f t="shared" si="1"/>
        <v>39212.25</v>
      </c>
      <c r="M69" s="95">
        <v>13852.52</v>
      </c>
      <c r="N69" s="95">
        <v>6919.28</v>
      </c>
      <c r="O69" s="97">
        <v>18440.45</v>
      </c>
      <c r="P69" s="94">
        <f t="shared" si="2"/>
        <v>35588.270000000004</v>
      </c>
      <c r="Q69" s="95">
        <v>10964</v>
      </c>
      <c r="R69" s="95">
        <v>6514.06</v>
      </c>
      <c r="S69" s="97">
        <v>18110.21</v>
      </c>
      <c r="T69" s="94">
        <f t="shared" si="3"/>
        <v>12797.23</v>
      </c>
      <c r="U69" s="95">
        <v>8930.68</v>
      </c>
      <c r="V69" s="95">
        <v>2569.81</v>
      </c>
      <c r="W69" s="97">
        <v>1296.74</v>
      </c>
      <c r="X69" s="94">
        <f t="shared" si="5"/>
        <v>10209.44</v>
      </c>
      <c r="Y69" s="95">
        <v>6823.25</v>
      </c>
      <c r="Z69" s="95">
        <v>2296.25</v>
      </c>
      <c r="AA69" s="97">
        <v>1089.94</v>
      </c>
    </row>
    <row r="70" spans="1:27" x14ac:dyDescent="0.35">
      <c r="A70" s="50" t="s">
        <v>251</v>
      </c>
      <c r="B70" s="94">
        <f t="shared" ref="B70:B85" si="6">SUM(C70:F70)</f>
        <v>43011.199999999997</v>
      </c>
      <c r="C70" s="95">
        <v>6439.36</v>
      </c>
      <c r="D70" s="95">
        <v>13250.01</v>
      </c>
      <c r="E70" s="95">
        <v>16498.84</v>
      </c>
      <c r="F70" s="97">
        <v>6822.99</v>
      </c>
      <c r="G70" s="94">
        <f t="shared" si="4"/>
        <v>35463.74</v>
      </c>
      <c r="H70" s="95">
        <v>5487.53</v>
      </c>
      <c r="I70" s="95">
        <v>14299.91</v>
      </c>
      <c r="J70" s="95">
        <v>10108.15</v>
      </c>
      <c r="K70" s="97">
        <v>5568.15</v>
      </c>
      <c r="L70" s="94">
        <f t="shared" ref="L70:L101" si="7">SUM(M70:O70)</f>
        <v>43011.199999999997</v>
      </c>
      <c r="M70" s="95">
        <v>18067.48</v>
      </c>
      <c r="N70" s="95">
        <v>7187.2</v>
      </c>
      <c r="O70" s="97">
        <v>17756.52</v>
      </c>
      <c r="P70" s="94">
        <f t="shared" si="2"/>
        <v>35463.729999999996</v>
      </c>
      <c r="Q70" s="95">
        <v>10920.04</v>
      </c>
      <c r="R70" s="95">
        <v>6500.73</v>
      </c>
      <c r="S70" s="97">
        <v>18042.96</v>
      </c>
      <c r="T70" s="94">
        <f t="shared" ref="T70:T101" si="8">SUM(U70:W70)</f>
        <v>16498.84</v>
      </c>
      <c r="U70" s="95">
        <v>12074.8</v>
      </c>
      <c r="V70" s="95">
        <v>2859.67</v>
      </c>
      <c r="W70" s="97">
        <v>1564.37</v>
      </c>
      <c r="X70" s="94">
        <f t="shared" si="5"/>
        <v>10108.14</v>
      </c>
      <c r="Y70" s="95">
        <v>6697.75</v>
      </c>
      <c r="Z70" s="95">
        <v>2367.12</v>
      </c>
      <c r="AA70" s="97">
        <v>1043.27</v>
      </c>
    </row>
    <row r="71" spans="1:27" x14ac:dyDescent="0.35">
      <c r="A71" s="50" t="s">
        <v>252</v>
      </c>
      <c r="B71" s="94">
        <f t="shared" si="6"/>
        <v>31167.629999999997</v>
      </c>
      <c r="C71" s="95">
        <v>4930.8500000000004</v>
      </c>
      <c r="D71" s="95">
        <v>14786.07</v>
      </c>
      <c r="E71" s="95">
        <v>6720.44</v>
      </c>
      <c r="F71" s="97">
        <v>4730.2700000000004</v>
      </c>
      <c r="G71" s="94">
        <f t="shared" ref="G71:G101" si="9">SUM(H71:K71)</f>
        <v>35735.67</v>
      </c>
      <c r="H71" s="95">
        <v>5669.9</v>
      </c>
      <c r="I71" s="95">
        <v>14419.13</v>
      </c>
      <c r="J71" s="95">
        <v>10034.68</v>
      </c>
      <c r="K71" s="97">
        <v>5611.96</v>
      </c>
      <c r="L71" s="94">
        <f t="shared" si="7"/>
        <v>31167.63</v>
      </c>
      <c r="M71" s="95">
        <v>7131.31</v>
      </c>
      <c r="N71" s="95">
        <v>6025.33</v>
      </c>
      <c r="O71" s="97">
        <v>18010.990000000002</v>
      </c>
      <c r="P71" s="94">
        <f t="shared" ref="P71:P101" si="10">SUM(Q71:S71)</f>
        <v>35735.67</v>
      </c>
      <c r="Q71" s="95">
        <v>11121.76</v>
      </c>
      <c r="R71" s="95">
        <v>6504.64</v>
      </c>
      <c r="S71" s="97">
        <v>18109.27</v>
      </c>
      <c r="T71" s="94">
        <f t="shared" si="8"/>
        <v>6720.4400000000005</v>
      </c>
      <c r="U71" s="95">
        <v>3936.86</v>
      </c>
      <c r="V71" s="95">
        <v>1971.25</v>
      </c>
      <c r="W71" s="97">
        <v>812.33</v>
      </c>
      <c r="X71" s="94">
        <f t="shared" ref="X71:X101" si="11">SUM(Y71:AA71)</f>
        <v>10034.68</v>
      </c>
      <c r="Y71" s="95">
        <v>6721.95</v>
      </c>
      <c r="Z71" s="95">
        <v>2287.41</v>
      </c>
      <c r="AA71" s="97">
        <v>1025.32</v>
      </c>
    </row>
    <row r="72" spans="1:27" x14ac:dyDescent="0.35">
      <c r="A72" s="50" t="s">
        <v>253</v>
      </c>
      <c r="B72" s="94">
        <f t="shared" si="6"/>
        <v>29049</v>
      </c>
      <c r="C72" s="95">
        <v>4917.1400000000003</v>
      </c>
      <c r="D72" s="95">
        <v>14823.91</v>
      </c>
      <c r="E72" s="95">
        <v>4541.0200000000004</v>
      </c>
      <c r="F72" s="97">
        <v>4766.93</v>
      </c>
      <c r="G72" s="94">
        <f t="shared" si="9"/>
        <v>35892.199999999997</v>
      </c>
      <c r="H72" s="95">
        <v>5716.11</v>
      </c>
      <c r="I72" s="95">
        <v>14384.94</v>
      </c>
      <c r="J72" s="95">
        <v>9956.2000000000007</v>
      </c>
      <c r="K72" s="97">
        <v>5834.95</v>
      </c>
      <c r="L72" s="94">
        <f t="shared" si="7"/>
        <v>29049.010000000002</v>
      </c>
      <c r="M72" s="95">
        <v>5042.09</v>
      </c>
      <c r="N72" s="95">
        <v>5923.81</v>
      </c>
      <c r="O72" s="97">
        <v>18083.11</v>
      </c>
      <c r="P72" s="94">
        <f t="shared" si="10"/>
        <v>35892.19</v>
      </c>
      <c r="Q72" s="95">
        <v>11040.12</v>
      </c>
      <c r="R72" s="95">
        <v>6505.7</v>
      </c>
      <c r="S72" s="97">
        <v>18346.37</v>
      </c>
      <c r="T72" s="94">
        <f t="shared" si="8"/>
        <v>4541.03</v>
      </c>
      <c r="U72" s="95">
        <v>2076.5500000000002</v>
      </c>
      <c r="V72" s="95">
        <v>1803.11</v>
      </c>
      <c r="W72" s="97">
        <v>661.37</v>
      </c>
      <c r="X72" s="94">
        <f t="shared" si="11"/>
        <v>9956.2000000000007</v>
      </c>
      <c r="Y72" s="95">
        <v>6538.86</v>
      </c>
      <c r="Z72" s="95">
        <v>2234.65</v>
      </c>
      <c r="AA72" s="97">
        <v>1182.69</v>
      </c>
    </row>
    <row r="73" spans="1:27" x14ac:dyDescent="0.35">
      <c r="A73" s="50" t="s">
        <v>254</v>
      </c>
      <c r="B73" s="94">
        <f t="shared" si="6"/>
        <v>38269.89</v>
      </c>
      <c r="C73" s="95">
        <v>6184.87</v>
      </c>
      <c r="D73" s="95">
        <v>14391.04</v>
      </c>
      <c r="E73" s="95">
        <v>11669.98</v>
      </c>
      <c r="F73" s="97">
        <v>6024</v>
      </c>
      <c r="G73" s="94">
        <f t="shared" si="9"/>
        <v>35289.42</v>
      </c>
      <c r="H73" s="95">
        <v>5651.46</v>
      </c>
      <c r="I73" s="95">
        <v>14389.04</v>
      </c>
      <c r="J73" s="95">
        <v>9703.98</v>
      </c>
      <c r="K73" s="97">
        <v>5544.94</v>
      </c>
      <c r="L73" s="94">
        <f t="shared" si="7"/>
        <v>38269.89</v>
      </c>
      <c r="M73" s="95">
        <v>13194.57</v>
      </c>
      <c r="N73" s="95">
        <v>6690.31</v>
      </c>
      <c r="O73" s="97">
        <v>18385.009999999998</v>
      </c>
      <c r="P73" s="94">
        <f t="shared" si="10"/>
        <v>35289.42</v>
      </c>
      <c r="Q73" s="95">
        <v>10836.8</v>
      </c>
      <c r="R73" s="95">
        <v>6344.22</v>
      </c>
      <c r="S73" s="97">
        <v>18108.400000000001</v>
      </c>
      <c r="T73" s="94">
        <f t="shared" si="8"/>
        <v>11669.980000000001</v>
      </c>
      <c r="U73" s="95">
        <v>7956.7</v>
      </c>
      <c r="V73" s="95">
        <v>2477</v>
      </c>
      <c r="W73" s="97">
        <v>1236.28</v>
      </c>
      <c r="X73" s="94">
        <f t="shared" si="11"/>
        <v>9703.98</v>
      </c>
      <c r="Y73" s="95">
        <v>6410.44</v>
      </c>
      <c r="Z73" s="95">
        <v>2239.8200000000002</v>
      </c>
      <c r="AA73" s="97">
        <v>1053.72</v>
      </c>
    </row>
    <row r="74" spans="1:27" x14ac:dyDescent="0.35">
      <c r="A74" s="50" t="s">
        <v>255</v>
      </c>
      <c r="B74" s="94">
        <f t="shared" si="6"/>
        <v>40229.100000000006</v>
      </c>
      <c r="C74" s="95">
        <v>6250.1</v>
      </c>
      <c r="D74" s="95">
        <v>13534.67</v>
      </c>
      <c r="E74" s="95">
        <v>14065.11</v>
      </c>
      <c r="F74" s="97">
        <v>6379.22</v>
      </c>
      <c r="G74" s="94">
        <f t="shared" si="9"/>
        <v>35178.85</v>
      </c>
      <c r="H74" s="95">
        <v>5527.83</v>
      </c>
      <c r="I74" s="95">
        <v>14247.7</v>
      </c>
      <c r="J74" s="95">
        <v>9907.77</v>
      </c>
      <c r="K74" s="97">
        <v>5495.55</v>
      </c>
      <c r="L74" s="94">
        <f t="shared" si="7"/>
        <v>40229.100000000006</v>
      </c>
      <c r="M74" s="95">
        <v>15614.67</v>
      </c>
      <c r="N74" s="95">
        <v>6895.85</v>
      </c>
      <c r="O74" s="97">
        <v>17718.580000000002</v>
      </c>
      <c r="P74" s="94">
        <f t="shared" si="10"/>
        <v>35178.850000000006</v>
      </c>
      <c r="Q74" s="95">
        <v>10825.53</v>
      </c>
      <c r="R74" s="95">
        <v>6409.09</v>
      </c>
      <c r="S74" s="97">
        <v>17944.23</v>
      </c>
      <c r="T74" s="94">
        <f t="shared" si="8"/>
        <v>14065.11</v>
      </c>
      <c r="U74" s="95">
        <v>10074.5</v>
      </c>
      <c r="V74" s="95">
        <v>2614.79</v>
      </c>
      <c r="W74" s="97">
        <v>1375.82</v>
      </c>
      <c r="X74" s="94">
        <f t="shared" si="11"/>
        <v>9907.7800000000007</v>
      </c>
      <c r="Y74" s="95">
        <v>6586.93</v>
      </c>
      <c r="Z74" s="95">
        <v>2271.1999999999998</v>
      </c>
      <c r="AA74" s="97">
        <v>1049.6500000000001</v>
      </c>
    </row>
    <row r="75" spans="1:27" x14ac:dyDescent="0.35">
      <c r="A75" s="50" t="s">
        <v>256</v>
      </c>
      <c r="B75" s="94">
        <f t="shared" si="6"/>
        <v>31971.530000000002</v>
      </c>
      <c r="C75" s="95">
        <v>4964.2</v>
      </c>
      <c r="D75" s="95">
        <v>14520.79</v>
      </c>
      <c r="E75" s="95">
        <v>7449.74</v>
      </c>
      <c r="F75" s="97">
        <v>5036.8</v>
      </c>
      <c r="G75" s="94">
        <f t="shared" si="9"/>
        <v>35330.17</v>
      </c>
      <c r="H75" s="95">
        <v>5619.51</v>
      </c>
      <c r="I75" s="95">
        <v>14151.31</v>
      </c>
      <c r="J75" s="95">
        <v>9894.01</v>
      </c>
      <c r="K75" s="97">
        <v>5665.34</v>
      </c>
      <c r="L75" s="94">
        <f t="shared" si="7"/>
        <v>31971.55</v>
      </c>
      <c r="M75" s="95">
        <v>7920.49</v>
      </c>
      <c r="N75" s="95">
        <v>5996.58</v>
      </c>
      <c r="O75" s="97">
        <v>18054.48</v>
      </c>
      <c r="P75" s="94">
        <f t="shared" si="10"/>
        <v>35330.18</v>
      </c>
      <c r="Q75" s="95">
        <v>10909.92</v>
      </c>
      <c r="R75" s="95">
        <v>6403.98</v>
      </c>
      <c r="S75" s="97">
        <v>18016.28</v>
      </c>
      <c r="T75" s="94">
        <f t="shared" si="8"/>
        <v>7449.74</v>
      </c>
      <c r="U75" s="95">
        <v>4471.2299999999996</v>
      </c>
      <c r="V75" s="95">
        <v>2011.68</v>
      </c>
      <c r="W75" s="97">
        <v>966.83</v>
      </c>
      <c r="X75" s="94">
        <f t="shared" si="11"/>
        <v>9894.01</v>
      </c>
      <c r="Y75" s="95">
        <v>6503.53</v>
      </c>
      <c r="Z75" s="95">
        <v>2252.7800000000002</v>
      </c>
      <c r="AA75" s="97">
        <v>1137.7</v>
      </c>
    </row>
    <row r="76" spans="1:27" x14ac:dyDescent="0.35">
      <c r="A76" s="50" t="s">
        <v>257</v>
      </c>
      <c r="B76" s="94">
        <f t="shared" si="6"/>
        <v>27658.270000000004</v>
      </c>
      <c r="C76" s="95">
        <v>4853.34</v>
      </c>
      <c r="D76" s="95">
        <v>14360.42</v>
      </c>
      <c r="E76" s="95">
        <v>4013.72</v>
      </c>
      <c r="F76" s="97">
        <v>4430.79</v>
      </c>
      <c r="G76" s="94">
        <f t="shared" si="9"/>
        <v>34493.530000000006</v>
      </c>
      <c r="H76" s="95">
        <v>5604</v>
      </c>
      <c r="I76" s="95">
        <v>13927.19</v>
      </c>
      <c r="J76" s="95">
        <v>9332.5400000000009</v>
      </c>
      <c r="K76" s="97">
        <v>5629.8</v>
      </c>
      <c r="L76" s="94">
        <f t="shared" si="7"/>
        <v>27658.260000000002</v>
      </c>
      <c r="M76" s="95">
        <v>4536.63</v>
      </c>
      <c r="N76" s="95">
        <v>5831.34</v>
      </c>
      <c r="O76" s="97">
        <v>17290.29</v>
      </c>
      <c r="P76" s="94">
        <f t="shared" si="10"/>
        <v>34493.53</v>
      </c>
      <c r="Q76" s="95">
        <v>10424.92</v>
      </c>
      <c r="R76" s="95">
        <v>6427.6</v>
      </c>
      <c r="S76" s="97">
        <v>17641.009999999998</v>
      </c>
      <c r="T76" s="94">
        <f t="shared" si="8"/>
        <v>4013.7200000000003</v>
      </c>
      <c r="U76" s="95">
        <v>1722.54</v>
      </c>
      <c r="V76" s="95">
        <v>1781.72</v>
      </c>
      <c r="W76" s="97">
        <v>509.46</v>
      </c>
      <c r="X76" s="94">
        <f t="shared" si="11"/>
        <v>9332.5499999999993</v>
      </c>
      <c r="Y76" s="95">
        <v>6057.04</v>
      </c>
      <c r="Z76" s="95">
        <v>2217.52</v>
      </c>
      <c r="AA76" s="97">
        <v>1057.99</v>
      </c>
    </row>
    <row r="77" spans="1:27" x14ac:dyDescent="0.35">
      <c r="A77" s="50" t="s">
        <v>258</v>
      </c>
      <c r="B77" s="94">
        <f t="shared" si="6"/>
        <v>39181.279999999999</v>
      </c>
      <c r="C77" s="95">
        <v>6206.32</v>
      </c>
      <c r="D77" s="95">
        <v>13859.27</v>
      </c>
      <c r="E77" s="95">
        <v>12810.21</v>
      </c>
      <c r="F77" s="97">
        <v>6305.48</v>
      </c>
      <c r="G77" s="94">
        <f t="shared" si="9"/>
        <v>34919.42</v>
      </c>
      <c r="H77" s="95">
        <v>5550.66</v>
      </c>
      <c r="I77" s="95">
        <v>13850.78</v>
      </c>
      <c r="J77" s="95">
        <v>9929.67</v>
      </c>
      <c r="K77" s="97">
        <v>5588.31</v>
      </c>
      <c r="L77" s="94">
        <f t="shared" si="7"/>
        <v>39181.270000000004</v>
      </c>
      <c r="M77" s="95">
        <v>14227.55</v>
      </c>
      <c r="N77" s="95">
        <v>6825.72</v>
      </c>
      <c r="O77" s="97">
        <v>18128</v>
      </c>
      <c r="P77" s="94">
        <f t="shared" si="10"/>
        <v>34919.42</v>
      </c>
      <c r="Q77" s="95">
        <v>10879.35</v>
      </c>
      <c r="R77" s="95">
        <v>6353.58</v>
      </c>
      <c r="S77" s="97">
        <v>17686.490000000002</v>
      </c>
      <c r="T77" s="94">
        <f t="shared" si="8"/>
        <v>12810.21</v>
      </c>
      <c r="U77" s="95">
        <v>8876.07</v>
      </c>
      <c r="V77" s="95">
        <v>2532.39</v>
      </c>
      <c r="W77" s="97">
        <v>1401.75</v>
      </c>
      <c r="X77" s="94">
        <f t="shared" si="11"/>
        <v>9929.67</v>
      </c>
      <c r="Y77" s="95">
        <v>6561.51</v>
      </c>
      <c r="Z77" s="95">
        <v>2243.5</v>
      </c>
      <c r="AA77" s="97">
        <v>1124.6600000000001</v>
      </c>
    </row>
    <row r="78" spans="1:27" x14ac:dyDescent="0.35">
      <c r="A78" s="50" t="s">
        <v>259</v>
      </c>
      <c r="B78" s="94">
        <f t="shared" si="6"/>
        <v>40301.17</v>
      </c>
      <c r="C78" s="95">
        <v>6189.41</v>
      </c>
      <c r="D78" s="95">
        <v>13489.05</v>
      </c>
      <c r="E78" s="95">
        <v>14252.72</v>
      </c>
      <c r="F78" s="97">
        <v>6369.99</v>
      </c>
      <c r="G78" s="94">
        <f t="shared" si="9"/>
        <v>35306.65</v>
      </c>
      <c r="H78" s="95">
        <v>5545.14</v>
      </c>
      <c r="I78" s="95">
        <v>14059.05</v>
      </c>
      <c r="J78" s="95">
        <v>10139.790000000001</v>
      </c>
      <c r="K78" s="97">
        <v>5562.67</v>
      </c>
      <c r="L78" s="94">
        <f t="shared" si="7"/>
        <v>40301.160000000003</v>
      </c>
      <c r="M78" s="95">
        <v>15522.15</v>
      </c>
      <c r="N78" s="95">
        <v>6753.72</v>
      </c>
      <c r="O78" s="97">
        <v>18025.29</v>
      </c>
      <c r="P78" s="94">
        <f t="shared" si="10"/>
        <v>35306.630000000005</v>
      </c>
      <c r="Q78" s="95">
        <v>10941.23</v>
      </c>
      <c r="R78" s="95">
        <v>6299.92</v>
      </c>
      <c r="S78" s="97">
        <v>18065.48</v>
      </c>
      <c r="T78" s="94">
        <f t="shared" si="8"/>
        <v>14252.730000000001</v>
      </c>
      <c r="U78" s="95">
        <v>10093.85</v>
      </c>
      <c r="V78" s="95">
        <v>2625.71</v>
      </c>
      <c r="W78" s="97">
        <v>1533.17</v>
      </c>
      <c r="X78" s="94">
        <f t="shared" si="11"/>
        <v>10139.789999999999</v>
      </c>
      <c r="Y78" s="95">
        <v>6656.25</v>
      </c>
      <c r="Z78" s="95">
        <v>2303.7199999999998</v>
      </c>
      <c r="AA78" s="97">
        <v>1179.82</v>
      </c>
    </row>
    <row r="79" spans="1:27" x14ac:dyDescent="0.35">
      <c r="A79" s="50" t="s">
        <v>260</v>
      </c>
      <c r="B79" s="94">
        <f t="shared" si="6"/>
        <v>21964.329999999998</v>
      </c>
      <c r="C79" s="95">
        <v>4323.08</v>
      </c>
      <c r="D79" s="95">
        <v>6899</v>
      </c>
      <c r="E79" s="95">
        <v>6804.88</v>
      </c>
      <c r="F79" s="97">
        <v>3937.37</v>
      </c>
      <c r="G79" s="94">
        <f t="shared" si="9"/>
        <v>26639.799999999996</v>
      </c>
      <c r="H79" s="95">
        <v>5008.7299999999996</v>
      </c>
      <c r="I79" s="95">
        <v>6635.03</v>
      </c>
      <c r="J79" s="95">
        <v>10178.44</v>
      </c>
      <c r="K79" s="97">
        <v>4817.6000000000004</v>
      </c>
      <c r="L79" s="94">
        <f t="shared" si="7"/>
        <v>21964.33</v>
      </c>
      <c r="M79" s="95">
        <v>6813.31</v>
      </c>
      <c r="N79" s="95">
        <v>5216.17</v>
      </c>
      <c r="O79" s="97">
        <v>9934.85</v>
      </c>
      <c r="P79" s="94">
        <f t="shared" si="10"/>
        <v>26639.8</v>
      </c>
      <c r="Q79" s="95">
        <v>10740.36</v>
      </c>
      <c r="R79" s="95">
        <v>5669.92</v>
      </c>
      <c r="S79" s="97">
        <v>10229.52</v>
      </c>
      <c r="T79" s="94">
        <f t="shared" si="8"/>
        <v>6804.8700000000008</v>
      </c>
      <c r="U79" s="95">
        <v>3915.43</v>
      </c>
      <c r="V79" s="95">
        <v>2055.0100000000002</v>
      </c>
      <c r="W79" s="97">
        <v>834.43</v>
      </c>
      <c r="X79" s="94">
        <f t="shared" si="11"/>
        <v>10178.439999999999</v>
      </c>
      <c r="Y79" s="95">
        <v>6695.12</v>
      </c>
      <c r="Z79" s="95">
        <v>2361.9499999999998</v>
      </c>
      <c r="AA79" s="97">
        <v>1121.3699999999999</v>
      </c>
    </row>
    <row r="80" spans="1:27" x14ac:dyDescent="0.35">
      <c r="A80" s="50" t="s">
        <v>261</v>
      </c>
      <c r="B80" s="94">
        <f t="shared" si="6"/>
        <v>24430.469999999998</v>
      </c>
      <c r="C80" s="95">
        <v>4726.41</v>
      </c>
      <c r="D80" s="95">
        <v>10813.3</v>
      </c>
      <c r="E80" s="95">
        <v>4836.55</v>
      </c>
      <c r="F80" s="97">
        <v>4054.21</v>
      </c>
      <c r="G80" s="94">
        <f t="shared" si="9"/>
        <v>31467.460000000003</v>
      </c>
      <c r="H80" s="95">
        <v>5456.1</v>
      </c>
      <c r="I80" s="95">
        <v>10398.290000000001</v>
      </c>
      <c r="J80" s="95">
        <v>10543.78</v>
      </c>
      <c r="K80" s="97">
        <v>5069.29</v>
      </c>
      <c r="L80" s="94">
        <f t="shared" si="7"/>
        <v>24430.48</v>
      </c>
      <c r="M80" s="95">
        <v>5053.08</v>
      </c>
      <c r="N80" s="95">
        <v>5473.16</v>
      </c>
      <c r="O80" s="97">
        <v>13904.24</v>
      </c>
      <c r="P80" s="94">
        <f t="shared" si="10"/>
        <v>31467.47</v>
      </c>
      <c r="Q80" s="95">
        <v>11123.08</v>
      </c>
      <c r="R80" s="95">
        <v>6062.45</v>
      </c>
      <c r="S80" s="97">
        <v>14281.94</v>
      </c>
      <c r="T80" s="94">
        <f t="shared" si="8"/>
        <v>4836.55</v>
      </c>
      <c r="U80" s="95">
        <v>2392.7600000000002</v>
      </c>
      <c r="V80" s="95">
        <v>1860.9</v>
      </c>
      <c r="W80" s="97">
        <v>582.89</v>
      </c>
      <c r="X80" s="94">
        <f t="shared" si="11"/>
        <v>10543.78</v>
      </c>
      <c r="Y80" s="95">
        <v>7109.8</v>
      </c>
      <c r="Z80" s="95">
        <v>2287.9899999999998</v>
      </c>
      <c r="AA80" s="97">
        <v>1145.99</v>
      </c>
    </row>
    <row r="81" spans="1:27" x14ac:dyDescent="0.35">
      <c r="A81" s="50" t="s">
        <v>262</v>
      </c>
      <c r="B81" s="94">
        <f t="shared" si="6"/>
        <v>35837.479999999996</v>
      </c>
      <c r="C81" s="95">
        <v>6106.55</v>
      </c>
      <c r="D81" s="95">
        <v>10510.47</v>
      </c>
      <c r="E81" s="95">
        <v>13496.39</v>
      </c>
      <c r="F81" s="97">
        <v>5724.07</v>
      </c>
      <c r="G81" s="94">
        <f t="shared" si="9"/>
        <v>31919.87</v>
      </c>
      <c r="H81" s="95">
        <v>5545.03</v>
      </c>
      <c r="I81" s="95">
        <v>10497.4</v>
      </c>
      <c r="J81" s="95">
        <v>10707</v>
      </c>
      <c r="K81" s="97">
        <v>5170.4399999999996</v>
      </c>
      <c r="L81" s="94">
        <f t="shared" si="7"/>
        <v>35837.46</v>
      </c>
      <c r="M81" s="95">
        <v>14424.8</v>
      </c>
      <c r="N81" s="95">
        <v>6594.41</v>
      </c>
      <c r="O81" s="97">
        <v>14818.25</v>
      </c>
      <c r="P81" s="94">
        <f t="shared" si="10"/>
        <v>31919.870000000003</v>
      </c>
      <c r="Q81" s="95">
        <v>11327.54</v>
      </c>
      <c r="R81" s="95">
        <v>6194.27</v>
      </c>
      <c r="S81" s="97">
        <v>14398.06</v>
      </c>
      <c r="T81" s="94">
        <f t="shared" si="8"/>
        <v>13496.39</v>
      </c>
      <c r="U81" s="95">
        <v>9410.99</v>
      </c>
      <c r="V81" s="95">
        <v>2708.01</v>
      </c>
      <c r="W81" s="97">
        <v>1377.39</v>
      </c>
      <c r="X81" s="94">
        <f t="shared" si="11"/>
        <v>10707</v>
      </c>
      <c r="Y81" s="95">
        <v>7154.83</v>
      </c>
      <c r="Z81" s="95">
        <v>2435.35</v>
      </c>
      <c r="AA81" s="97">
        <v>1116.82</v>
      </c>
    </row>
    <row r="82" spans="1:27" x14ac:dyDescent="0.35">
      <c r="A82" s="50" t="s">
        <v>263</v>
      </c>
      <c r="B82" s="94">
        <f t="shared" si="6"/>
        <v>37361.910000000003</v>
      </c>
      <c r="C82" s="95">
        <v>6211.36</v>
      </c>
      <c r="D82" s="95">
        <v>8789.32</v>
      </c>
      <c r="E82" s="95">
        <v>16255.45</v>
      </c>
      <c r="F82" s="97">
        <v>6105.78</v>
      </c>
      <c r="G82" s="94">
        <f t="shared" si="9"/>
        <v>30180.329999999998</v>
      </c>
      <c r="H82" s="95">
        <v>5451.9</v>
      </c>
      <c r="I82" s="95">
        <v>9391.07</v>
      </c>
      <c r="J82" s="95">
        <v>10307.15</v>
      </c>
      <c r="K82" s="97">
        <v>5030.21</v>
      </c>
      <c r="L82" s="94">
        <f t="shared" si="7"/>
        <v>37361.910000000003</v>
      </c>
      <c r="M82" s="95">
        <v>17373.580000000002</v>
      </c>
      <c r="N82" s="95">
        <v>6647.15</v>
      </c>
      <c r="O82" s="97">
        <v>13341.18</v>
      </c>
      <c r="P82" s="94">
        <f t="shared" si="10"/>
        <v>30180.33</v>
      </c>
      <c r="Q82" s="95">
        <v>10984.12</v>
      </c>
      <c r="R82" s="95">
        <v>6059.61</v>
      </c>
      <c r="S82" s="97">
        <v>13136.6</v>
      </c>
      <c r="T82" s="94">
        <f t="shared" si="8"/>
        <v>16255.449999999999</v>
      </c>
      <c r="U82" s="95">
        <v>11866.55</v>
      </c>
      <c r="V82" s="95">
        <v>2795.48</v>
      </c>
      <c r="W82" s="97">
        <v>1593.42</v>
      </c>
      <c r="X82" s="94">
        <f t="shared" si="11"/>
        <v>10307.150000000001</v>
      </c>
      <c r="Y82" s="95">
        <v>6850.21</v>
      </c>
      <c r="Z82" s="95">
        <v>2388.0100000000002</v>
      </c>
      <c r="AA82" s="97">
        <v>1068.93</v>
      </c>
    </row>
    <row r="83" spans="1:27" x14ac:dyDescent="0.35">
      <c r="A83" s="50" t="s">
        <v>264</v>
      </c>
      <c r="B83" s="94">
        <f t="shared" si="6"/>
        <v>29095.579999999998</v>
      </c>
      <c r="C83" s="95">
        <v>4786.5</v>
      </c>
      <c r="D83" s="95">
        <v>10884.98</v>
      </c>
      <c r="E83" s="95">
        <v>8766.73</v>
      </c>
      <c r="F83" s="97">
        <v>4657.37</v>
      </c>
      <c r="G83" s="94">
        <f t="shared" si="9"/>
        <v>31350.28</v>
      </c>
      <c r="H83" s="95">
        <v>5285.91</v>
      </c>
      <c r="I83" s="95">
        <v>10634.01</v>
      </c>
      <c r="J83" s="95">
        <v>10383.69</v>
      </c>
      <c r="K83" s="97">
        <v>5046.67</v>
      </c>
      <c r="L83" s="94">
        <f t="shared" si="7"/>
        <v>29095.58</v>
      </c>
      <c r="M83" s="95">
        <v>8901.5499999999993</v>
      </c>
      <c r="N83" s="95">
        <v>5786.09</v>
      </c>
      <c r="O83" s="97">
        <v>14407.94</v>
      </c>
      <c r="P83" s="94">
        <f t="shared" si="10"/>
        <v>31350.29</v>
      </c>
      <c r="Q83" s="95">
        <v>10828.33</v>
      </c>
      <c r="R83" s="95">
        <v>6139.49</v>
      </c>
      <c r="S83" s="97">
        <v>14382.47</v>
      </c>
      <c r="T83" s="94">
        <f t="shared" si="8"/>
        <v>8766.73</v>
      </c>
      <c r="U83" s="95">
        <v>5612.26</v>
      </c>
      <c r="V83" s="95">
        <v>2153.58</v>
      </c>
      <c r="W83" s="97">
        <v>1000.89</v>
      </c>
      <c r="X83" s="94">
        <f t="shared" si="11"/>
        <v>10383.700000000001</v>
      </c>
      <c r="Y83" s="95">
        <v>6897.68</v>
      </c>
      <c r="Z83" s="95">
        <v>2342.59</v>
      </c>
      <c r="AA83" s="97">
        <v>1143.43</v>
      </c>
    </row>
    <row r="84" spans="1:27" x14ac:dyDescent="0.35">
      <c r="A84" s="50" t="s">
        <v>488</v>
      </c>
      <c r="B84" s="94">
        <f t="shared" ref="B84" si="12">SUM(C84:F84)</f>
        <v>25152.82</v>
      </c>
      <c r="C84" s="95">
        <v>4629.76</v>
      </c>
      <c r="D84" s="95">
        <v>12132.35</v>
      </c>
      <c r="E84" s="95">
        <v>4163.3599999999997</v>
      </c>
      <c r="F84" s="97">
        <v>4227.3500000000004</v>
      </c>
      <c r="G84" s="94">
        <f t="shared" ref="G84" si="13">SUM(H84:K84)</f>
        <v>33205.11</v>
      </c>
      <c r="H84" s="95">
        <v>5290.06</v>
      </c>
      <c r="I84" s="95">
        <v>11787.71</v>
      </c>
      <c r="J84" s="95">
        <v>10495.31</v>
      </c>
      <c r="K84" s="97">
        <v>5632.03</v>
      </c>
      <c r="L84" s="94">
        <f t="shared" ref="L84" si="14">SUM(M84:O84)</f>
        <v>25152.809999999998</v>
      </c>
      <c r="M84" s="95">
        <v>4683.66</v>
      </c>
      <c r="N84" s="95">
        <v>5576.03</v>
      </c>
      <c r="O84" s="97">
        <v>14893.12</v>
      </c>
      <c r="P84" s="94">
        <f t="shared" ref="P84" si="15">SUM(Q84:S84)</f>
        <v>33205.1</v>
      </c>
      <c r="Q84" s="95">
        <v>11521.49</v>
      </c>
      <c r="R84" s="95">
        <v>6165.25</v>
      </c>
      <c r="S84" s="97">
        <v>15518.36</v>
      </c>
      <c r="T84" s="94">
        <f t="shared" ref="T84" si="16">SUM(U84:W84)</f>
        <v>4163.3499999999995</v>
      </c>
      <c r="U84" s="95">
        <v>1975.11</v>
      </c>
      <c r="V84" s="95">
        <v>1745.78</v>
      </c>
      <c r="W84" s="97">
        <v>442.46</v>
      </c>
      <c r="X84" s="94">
        <f t="shared" ref="X84" si="17">SUM(Y84:AA84)</f>
        <v>10495.300000000001</v>
      </c>
      <c r="Y84" s="95">
        <v>7240.26</v>
      </c>
      <c r="Z84" s="95">
        <v>2166.27</v>
      </c>
      <c r="AA84" s="97">
        <v>1088.77</v>
      </c>
    </row>
    <row r="85" spans="1:27" x14ac:dyDescent="0.35">
      <c r="A85" s="50" t="s">
        <v>489</v>
      </c>
      <c r="B85" s="94">
        <f t="shared" si="6"/>
        <v>36418.44</v>
      </c>
      <c r="C85" s="95">
        <v>5874.05</v>
      </c>
      <c r="D85" s="95">
        <v>12572.38</v>
      </c>
      <c r="E85" s="95">
        <v>11739.26</v>
      </c>
      <c r="F85" s="97">
        <v>6232.75</v>
      </c>
      <c r="G85" s="94">
        <f t="shared" si="9"/>
        <v>33537.270000000004</v>
      </c>
      <c r="H85" s="95">
        <v>5443.12</v>
      </c>
      <c r="I85" s="95">
        <v>12697.21</v>
      </c>
      <c r="J85" s="95">
        <v>9745.85</v>
      </c>
      <c r="K85" s="97">
        <v>5651.09</v>
      </c>
      <c r="L85" s="94">
        <f t="shared" si="7"/>
        <v>36418.449999999997</v>
      </c>
      <c r="M85" s="95">
        <v>13210.1</v>
      </c>
      <c r="N85" s="95">
        <v>6515.93</v>
      </c>
      <c r="O85" s="97">
        <v>16692.419999999998</v>
      </c>
      <c r="P85" s="94">
        <f t="shared" si="10"/>
        <v>33537.29</v>
      </c>
      <c r="Q85" s="95">
        <v>10880.15</v>
      </c>
      <c r="R85" s="95">
        <v>6200.56</v>
      </c>
      <c r="S85" s="97">
        <v>16456.580000000002</v>
      </c>
      <c r="T85" s="94">
        <f t="shared" si="8"/>
        <v>11739.26</v>
      </c>
      <c r="U85" s="95">
        <v>7957.63</v>
      </c>
      <c r="V85" s="95">
        <v>2471.62</v>
      </c>
      <c r="W85" s="97">
        <v>1310.01</v>
      </c>
      <c r="X85" s="94">
        <f t="shared" si="11"/>
        <v>9745.8499999999985</v>
      </c>
      <c r="Y85" s="95">
        <v>6409.84</v>
      </c>
      <c r="Z85" s="95">
        <v>2257.14</v>
      </c>
      <c r="AA85" s="97">
        <v>1078.8699999999999</v>
      </c>
    </row>
    <row r="86" spans="1:27" x14ac:dyDescent="0.35">
      <c r="A86" s="50" t="s">
        <v>492</v>
      </c>
      <c r="B86" s="94">
        <f t="shared" ref="B86:B87" si="18">SUM(C86:F86)</f>
        <v>37295.1</v>
      </c>
      <c r="C86" s="95">
        <v>5906.09</v>
      </c>
      <c r="D86" s="95">
        <v>11634.68</v>
      </c>
      <c r="E86" s="95">
        <v>13713.02</v>
      </c>
      <c r="F86" s="97">
        <v>6041.31</v>
      </c>
      <c r="G86" s="94">
        <f t="shared" si="9"/>
        <v>32295.140000000003</v>
      </c>
      <c r="H86" s="95">
        <v>5298.01</v>
      </c>
      <c r="I86" s="95">
        <v>12215.79</v>
      </c>
      <c r="J86" s="95">
        <v>9617.64</v>
      </c>
      <c r="K86" s="97">
        <v>5163.7</v>
      </c>
      <c r="L86" s="94">
        <f t="shared" si="7"/>
        <v>37295.089999999997</v>
      </c>
      <c r="M86" s="95">
        <v>14913.46</v>
      </c>
      <c r="N86" s="95">
        <v>6517.61</v>
      </c>
      <c r="O86" s="97">
        <v>15864.02</v>
      </c>
      <c r="P86" s="94">
        <f t="shared" si="10"/>
        <v>32295.14</v>
      </c>
      <c r="Q86" s="95">
        <v>10359.879999999999</v>
      </c>
      <c r="R86" s="95">
        <v>6061.49</v>
      </c>
      <c r="S86" s="97">
        <v>15873.77</v>
      </c>
      <c r="T86" s="94">
        <f t="shared" si="8"/>
        <v>13713.02</v>
      </c>
      <c r="U86" s="95">
        <v>9813.74</v>
      </c>
      <c r="V86" s="95">
        <v>2467.1</v>
      </c>
      <c r="W86" s="97">
        <v>1432.18</v>
      </c>
      <c r="X86" s="94">
        <f t="shared" si="11"/>
        <v>9617.64</v>
      </c>
      <c r="Y86" s="95">
        <v>6359.44</v>
      </c>
      <c r="Z86" s="95">
        <v>2186.69</v>
      </c>
      <c r="AA86" s="97">
        <v>1071.51</v>
      </c>
    </row>
    <row r="87" spans="1:27" x14ac:dyDescent="0.35">
      <c r="A87" s="50" t="s">
        <v>493</v>
      </c>
      <c r="B87" s="94">
        <f t="shared" si="18"/>
        <v>28234.41</v>
      </c>
      <c r="C87" s="95">
        <v>4588.2299999999996</v>
      </c>
      <c r="D87" s="95">
        <v>12904.99</v>
      </c>
      <c r="E87" s="95">
        <v>6348.8</v>
      </c>
      <c r="F87" s="97">
        <v>4392.3900000000003</v>
      </c>
      <c r="G87" s="94">
        <f t="shared" si="9"/>
        <v>32733.97</v>
      </c>
      <c r="H87" s="95">
        <v>5176.07</v>
      </c>
      <c r="I87" s="95">
        <v>12573.62</v>
      </c>
      <c r="J87" s="95">
        <v>9697.91</v>
      </c>
      <c r="K87" s="97">
        <v>5286.37</v>
      </c>
      <c r="L87" s="94">
        <f t="shared" si="7"/>
        <v>28234.41</v>
      </c>
      <c r="M87" s="95">
        <v>6911.57</v>
      </c>
      <c r="N87" s="95">
        <v>5476.51</v>
      </c>
      <c r="O87" s="97">
        <v>15846.33</v>
      </c>
      <c r="P87" s="94">
        <f t="shared" si="10"/>
        <v>32733.98</v>
      </c>
      <c r="Q87" s="95">
        <v>10696.65</v>
      </c>
      <c r="R87" s="95">
        <v>5915.85</v>
      </c>
      <c r="S87" s="97">
        <v>16121.48</v>
      </c>
      <c r="T87" s="94">
        <f t="shared" si="8"/>
        <v>6348.79</v>
      </c>
      <c r="U87" s="95">
        <v>3774.41</v>
      </c>
      <c r="V87" s="95">
        <v>1875.63</v>
      </c>
      <c r="W87" s="97">
        <v>698.75</v>
      </c>
      <c r="X87" s="94">
        <f t="shared" si="11"/>
        <v>9697.91</v>
      </c>
      <c r="Y87" s="95">
        <v>6539.07</v>
      </c>
      <c r="Z87" s="95">
        <v>2134.64</v>
      </c>
      <c r="AA87" s="97">
        <v>1024.2</v>
      </c>
    </row>
    <row r="88" spans="1:27" x14ac:dyDescent="0.35">
      <c r="A88" s="50" t="s">
        <v>496</v>
      </c>
      <c r="B88" s="94">
        <f t="shared" ref="B88:B94" si="19">SUM(C88:F88)</f>
        <v>25383.86</v>
      </c>
      <c r="C88" s="95">
        <v>4400.8500000000004</v>
      </c>
      <c r="D88" s="95">
        <v>13251.49</v>
      </c>
      <c r="E88" s="95">
        <v>3821.51</v>
      </c>
      <c r="F88" s="97">
        <v>3910.01</v>
      </c>
      <c r="G88" s="94">
        <f t="shared" si="9"/>
        <v>31863.879999999997</v>
      </c>
      <c r="H88" s="95">
        <v>4965.2700000000004</v>
      </c>
      <c r="I88" s="95">
        <v>12815</v>
      </c>
      <c r="J88" s="95">
        <v>8890.2099999999991</v>
      </c>
      <c r="K88" s="97">
        <v>5193.3999999999996</v>
      </c>
      <c r="L88" s="94">
        <f t="shared" si="7"/>
        <v>25383.85</v>
      </c>
      <c r="M88" s="95">
        <v>4307.25</v>
      </c>
      <c r="N88" s="95">
        <v>5333.3</v>
      </c>
      <c r="O88" s="97">
        <v>15743.3</v>
      </c>
      <c r="P88" s="94">
        <f t="shared" si="10"/>
        <v>31863.87</v>
      </c>
      <c r="Q88" s="95">
        <v>9842.9599999999991</v>
      </c>
      <c r="R88" s="95">
        <v>5873.35</v>
      </c>
      <c r="S88" s="97">
        <v>16147.56</v>
      </c>
      <c r="T88" s="94">
        <f t="shared" si="8"/>
        <v>3821.51</v>
      </c>
      <c r="U88" s="95">
        <v>1707.34</v>
      </c>
      <c r="V88" s="95">
        <v>1723.7</v>
      </c>
      <c r="W88" s="97">
        <v>390.47</v>
      </c>
      <c r="X88" s="94">
        <f t="shared" si="11"/>
        <v>8890.2100000000009</v>
      </c>
      <c r="Y88" s="95">
        <v>5845.06</v>
      </c>
      <c r="Z88" s="95">
        <v>2096.42</v>
      </c>
      <c r="AA88" s="97">
        <v>948.73</v>
      </c>
    </row>
    <row r="89" spans="1:27" x14ac:dyDescent="0.35">
      <c r="A89" s="50" t="s">
        <v>498</v>
      </c>
      <c r="B89" s="94">
        <f t="shared" si="19"/>
        <v>34165.370000000003</v>
      </c>
      <c r="C89" s="95">
        <v>5130.95</v>
      </c>
      <c r="D89" s="95">
        <v>12862.61</v>
      </c>
      <c r="E89" s="95">
        <v>10510.32</v>
      </c>
      <c r="F89" s="97">
        <v>5661.49</v>
      </c>
      <c r="G89" s="94">
        <f t="shared" si="9"/>
        <v>31613.13</v>
      </c>
      <c r="H89" s="95">
        <v>4815.6400000000003</v>
      </c>
      <c r="I89" s="95">
        <v>12988.73</v>
      </c>
      <c r="J89" s="95">
        <v>8715.24</v>
      </c>
      <c r="K89" s="97">
        <v>5093.5200000000004</v>
      </c>
      <c r="L89" s="94">
        <f t="shared" si="7"/>
        <v>34165.370000000003</v>
      </c>
      <c r="M89" s="95">
        <v>11417.03</v>
      </c>
      <c r="N89" s="95">
        <v>6041.98</v>
      </c>
      <c r="O89" s="97">
        <v>16706.36</v>
      </c>
      <c r="P89" s="94">
        <f t="shared" si="10"/>
        <v>31613.14</v>
      </c>
      <c r="Q89" s="95">
        <v>9405.26</v>
      </c>
      <c r="R89" s="95">
        <v>5747.69</v>
      </c>
      <c r="S89" s="97">
        <v>16460.189999999999</v>
      </c>
      <c r="T89" s="94">
        <f t="shared" si="8"/>
        <v>10510.32</v>
      </c>
      <c r="U89" s="95">
        <v>7026.1</v>
      </c>
      <c r="V89" s="95">
        <v>2191.83</v>
      </c>
      <c r="W89" s="97">
        <v>1292.3900000000001</v>
      </c>
      <c r="X89" s="94">
        <f t="shared" si="11"/>
        <v>8715.24</v>
      </c>
      <c r="Y89" s="95">
        <v>5673.43</v>
      </c>
      <c r="Z89" s="95">
        <v>1994.25</v>
      </c>
      <c r="AA89" s="97">
        <v>1047.56</v>
      </c>
    </row>
    <row r="90" spans="1:27" x14ac:dyDescent="0.35">
      <c r="A90" s="50" t="s">
        <v>501</v>
      </c>
      <c r="B90" s="94">
        <f t="shared" si="19"/>
        <v>36995.820000000007</v>
      </c>
      <c r="C90" s="95">
        <v>5720.93</v>
      </c>
      <c r="D90" s="95">
        <v>12513.22</v>
      </c>
      <c r="E90" s="95">
        <v>12744.15</v>
      </c>
      <c r="F90" s="97">
        <v>6017.52</v>
      </c>
      <c r="G90" s="94">
        <f t="shared" si="9"/>
        <v>32230.050000000003</v>
      </c>
      <c r="H90" s="95">
        <v>5123.38</v>
      </c>
      <c r="I90" s="95">
        <v>13174.49</v>
      </c>
      <c r="J90" s="95">
        <v>8840.0300000000007</v>
      </c>
      <c r="K90" s="97">
        <v>5092.1499999999996</v>
      </c>
      <c r="L90" s="94">
        <f t="shared" si="7"/>
        <v>36995.81</v>
      </c>
      <c r="M90" s="95">
        <v>14009.04</v>
      </c>
      <c r="N90" s="95">
        <v>6282.68</v>
      </c>
      <c r="O90" s="97">
        <v>16704.09</v>
      </c>
      <c r="P90" s="94">
        <f t="shared" si="10"/>
        <v>32230.04</v>
      </c>
      <c r="Q90" s="95">
        <v>9658.01</v>
      </c>
      <c r="R90" s="95">
        <v>5817.5</v>
      </c>
      <c r="S90" s="97">
        <v>16754.53</v>
      </c>
      <c r="T90" s="94">
        <f t="shared" si="8"/>
        <v>12744.16</v>
      </c>
      <c r="U90" s="95">
        <v>8971.56</v>
      </c>
      <c r="V90" s="95">
        <v>2308.7399999999998</v>
      </c>
      <c r="W90" s="97">
        <v>1463.86</v>
      </c>
      <c r="X90" s="94">
        <f t="shared" si="11"/>
        <v>8840.0399999999991</v>
      </c>
      <c r="Y90" s="95">
        <v>5723.69</v>
      </c>
      <c r="Z90" s="95">
        <v>2037.57</v>
      </c>
      <c r="AA90" s="97">
        <v>1078.78</v>
      </c>
    </row>
    <row r="91" spans="1:27" x14ac:dyDescent="0.35">
      <c r="A91" s="50" t="s">
        <v>503</v>
      </c>
      <c r="B91" s="94">
        <f t="shared" si="19"/>
        <v>27872.75</v>
      </c>
      <c r="C91" s="95">
        <v>4530.87</v>
      </c>
      <c r="D91" s="95">
        <v>13295.25</v>
      </c>
      <c r="E91" s="95">
        <v>5722.67</v>
      </c>
      <c r="F91" s="97">
        <v>4323.96</v>
      </c>
      <c r="G91" s="94">
        <f t="shared" si="9"/>
        <v>31645.57</v>
      </c>
      <c r="H91" s="95">
        <v>5031.53</v>
      </c>
      <c r="I91" s="95">
        <v>12921.5</v>
      </c>
      <c r="J91" s="95">
        <v>8561.36</v>
      </c>
      <c r="K91" s="97">
        <v>5131.18</v>
      </c>
      <c r="L91" s="94">
        <f t="shared" si="7"/>
        <v>27872.75</v>
      </c>
      <c r="M91" s="95">
        <v>6206.15</v>
      </c>
      <c r="N91" s="95">
        <v>5491.64</v>
      </c>
      <c r="O91" s="97">
        <v>16174.96</v>
      </c>
      <c r="P91" s="94">
        <f t="shared" si="10"/>
        <v>31645.57</v>
      </c>
      <c r="Q91" s="95">
        <v>9331.56</v>
      </c>
      <c r="R91" s="95">
        <v>5910.81</v>
      </c>
      <c r="S91" s="97">
        <v>16403.2</v>
      </c>
      <c r="T91" s="94">
        <f t="shared" si="8"/>
        <v>5722.67</v>
      </c>
      <c r="U91" s="95">
        <v>3225.41</v>
      </c>
      <c r="V91" s="95">
        <v>1803.94</v>
      </c>
      <c r="W91" s="97">
        <v>693.32</v>
      </c>
      <c r="X91" s="94">
        <f t="shared" si="11"/>
        <v>8561.36</v>
      </c>
      <c r="Y91" s="95">
        <v>5490.07</v>
      </c>
      <c r="Z91" s="95">
        <v>2032.69</v>
      </c>
      <c r="AA91" s="97">
        <v>1038.5999999999999</v>
      </c>
    </row>
    <row r="92" spans="1:27" x14ac:dyDescent="0.35">
      <c r="A92" s="50" t="s">
        <v>506</v>
      </c>
      <c r="B92" s="94">
        <f t="shared" si="19"/>
        <v>25454.010000000002</v>
      </c>
      <c r="C92" s="95">
        <v>4377.41</v>
      </c>
      <c r="D92" s="95">
        <v>13656.8</v>
      </c>
      <c r="E92" s="95">
        <v>3648.29</v>
      </c>
      <c r="F92" s="97">
        <v>3771.51</v>
      </c>
      <c r="G92" s="94">
        <f t="shared" si="9"/>
        <v>31934.29</v>
      </c>
      <c r="H92" s="95">
        <v>4908</v>
      </c>
      <c r="I92" s="95">
        <v>13206.95</v>
      </c>
      <c r="J92" s="95">
        <v>8766.0400000000009</v>
      </c>
      <c r="K92" s="97">
        <v>5053.3</v>
      </c>
      <c r="L92" s="94">
        <f t="shared" si="7"/>
        <v>25454.02</v>
      </c>
      <c r="M92" s="95">
        <v>3968.86</v>
      </c>
      <c r="N92" s="95">
        <v>5324.59</v>
      </c>
      <c r="O92" s="97">
        <v>16160.57</v>
      </c>
      <c r="P92" s="94">
        <f t="shared" si="10"/>
        <v>31934.29</v>
      </c>
      <c r="Q92" s="95">
        <v>9469.94</v>
      </c>
      <c r="R92" s="95">
        <v>5850.44</v>
      </c>
      <c r="S92" s="97">
        <v>16613.91</v>
      </c>
      <c r="T92" s="94">
        <f t="shared" si="8"/>
        <v>3648.29</v>
      </c>
      <c r="U92" s="95">
        <v>1579.65</v>
      </c>
      <c r="V92" s="95">
        <v>1688.38</v>
      </c>
      <c r="W92" s="97">
        <v>380.26</v>
      </c>
      <c r="X92" s="94">
        <f t="shared" si="11"/>
        <v>8766.0400000000009</v>
      </c>
      <c r="Y92" s="95">
        <v>5747.93</v>
      </c>
      <c r="Z92" s="95">
        <v>2044.29</v>
      </c>
      <c r="AA92" s="97">
        <v>973.82</v>
      </c>
    </row>
    <row r="93" spans="1:27" x14ac:dyDescent="0.35">
      <c r="A93" s="50" t="s">
        <v>508</v>
      </c>
      <c r="B93" s="94">
        <f t="shared" si="19"/>
        <v>34485.480000000003</v>
      </c>
      <c r="C93" s="95">
        <v>5123.8100000000004</v>
      </c>
      <c r="D93" s="95">
        <v>13049.45</v>
      </c>
      <c r="E93" s="95">
        <v>10622.08</v>
      </c>
      <c r="F93" s="97">
        <v>5690.14</v>
      </c>
      <c r="G93" s="94">
        <f t="shared" si="9"/>
        <v>32098.640000000003</v>
      </c>
      <c r="H93" s="95">
        <v>4888.09</v>
      </c>
      <c r="I93" s="95">
        <v>13227.6</v>
      </c>
      <c r="J93" s="95">
        <v>8777.57</v>
      </c>
      <c r="K93" s="97">
        <v>5205.38</v>
      </c>
      <c r="L93" s="94">
        <f t="shared" si="7"/>
        <v>34485.47</v>
      </c>
      <c r="M93" s="95">
        <v>11411.65</v>
      </c>
      <c r="N93" s="95">
        <v>6131.4</v>
      </c>
      <c r="O93" s="97">
        <v>16942.419999999998</v>
      </c>
      <c r="P93" s="94">
        <f t="shared" si="10"/>
        <v>32098.639999999999</v>
      </c>
      <c r="Q93" s="95">
        <v>9524.4</v>
      </c>
      <c r="R93" s="95">
        <v>5863.88</v>
      </c>
      <c r="S93" s="97">
        <v>16710.36</v>
      </c>
      <c r="T93" s="94">
        <f t="shared" si="8"/>
        <v>10622.08</v>
      </c>
      <c r="U93" s="95">
        <v>7111.74</v>
      </c>
      <c r="V93" s="95">
        <v>2167.0300000000002</v>
      </c>
      <c r="W93" s="97">
        <v>1343.31</v>
      </c>
      <c r="X93" s="94">
        <f t="shared" si="11"/>
        <v>8777.57</v>
      </c>
      <c r="Y93" s="95">
        <v>5735.31</v>
      </c>
      <c r="Z93" s="95">
        <v>1986.46</v>
      </c>
      <c r="AA93" s="97">
        <v>1055.8</v>
      </c>
    </row>
    <row r="94" spans="1:27" x14ac:dyDescent="0.35">
      <c r="A94" s="50" t="s">
        <v>509</v>
      </c>
      <c r="B94" s="94">
        <f t="shared" si="19"/>
        <v>37063.279999999999</v>
      </c>
      <c r="C94" s="95">
        <v>5491.58</v>
      </c>
      <c r="D94" s="95">
        <v>12732.72</v>
      </c>
      <c r="E94" s="95">
        <v>12540.59</v>
      </c>
      <c r="F94" s="97">
        <v>6298.39</v>
      </c>
      <c r="G94" s="94">
        <f t="shared" si="9"/>
        <v>32672.190000000002</v>
      </c>
      <c r="H94" s="95">
        <v>4985.1000000000004</v>
      </c>
      <c r="I94" s="95">
        <v>13303.03</v>
      </c>
      <c r="J94" s="95">
        <v>8955.9599999999991</v>
      </c>
      <c r="K94" s="97">
        <v>5428.1</v>
      </c>
      <c r="L94" s="94">
        <f t="shared" si="7"/>
        <v>37063.279999999999</v>
      </c>
      <c r="M94" s="95">
        <v>13958.29</v>
      </c>
      <c r="N94" s="95">
        <v>6361.3</v>
      </c>
      <c r="O94" s="97">
        <v>16743.689999999999</v>
      </c>
      <c r="P94" s="94">
        <f t="shared" si="10"/>
        <v>32672.190000000002</v>
      </c>
      <c r="Q94" s="95">
        <v>9933.7900000000009</v>
      </c>
      <c r="R94" s="95">
        <v>5938.61</v>
      </c>
      <c r="S94" s="97">
        <v>16799.79</v>
      </c>
      <c r="T94" s="94">
        <f t="shared" si="8"/>
        <v>12540.59</v>
      </c>
      <c r="U94" s="95">
        <v>8892.02</v>
      </c>
      <c r="V94" s="95">
        <v>2221.36</v>
      </c>
      <c r="W94" s="97">
        <v>1427.21</v>
      </c>
      <c r="X94" s="94">
        <f t="shared" si="11"/>
        <v>8955.9600000000009</v>
      </c>
      <c r="Y94" s="95">
        <v>5863.76</v>
      </c>
      <c r="Z94" s="95">
        <v>1995.51</v>
      </c>
      <c r="AA94" s="97">
        <v>1096.69</v>
      </c>
    </row>
    <row r="95" spans="1:27" x14ac:dyDescent="0.35">
      <c r="A95" s="50" t="s">
        <v>511</v>
      </c>
      <c r="B95" s="94">
        <f t="shared" ref="B95:B101" si="20">SUM(C95:F95)</f>
        <v>28718.28</v>
      </c>
      <c r="C95" s="95">
        <v>4444.97</v>
      </c>
      <c r="D95" s="95">
        <v>13914.35</v>
      </c>
      <c r="E95" s="95">
        <v>5955.87</v>
      </c>
      <c r="F95" s="97">
        <v>4403.09</v>
      </c>
      <c r="G95" s="94">
        <f t="shared" si="9"/>
        <v>33110.18</v>
      </c>
      <c r="H95" s="95">
        <v>4924.63</v>
      </c>
      <c r="I95" s="95">
        <v>13502.14</v>
      </c>
      <c r="J95" s="95">
        <v>9332.66</v>
      </c>
      <c r="K95" s="97">
        <v>5350.75</v>
      </c>
      <c r="L95" s="94">
        <f t="shared" si="7"/>
        <v>28718.28</v>
      </c>
      <c r="M95" s="95">
        <v>6530.1</v>
      </c>
      <c r="N95" s="95">
        <v>5445.56</v>
      </c>
      <c r="O95" s="97">
        <v>16742.62</v>
      </c>
      <c r="P95" s="94">
        <f t="shared" si="10"/>
        <v>33110.17</v>
      </c>
      <c r="Q95" s="95">
        <v>10206.1</v>
      </c>
      <c r="R95" s="95">
        <v>5880.59</v>
      </c>
      <c r="S95" s="97">
        <v>17023.48</v>
      </c>
      <c r="T95" s="94">
        <f t="shared" si="8"/>
        <v>5955.87</v>
      </c>
      <c r="U95" s="95">
        <v>3471.55</v>
      </c>
      <c r="V95" s="95">
        <v>1783.96</v>
      </c>
      <c r="W95" s="97">
        <v>700.36</v>
      </c>
      <c r="X95" s="94">
        <f t="shared" si="11"/>
        <v>9332.65</v>
      </c>
      <c r="Y95" s="95">
        <v>6205.04</v>
      </c>
      <c r="Z95" s="95">
        <v>2023.38</v>
      </c>
      <c r="AA95" s="97">
        <v>1104.23</v>
      </c>
    </row>
    <row r="96" spans="1:27" x14ac:dyDescent="0.35">
      <c r="A96" s="50" t="s">
        <v>512</v>
      </c>
      <c r="B96" s="94">
        <f t="shared" si="20"/>
        <v>26424.559999999998</v>
      </c>
      <c r="C96" s="95">
        <v>4319.82</v>
      </c>
      <c r="D96" s="95">
        <v>13974.31</v>
      </c>
      <c r="E96" s="95">
        <v>4106.83</v>
      </c>
      <c r="F96" s="97">
        <v>4023.6</v>
      </c>
      <c r="G96" s="94">
        <f t="shared" si="9"/>
        <v>32650.46</v>
      </c>
      <c r="H96" s="95">
        <v>4809.9399999999996</v>
      </c>
      <c r="I96" s="95">
        <v>13520.83</v>
      </c>
      <c r="J96" s="95">
        <v>9077.09</v>
      </c>
      <c r="K96" s="97">
        <v>5242.6000000000004</v>
      </c>
      <c r="L96" s="94">
        <f t="shared" si="7"/>
        <v>26424.57</v>
      </c>
      <c r="M96" s="95">
        <v>4425.68</v>
      </c>
      <c r="N96" s="95">
        <v>5355.19</v>
      </c>
      <c r="O96" s="97">
        <v>16643.7</v>
      </c>
      <c r="P96" s="94">
        <f t="shared" si="10"/>
        <v>32650.469999999998</v>
      </c>
      <c r="Q96" s="95">
        <v>9753.0499999999993</v>
      </c>
      <c r="R96" s="95">
        <v>5859.73</v>
      </c>
      <c r="S96" s="97">
        <v>17037.689999999999</v>
      </c>
      <c r="T96" s="94">
        <f t="shared" si="8"/>
        <v>4106.83</v>
      </c>
      <c r="U96" s="95">
        <v>1903.54</v>
      </c>
      <c r="V96" s="95">
        <v>1706.5</v>
      </c>
      <c r="W96" s="97">
        <v>496.79</v>
      </c>
      <c r="X96" s="94">
        <f t="shared" si="11"/>
        <v>9077.09</v>
      </c>
      <c r="Y96" s="95">
        <v>5948.44</v>
      </c>
      <c r="Z96" s="95">
        <v>2033.97</v>
      </c>
      <c r="AA96" s="97">
        <v>1094.68</v>
      </c>
    </row>
    <row r="97" spans="1:27" x14ac:dyDescent="0.35">
      <c r="A97" s="50" t="s">
        <v>514</v>
      </c>
      <c r="B97" s="94">
        <f t="shared" si="20"/>
        <v>35439.480000000003</v>
      </c>
      <c r="C97" s="95">
        <v>4904.97</v>
      </c>
      <c r="D97" s="95">
        <v>13394.41</v>
      </c>
      <c r="E97" s="95">
        <v>11212.45</v>
      </c>
      <c r="F97" s="97">
        <v>5927.65</v>
      </c>
      <c r="G97" s="94">
        <f t="shared" si="9"/>
        <v>32884.22</v>
      </c>
      <c r="H97" s="95">
        <v>4702.33</v>
      </c>
      <c r="I97" s="95">
        <v>13624.06</v>
      </c>
      <c r="J97" s="95">
        <v>9144.2900000000009</v>
      </c>
      <c r="K97" s="97">
        <v>5413.54</v>
      </c>
      <c r="L97" s="94">
        <f t="shared" si="7"/>
        <v>35439.490000000005</v>
      </c>
      <c r="M97" s="95">
        <v>11894.34</v>
      </c>
      <c r="N97" s="95">
        <v>6128.1</v>
      </c>
      <c r="O97" s="97">
        <v>17417.05</v>
      </c>
      <c r="P97" s="94">
        <f t="shared" si="10"/>
        <v>32884.22</v>
      </c>
      <c r="Q97" s="95">
        <v>9859.5499999999993</v>
      </c>
      <c r="R97" s="95">
        <v>5866.63</v>
      </c>
      <c r="S97" s="97">
        <v>17158.04</v>
      </c>
      <c r="T97" s="94">
        <f t="shared" si="8"/>
        <v>11212.460000000001</v>
      </c>
      <c r="U97" s="95">
        <v>7486.53</v>
      </c>
      <c r="V97" s="95">
        <v>2225.33</v>
      </c>
      <c r="W97" s="97">
        <v>1500.6</v>
      </c>
      <c r="X97" s="94">
        <f t="shared" si="11"/>
        <v>9144.3000000000011</v>
      </c>
      <c r="Y97" s="95">
        <v>5958.76</v>
      </c>
      <c r="Z97" s="95">
        <v>2046.14</v>
      </c>
      <c r="AA97" s="97">
        <v>1139.4000000000001</v>
      </c>
    </row>
    <row r="98" spans="1:27" x14ac:dyDescent="0.35">
      <c r="A98" s="50" t="s">
        <v>517</v>
      </c>
      <c r="B98" s="94">
        <f t="shared" si="20"/>
        <v>37970.559999999998</v>
      </c>
      <c r="C98" s="95">
        <v>5111.88</v>
      </c>
      <c r="D98" s="95">
        <v>13011.04</v>
      </c>
      <c r="E98" s="95">
        <v>13385.62</v>
      </c>
      <c r="F98" s="97">
        <v>6462.02</v>
      </c>
      <c r="G98" s="94">
        <f t="shared" si="9"/>
        <v>32658.399999999998</v>
      </c>
      <c r="H98" s="95">
        <v>4576.3100000000004</v>
      </c>
      <c r="I98" s="95">
        <v>13819.63</v>
      </c>
      <c r="J98" s="95">
        <v>8931.27</v>
      </c>
      <c r="K98" s="97">
        <v>5331.19</v>
      </c>
      <c r="L98" s="94">
        <f t="shared" si="7"/>
        <v>37970.559999999998</v>
      </c>
      <c r="M98" s="95">
        <v>14470.72</v>
      </c>
      <c r="N98" s="95">
        <v>6461.3</v>
      </c>
      <c r="O98" s="97">
        <v>17038.54</v>
      </c>
      <c r="P98" s="94">
        <f t="shared" si="10"/>
        <v>32658.39</v>
      </c>
      <c r="Q98" s="95">
        <v>9554.34</v>
      </c>
      <c r="R98" s="95">
        <v>5933.9</v>
      </c>
      <c r="S98" s="97">
        <v>17170.150000000001</v>
      </c>
      <c r="T98" s="94">
        <f t="shared" si="8"/>
        <v>13385.619999999999</v>
      </c>
      <c r="U98" s="95">
        <v>9546.59</v>
      </c>
      <c r="V98" s="95">
        <v>2318.2399999999998</v>
      </c>
      <c r="W98" s="97">
        <v>1520.79</v>
      </c>
      <c r="X98" s="94">
        <f t="shared" si="11"/>
        <v>8931.27</v>
      </c>
      <c r="Y98" s="95">
        <v>5824.1</v>
      </c>
      <c r="Z98" s="95">
        <v>2027</v>
      </c>
      <c r="AA98" s="97">
        <v>1080.17</v>
      </c>
    </row>
    <row r="99" spans="1:27" x14ac:dyDescent="0.35">
      <c r="A99" s="50" t="s">
        <v>520</v>
      </c>
      <c r="B99" s="94">
        <f t="shared" si="20"/>
        <v>27944.559999999998</v>
      </c>
      <c r="C99" s="95">
        <v>4134.3</v>
      </c>
      <c r="D99" s="95">
        <v>14464.4</v>
      </c>
      <c r="E99" s="95">
        <v>5077.78</v>
      </c>
      <c r="F99" s="97">
        <v>4268.08</v>
      </c>
      <c r="G99" s="94">
        <f t="shared" si="9"/>
        <v>32295.78</v>
      </c>
      <c r="H99" s="95">
        <v>4588.74</v>
      </c>
      <c r="I99" s="95">
        <v>14005</v>
      </c>
      <c r="J99" s="95">
        <v>8415.23</v>
      </c>
      <c r="K99" s="97">
        <v>5286.81</v>
      </c>
      <c r="L99" s="94">
        <f t="shared" si="7"/>
        <v>27944.560000000001</v>
      </c>
      <c r="M99" s="95">
        <v>5545.57</v>
      </c>
      <c r="N99" s="95">
        <v>5457.36</v>
      </c>
      <c r="O99" s="97">
        <v>16941.63</v>
      </c>
      <c r="P99" s="94">
        <f t="shared" si="10"/>
        <v>32295.78</v>
      </c>
      <c r="Q99" s="95">
        <v>9179.7000000000007</v>
      </c>
      <c r="R99" s="95">
        <v>5919.44</v>
      </c>
      <c r="S99" s="97">
        <v>17196.64</v>
      </c>
      <c r="T99" s="94">
        <f t="shared" si="8"/>
        <v>5077.79</v>
      </c>
      <c r="U99" s="95">
        <v>2702.05</v>
      </c>
      <c r="V99" s="95">
        <v>1789.6</v>
      </c>
      <c r="W99" s="97">
        <v>586.14</v>
      </c>
      <c r="X99" s="94">
        <f t="shared" si="11"/>
        <v>8415.23</v>
      </c>
      <c r="Y99" s="95">
        <v>5381.28</v>
      </c>
      <c r="Z99" s="95">
        <v>2052.4299999999998</v>
      </c>
      <c r="AA99" s="97">
        <v>981.52</v>
      </c>
    </row>
    <row r="100" spans="1:27" x14ac:dyDescent="0.35">
      <c r="A100" s="50" t="s">
        <v>522</v>
      </c>
      <c r="B100" s="94">
        <f t="shared" si="20"/>
        <v>26385.59</v>
      </c>
      <c r="C100" s="95">
        <v>4151.5200000000004</v>
      </c>
      <c r="D100" s="95">
        <v>14278.46</v>
      </c>
      <c r="E100" s="95">
        <v>3903.65</v>
      </c>
      <c r="F100" s="97">
        <v>4051.96</v>
      </c>
      <c r="G100" s="94">
        <f t="shared" si="9"/>
        <v>32903.97</v>
      </c>
      <c r="H100" s="95">
        <v>4585.45</v>
      </c>
      <c r="I100" s="95">
        <v>13822.44</v>
      </c>
      <c r="J100" s="95">
        <v>9115</v>
      </c>
      <c r="K100" s="97">
        <v>5381.08</v>
      </c>
      <c r="L100" s="94">
        <f t="shared" si="7"/>
        <v>26385.58</v>
      </c>
      <c r="M100" s="95">
        <v>4133.28</v>
      </c>
      <c r="N100" s="95">
        <v>5446.78</v>
      </c>
      <c r="O100" s="97">
        <v>16805.52</v>
      </c>
      <c r="P100" s="94">
        <f t="shared" si="10"/>
        <v>32903.97</v>
      </c>
      <c r="Q100" s="95">
        <v>9681.91</v>
      </c>
      <c r="R100" s="95">
        <v>5963.19</v>
      </c>
      <c r="S100" s="97">
        <v>17258.87</v>
      </c>
      <c r="T100" s="94">
        <f t="shared" si="8"/>
        <v>3903.65</v>
      </c>
      <c r="U100" s="95">
        <v>1704</v>
      </c>
      <c r="V100" s="95">
        <v>1718.06</v>
      </c>
      <c r="W100" s="97">
        <v>481.59</v>
      </c>
      <c r="X100" s="94">
        <f t="shared" si="11"/>
        <v>9115</v>
      </c>
      <c r="Y100" s="95">
        <v>5942.71</v>
      </c>
      <c r="Z100" s="95">
        <v>2054.06</v>
      </c>
      <c r="AA100" s="97">
        <v>1118.23</v>
      </c>
    </row>
    <row r="101" spans="1:27" x14ac:dyDescent="0.35">
      <c r="A101" s="50" t="s">
        <v>523</v>
      </c>
      <c r="B101" s="94">
        <f t="shared" si="20"/>
        <v>35162.61</v>
      </c>
      <c r="C101" s="95">
        <v>4591.66</v>
      </c>
      <c r="D101" s="95">
        <v>13570.05</v>
      </c>
      <c r="E101" s="95">
        <v>11195.79</v>
      </c>
      <c r="F101" s="97">
        <v>5805.11</v>
      </c>
      <c r="G101" s="94">
        <f t="shared" si="9"/>
        <v>32797.47</v>
      </c>
      <c r="H101" s="95">
        <v>4437.5</v>
      </c>
      <c r="I101" s="95">
        <v>13826.54</v>
      </c>
      <c r="J101" s="95">
        <v>9221.51</v>
      </c>
      <c r="K101" s="97">
        <v>5311.92</v>
      </c>
      <c r="L101" s="94">
        <f t="shared" si="7"/>
        <v>35162.6</v>
      </c>
      <c r="M101" s="95">
        <v>11664.18</v>
      </c>
      <c r="N101" s="95">
        <v>6176.64</v>
      </c>
      <c r="O101" s="97">
        <v>17321.78</v>
      </c>
      <c r="P101" s="94">
        <f t="shared" si="10"/>
        <v>32797.47</v>
      </c>
      <c r="Q101" s="95">
        <v>9756.5499999999993</v>
      </c>
      <c r="R101" s="95">
        <v>5932.58</v>
      </c>
      <c r="S101" s="97">
        <v>17108.34</v>
      </c>
      <c r="T101" s="94">
        <f t="shared" si="8"/>
        <v>11195.79</v>
      </c>
      <c r="U101" s="95">
        <v>7556.58</v>
      </c>
      <c r="V101" s="95">
        <v>2216.0500000000002</v>
      </c>
      <c r="W101" s="97">
        <v>1423.16</v>
      </c>
      <c r="X101" s="94">
        <f t="shared" si="11"/>
        <v>9221.52</v>
      </c>
      <c r="Y101" s="95">
        <v>6107.92</v>
      </c>
      <c r="Z101" s="95">
        <v>2045.52</v>
      </c>
      <c r="AA101" s="97">
        <v>1068.08</v>
      </c>
    </row>
  </sheetData>
  <phoneticPr fontId="17" type="noConversion"/>
  <pageMargins left="0.7" right="0.7" top="0.75" bottom="0.75" header="0.3" footer="0.3"/>
  <pageSetup paperSize="9" orientation="portrait" r:id="rId1"/>
  <ignoredErrors>
    <ignoredError sqref="B85 G85 L85 P85 T85 T30:T83 P30:P83 L30:L83 G30:G83 B30:B83" formulaRange="1"/>
  </ignoredError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EAE-45CA-4BD5-A198-33FB46D0A7B3}">
  <dimension ref="A1:N50"/>
  <sheetViews>
    <sheetView topLeftCell="A30" zoomScale="60" zoomScaleNormal="60" workbookViewId="0">
      <selection activeCell="G2" sqref="G2"/>
    </sheetView>
  </sheetViews>
  <sheetFormatPr defaultRowHeight="12.5" x14ac:dyDescent="0.25"/>
  <cols>
    <col min="1" max="1" width="42.26953125" style="19" bestFit="1" customWidth="1"/>
    <col min="2" max="2" width="4.7265625" style="19" customWidth="1"/>
    <col min="3" max="3" width="38.81640625" style="19" bestFit="1" customWidth="1"/>
    <col min="4" max="4" width="33.453125" style="19" bestFit="1" customWidth="1"/>
    <col min="5" max="5" width="5" style="19" customWidth="1"/>
    <col min="6" max="13" width="31.81640625" style="19" bestFit="1" customWidth="1"/>
    <col min="14" max="14" width="37.81640625" style="19" bestFit="1" customWidth="1"/>
    <col min="15" max="256" width="8.7265625" style="19"/>
    <col min="257" max="257" width="42.26953125" style="19" bestFit="1" customWidth="1"/>
    <col min="258" max="258" width="4.7265625" style="19" customWidth="1"/>
    <col min="259" max="260" width="17" style="19" bestFit="1" customWidth="1"/>
    <col min="261" max="261" width="5" style="19" customWidth="1"/>
    <col min="262" max="270" width="17" style="19" bestFit="1" customWidth="1"/>
    <col min="271" max="512" width="8.7265625" style="19"/>
    <col min="513" max="513" width="42.26953125" style="19" bestFit="1" customWidth="1"/>
    <col min="514" max="514" width="4.7265625" style="19" customWidth="1"/>
    <col min="515" max="516" width="17" style="19" bestFit="1" customWidth="1"/>
    <col min="517" max="517" width="5" style="19" customWidth="1"/>
    <col min="518" max="526" width="17" style="19" bestFit="1" customWidth="1"/>
    <col min="527" max="768" width="8.7265625" style="19"/>
    <col min="769" max="769" width="42.26953125" style="19" bestFit="1" customWidth="1"/>
    <col min="770" max="770" width="4.7265625" style="19" customWidth="1"/>
    <col min="771" max="772" width="17" style="19" bestFit="1" customWidth="1"/>
    <col min="773" max="773" width="5" style="19" customWidth="1"/>
    <col min="774" max="782" width="17" style="19" bestFit="1" customWidth="1"/>
    <col min="783" max="1024" width="8.7265625" style="19"/>
    <col min="1025" max="1025" width="42.26953125" style="19" bestFit="1" customWidth="1"/>
    <col min="1026" max="1026" width="4.7265625" style="19" customWidth="1"/>
    <col min="1027" max="1028" width="17" style="19" bestFit="1" customWidth="1"/>
    <col min="1029" max="1029" width="5" style="19" customWidth="1"/>
    <col min="1030" max="1038" width="17" style="19" bestFit="1" customWidth="1"/>
    <col min="1039" max="1280" width="8.7265625" style="19"/>
    <col min="1281" max="1281" width="42.26953125" style="19" bestFit="1" customWidth="1"/>
    <col min="1282" max="1282" width="4.7265625" style="19" customWidth="1"/>
    <col min="1283" max="1284" width="17" style="19" bestFit="1" customWidth="1"/>
    <col min="1285" max="1285" width="5" style="19" customWidth="1"/>
    <col min="1286" max="1294" width="17" style="19" bestFit="1" customWidth="1"/>
    <col min="1295" max="1536" width="8.7265625" style="19"/>
    <col min="1537" max="1537" width="42.26953125" style="19" bestFit="1" customWidth="1"/>
    <col min="1538" max="1538" width="4.7265625" style="19" customWidth="1"/>
    <col min="1539" max="1540" width="17" style="19" bestFit="1" customWidth="1"/>
    <col min="1541" max="1541" width="5" style="19" customWidth="1"/>
    <col min="1542" max="1550" width="17" style="19" bestFit="1" customWidth="1"/>
    <col min="1551" max="1792" width="8.7265625" style="19"/>
    <col min="1793" max="1793" width="42.26953125" style="19" bestFit="1" customWidth="1"/>
    <col min="1794" max="1794" width="4.7265625" style="19" customWidth="1"/>
    <col min="1795" max="1796" width="17" style="19" bestFit="1" customWidth="1"/>
    <col min="1797" max="1797" width="5" style="19" customWidth="1"/>
    <col min="1798" max="1806" width="17" style="19" bestFit="1" customWidth="1"/>
    <col min="1807" max="2048" width="8.7265625" style="19"/>
    <col min="2049" max="2049" width="42.26953125" style="19" bestFit="1" customWidth="1"/>
    <col min="2050" max="2050" width="4.7265625" style="19" customWidth="1"/>
    <col min="2051" max="2052" width="17" style="19" bestFit="1" customWidth="1"/>
    <col min="2053" max="2053" width="5" style="19" customWidth="1"/>
    <col min="2054" max="2062" width="17" style="19" bestFit="1" customWidth="1"/>
    <col min="2063" max="2304" width="8.7265625" style="19"/>
    <col min="2305" max="2305" width="42.26953125" style="19" bestFit="1" customWidth="1"/>
    <col min="2306" max="2306" width="4.7265625" style="19" customWidth="1"/>
    <col min="2307" max="2308" width="17" style="19" bestFit="1" customWidth="1"/>
    <col min="2309" max="2309" width="5" style="19" customWidth="1"/>
    <col min="2310" max="2318" width="17" style="19" bestFit="1" customWidth="1"/>
    <col min="2319" max="2560" width="8.7265625" style="19"/>
    <col min="2561" max="2561" width="42.26953125" style="19" bestFit="1" customWidth="1"/>
    <col min="2562" max="2562" width="4.7265625" style="19" customWidth="1"/>
    <col min="2563" max="2564" width="17" style="19" bestFit="1" customWidth="1"/>
    <col min="2565" max="2565" width="5" style="19" customWidth="1"/>
    <col min="2566" max="2574" width="17" style="19" bestFit="1" customWidth="1"/>
    <col min="2575" max="2816" width="8.7265625" style="19"/>
    <col min="2817" max="2817" width="42.26953125" style="19" bestFit="1" customWidth="1"/>
    <col min="2818" max="2818" width="4.7265625" style="19" customWidth="1"/>
    <col min="2819" max="2820" width="17" style="19" bestFit="1" customWidth="1"/>
    <col min="2821" max="2821" width="5" style="19" customWidth="1"/>
    <col min="2822" max="2830" width="17" style="19" bestFit="1" customWidth="1"/>
    <col min="2831" max="3072" width="8.7265625" style="19"/>
    <col min="3073" max="3073" width="42.26953125" style="19" bestFit="1" customWidth="1"/>
    <col min="3074" max="3074" width="4.7265625" style="19" customWidth="1"/>
    <col min="3075" max="3076" width="17" style="19" bestFit="1" customWidth="1"/>
    <col min="3077" max="3077" width="5" style="19" customWidth="1"/>
    <col min="3078" max="3086" width="17" style="19" bestFit="1" customWidth="1"/>
    <col min="3087" max="3328" width="8.7265625" style="19"/>
    <col min="3329" max="3329" width="42.26953125" style="19" bestFit="1" customWidth="1"/>
    <col min="3330" max="3330" width="4.7265625" style="19" customWidth="1"/>
    <col min="3331" max="3332" width="17" style="19" bestFit="1" customWidth="1"/>
    <col min="3333" max="3333" width="5" style="19" customWidth="1"/>
    <col min="3334" max="3342" width="17" style="19" bestFit="1" customWidth="1"/>
    <col min="3343" max="3584" width="8.7265625" style="19"/>
    <col min="3585" max="3585" width="42.26953125" style="19" bestFit="1" customWidth="1"/>
    <col min="3586" max="3586" width="4.7265625" style="19" customWidth="1"/>
    <col min="3587" max="3588" width="17" style="19" bestFit="1" customWidth="1"/>
    <col min="3589" max="3589" width="5" style="19" customWidth="1"/>
    <col min="3590" max="3598" width="17" style="19" bestFit="1" customWidth="1"/>
    <col min="3599" max="3840" width="8.7265625" style="19"/>
    <col min="3841" max="3841" width="42.26953125" style="19" bestFit="1" customWidth="1"/>
    <col min="3842" max="3842" width="4.7265625" style="19" customWidth="1"/>
    <col min="3843" max="3844" width="17" style="19" bestFit="1" customWidth="1"/>
    <col min="3845" max="3845" width="5" style="19" customWidth="1"/>
    <col min="3846" max="3854" width="17" style="19" bestFit="1" customWidth="1"/>
    <col min="3855" max="4096" width="8.7265625" style="19"/>
    <col min="4097" max="4097" width="42.26953125" style="19" bestFit="1" customWidth="1"/>
    <col min="4098" max="4098" width="4.7265625" style="19" customWidth="1"/>
    <col min="4099" max="4100" width="17" style="19" bestFit="1" customWidth="1"/>
    <col min="4101" max="4101" width="5" style="19" customWidth="1"/>
    <col min="4102" max="4110" width="17" style="19" bestFit="1" customWidth="1"/>
    <col min="4111" max="4352" width="8.7265625" style="19"/>
    <col min="4353" max="4353" width="42.26953125" style="19" bestFit="1" customWidth="1"/>
    <col min="4354" max="4354" width="4.7265625" style="19" customWidth="1"/>
    <col min="4355" max="4356" width="17" style="19" bestFit="1" customWidth="1"/>
    <col min="4357" max="4357" width="5" style="19" customWidth="1"/>
    <col min="4358" max="4366" width="17" style="19" bestFit="1" customWidth="1"/>
    <col min="4367" max="4608" width="8.7265625" style="19"/>
    <col min="4609" max="4609" width="42.26953125" style="19" bestFit="1" customWidth="1"/>
    <col min="4610" max="4610" width="4.7265625" style="19" customWidth="1"/>
    <col min="4611" max="4612" width="17" style="19" bestFit="1" customWidth="1"/>
    <col min="4613" max="4613" width="5" style="19" customWidth="1"/>
    <col min="4614" max="4622" width="17" style="19" bestFit="1" customWidth="1"/>
    <col min="4623" max="4864" width="8.7265625" style="19"/>
    <col min="4865" max="4865" width="42.26953125" style="19" bestFit="1" customWidth="1"/>
    <col min="4866" max="4866" width="4.7265625" style="19" customWidth="1"/>
    <col min="4867" max="4868" width="17" style="19" bestFit="1" customWidth="1"/>
    <col min="4869" max="4869" width="5" style="19" customWidth="1"/>
    <col min="4870" max="4878" width="17" style="19" bestFit="1" customWidth="1"/>
    <col min="4879" max="5120" width="8.7265625" style="19"/>
    <col min="5121" max="5121" width="42.26953125" style="19" bestFit="1" customWidth="1"/>
    <col min="5122" max="5122" width="4.7265625" style="19" customWidth="1"/>
    <col min="5123" max="5124" width="17" style="19" bestFit="1" customWidth="1"/>
    <col min="5125" max="5125" width="5" style="19" customWidth="1"/>
    <col min="5126" max="5134" width="17" style="19" bestFit="1" customWidth="1"/>
    <col min="5135" max="5376" width="8.7265625" style="19"/>
    <col min="5377" max="5377" width="42.26953125" style="19" bestFit="1" customWidth="1"/>
    <col min="5378" max="5378" width="4.7265625" style="19" customWidth="1"/>
    <col min="5379" max="5380" width="17" style="19" bestFit="1" customWidth="1"/>
    <col min="5381" max="5381" width="5" style="19" customWidth="1"/>
    <col min="5382" max="5390" width="17" style="19" bestFit="1" customWidth="1"/>
    <col min="5391" max="5632" width="8.7265625" style="19"/>
    <col min="5633" max="5633" width="42.26953125" style="19" bestFit="1" customWidth="1"/>
    <col min="5634" max="5634" width="4.7265625" style="19" customWidth="1"/>
    <col min="5635" max="5636" width="17" style="19" bestFit="1" customWidth="1"/>
    <col min="5637" max="5637" width="5" style="19" customWidth="1"/>
    <col min="5638" max="5646" width="17" style="19" bestFit="1" customWidth="1"/>
    <col min="5647" max="5888" width="8.7265625" style="19"/>
    <col min="5889" max="5889" width="42.26953125" style="19" bestFit="1" customWidth="1"/>
    <col min="5890" max="5890" width="4.7265625" style="19" customWidth="1"/>
    <col min="5891" max="5892" width="17" style="19" bestFit="1" customWidth="1"/>
    <col min="5893" max="5893" width="5" style="19" customWidth="1"/>
    <col min="5894" max="5902" width="17" style="19" bestFit="1" customWidth="1"/>
    <col min="5903" max="6144" width="8.7265625" style="19"/>
    <col min="6145" max="6145" width="42.26953125" style="19" bestFit="1" customWidth="1"/>
    <col min="6146" max="6146" width="4.7265625" style="19" customWidth="1"/>
    <col min="6147" max="6148" width="17" style="19" bestFit="1" customWidth="1"/>
    <col min="6149" max="6149" width="5" style="19" customWidth="1"/>
    <col min="6150" max="6158" width="17" style="19" bestFit="1" customWidth="1"/>
    <col min="6159" max="6400" width="8.7265625" style="19"/>
    <col min="6401" max="6401" width="42.26953125" style="19" bestFit="1" customWidth="1"/>
    <col min="6402" max="6402" width="4.7265625" style="19" customWidth="1"/>
    <col min="6403" max="6404" width="17" style="19" bestFit="1" customWidth="1"/>
    <col min="6405" max="6405" width="5" style="19" customWidth="1"/>
    <col min="6406" max="6414" width="17" style="19" bestFit="1" customWidth="1"/>
    <col min="6415" max="6656" width="8.7265625" style="19"/>
    <col min="6657" max="6657" width="42.26953125" style="19" bestFit="1" customWidth="1"/>
    <col min="6658" max="6658" width="4.7265625" style="19" customWidth="1"/>
    <col min="6659" max="6660" width="17" style="19" bestFit="1" customWidth="1"/>
    <col min="6661" max="6661" width="5" style="19" customWidth="1"/>
    <col min="6662" max="6670" width="17" style="19" bestFit="1" customWidth="1"/>
    <col min="6671" max="6912" width="8.7265625" style="19"/>
    <col min="6913" max="6913" width="42.26953125" style="19" bestFit="1" customWidth="1"/>
    <col min="6914" max="6914" width="4.7265625" style="19" customWidth="1"/>
    <col min="6915" max="6916" width="17" style="19" bestFit="1" customWidth="1"/>
    <col min="6917" max="6917" width="5" style="19" customWidth="1"/>
    <col min="6918" max="6926" width="17" style="19" bestFit="1" customWidth="1"/>
    <col min="6927" max="7168" width="8.7265625" style="19"/>
    <col min="7169" max="7169" width="42.26953125" style="19" bestFit="1" customWidth="1"/>
    <col min="7170" max="7170" width="4.7265625" style="19" customWidth="1"/>
    <col min="7171" max="7172" width="17" style="19" bestFit="1" customWidth="1"/>
    <col min="7173" max="7173" width="5" style="19" customWidth="1"/>
    <col min="7174" max="7182" width="17" style="19" bestFit="1" customWidth="1"/>
    <col min="7183" max="7424" width="8.7265625" style="19"/>
    <col min="7425" max="7425" width="42.26953125" style="19" bestFit="1" customWidth="1"/>
    <col min="7426" max="7426" width="4.7265625" style="19" customWidth="1"/>
    <col min="7427" max="7428" width="17" style="19" bestFit="1" customWidth="1"/>
    <col min="7429" max="7429" width="5" style="19" customWidth="1"/>
    <col min="7430" max="7438" width="17" style="19" bestFit="1" customWidth="1"/>
    <col min="7439" max="7680" width="8.7265625" style="19"/>
    <col min="7681" max="7681" width="42.26953125" style="19" bestFit="1" customWidth="1"/>
    <col min="7682" max="7682" width="4.7265625" style="19" customWidth="1"/>
    <col min="7683" max="7684" width="17" style="19" bestFit="1" customWidth="1"/>
    <col min="7685" max="7685" width="5" style="19" customWidth="1"/>
    <col min="7686" max="7694" width="17" style="19" bestFit="1" customWidth="1"/>
    <col min="7695" max="7936" width="8.7265625" style="19"/>
    <col min="7937" max="7937" width="42.26953125" style="19" bestFit="1" customWidth="1"/>
    <col min="7938" max="7938" width="4.7265625" style="19" customWidth="1"/>
    <col min="7939" max="7940" width="17" style="19" bestFit="1" customWidth="1"/>
    <col min="7941" max="7941" width="5" style="19" customWidth="1"/>
    <col min="7942" max="7950" width="17" style="19" bestFit="1" customWidth="1"/>
    <col min="7951" max="8192" width="8.7265625" style="19"/>
    <col min="8193" max="8193" width="42.26953125" style="19" bestFit="1" customWidth="1"/>
    <col min="8194" max="8194" width="4.7265625" style="19" customWidth="1"/>
    <col min="8195" max="8196" width="17" style="19" bestFit="1" customWidth="1"/>
    <col min="8197" max="8197" width="5" style="19" customWidth="1"/>
    <col min="8198" max="8206" width="17" style="19" bestFit="1" customWidth="1"/>
    <col min="8207" max="8448" width="8.7265625" style="19"/>
    <col min="8449" max="8449" width="42.26953125" style="19" bestFit="1" customWidth="1"/>
    <col min="8450" max="8450" width="4.7265625" style="19" customWidth="1"/>
    <col min="8451" max="8452" width="17" style="19" bestFit="1" customWidth="1"/>
    <col min="8453" max="8453" width="5" style="19" customWidth="1"/>
    <col min="8454" max="8462" width="17" style="19" bestFit="1" customWidth="1"/>
    <col min="8463" max="8704" width="8.7265625" style="19"/>
    <col min="8705" max="8705" width="42.26953125" style="19" bestFit="1" customWidth="1"/>
    <col min="8706" max="8706" width="4.7265625" style="19" customWidth="1"/>
    <col min="8707" max="8708" width="17" style="19" bestFit="1" customWidth="1"/>
    <col min="8709" max="8709" width="5" style="19" customWidth="1"/>
    <col min="8710" max="8718" width="17" style="19" bestFit="1" customWidth="1"/>
    <col min="8719" max="8960" width="8.7265625" style="19"/>
    <col min="8961" max="8961" width="42.26953125" style="19" bestFit="1" customWidth="1"/>
    <col min="8962" max="8962" width="4.7265625" style="19" customWidth="1"/>
    <col min="8963" max="8964" width="17" style="19" bestFit="1" customWidth="1"/>
    <col min="8965" max="8965" width="5" style="19" customWidth="1"/>
    <col min="8966" max="8974" width="17" style="19" bestFit="1" customWidth="1"/>
    <col min="8975" max="9216" width="8.7265625" style="19"/>
    <col min="9217" max="9217" width="42.26953125" style="19" bestFit="1" customWidth="1"/>
    <col min="9218" max="9218" width="4.7265625" style="19" customWidth="1"/>
    <col min="9219" max="9220" width="17" style="19" bestFit="1" customWidth="1"/>
    <col min="9221" max="9221" width="5" style="19" customWidth="1"/>
    <col min="9222" max="9230" width="17" style="19" bestFit="1" customWidth="1"/>
    <col min="9231" max="9472" width="8.7265625" style="19"/>
    <col min="9473" max="9473" width="42.26953125" style="19" bestFit="1" customWidth="1"/>
    <col min="9474" max="9474" width="4.7265625" style="19" customWidth="1"/>
    <col min="9475" max="9476" width="17" style="19" bestFit="1" customWidth="1"/>
    <col min="9477" max="9477" width="5" style="19" customWidth="1"/>
    <col min="9478" max="9486" width="17" style="19" bestFit="1" customWidth="1"/>
    <col min="9487" max="9728" width="8.7265625" style="19"/>
    <col min="9729" max="9729" width="42.26953125" style="19" bestFit="1" customWidth="1"/>
    <col min="9730" max="9730" width="4.7265625" style="19" customWidth="1"/>
    <col min="9731" max="9732" width="17" style="19" bestFit="1" customWidth="1"/>
    <col min="9733" max="9733" width="5" style="19" customWidth="1"/>
    <col min="9734" max="9742" width="17" style="19" bestFit="1" customWidth="1"/>
    <col min="9743" max="9984" width="8.7265625" style="19"/>
    <col min="9985" max="9985" width="42.26953125" style="19" bestFit="1" customWidth="1"/>
    <col min="9986" max="9986" width="4.7265625" style="19" customWidth="1"/>
    <col min="9987" max="9988" width="17" style="19" bestFit="1" customWidth="1"/>
    <col min="9989" max="9989" width="5" style="19" customWidth="1"/>
    <col min="9990" max="9998" width="17" style="19" bestFit="1" customWidth="1"/>
    <col min="9999" max="10240" width="8.7265625" style="19"/>
    <col min="10241" max="10241" width="42.26953125" style="19" bestFit="1" customWidth="1"/>
    <col min="10242" max="10242" width="4.7265625" style="19" customWidth="1"/>
    <col min="10243" max="10244" width="17" style="19" bestFit="1" customWidth="1"/>
    <col min="10245" max="10245" width="5" style="19" customWidth="1"/>
    <col min="10246" max="10254" width="17" style="19" bestFit="1" customWidth="1"/>
    <col min="10255" max="10496" width="8.7265625" style="19"/>
    <col min="10497" max="10497" width="42.26953125" style="19" bestFit="1" customWidth="1"/>
    <col min="10498" max="10498" width="4.7265625" style="19" customWidth="1"/>
    <col min="10499" max="10500" width="17" style="19" bestFit="1" customWidth="1"/>
    <col min="10501" max="10501" width="5" style="19" customWidth="1"/>
    <col min="10502" max="10510" width="17" style="19" bestFit="1" customWidth="1"/>
    <col min="10511" max="10752" width="8.7265625" style="19"/>
    <col min="10753" max="10753" width="42.26953125" style="19" bestFit="1" customWidth="1"/>
    <col min="10754" max="10754" width="4.7265625" style="19" customWidth="1"/>
    <col min="10755" max="10756" width="17" style="19" bestFit="1" customWidth="1"/>
    <col min="10757" max="10757" width="5" style="19" customWidth="1"/>
    <col min="10758" max="10766" width="17" style="19" bestFit="1" customWidth="1"/>
    <col min="10767" max="11008" width="8.7265625" style="19"/>
    <col min="11009" max="11009" width="42.26953125" style="19" bestFit="1" customWidth="1"/>
    <col min="11010" max="11010" width="4.7265625" style="19" customWidth="1"/>
    <col min="11011" max="11012" width="17" style="19" bestFit="1" customWidth="1"/>
    <col min="11013" max="11013" width="5" style="19" customWidth="1"/>
    <col min="11014" max="11022" width="17" style="19" bestFit="1" customWidth="1"/>
    <col min="11023" max="11264" width="8.7265625" style="19"/>
    <col min="11265" max="11265" width="42.26953125" style="19" bestFit="1" customWidth="1"/>
    <col min="11266" max="11266" width="4.7265625" style="19" customWidth="1"/>
    <col min="11267" max="11268" width="17" style="19" bestFit="1" customWidth="1"/>
    <col min="11269" max="11269" width="5" style="19" customWidth="1"/>
    <col min="11270" max="11278" width="17" style="19" bestFit="1" customWidth="1"/>
    <col min="11279" max="11520" width="8.7265625" style="19"/>
    <col min="11521" max="11521" width="42.26953125" style="19" bestFit="1" customWidth="1"/>
    <col min="11522" max="11522" width="4.7265625" style="19" customWidth="1"/>
    <col min="11523" max="11524" width="17" style="19" bestFit="1" customWidth="1"/>
    <col min="11525" max="11525" width="5" style="19" customWidth="1"/>
    <col min="11526" max="11534" width="17" style="19" bestFit="1" customWidth="1"/>
    <col min="11535" max="11776" width="8.7265625" style="19"/>
    <col min="11777" max="11777" width="42.26953125" style="19" bestFit="1" customWidth="1"/>
    <col min="11778" max="11778" width="4.7265625" style="19" customWidth="1"/>
    <col min="11779" max="11780" width="17" style="19" bestFit="1" customWidth="1"/>
    <col min="11781" max="11781" width="5" style="19" customWidth="1"/>
    <col min="11782" max="11790" width="17" style="19" bestFit="1" customWidth="1"/>
    <col min="11791" max="12032" width="8.7265625" style="19"/>
    <col min="12033" max="12033" width="42.26953125" style="19" bestFit="1" customWidth="1"/>
    <col min="12034" max="12034" width="4.7265625" style="19" customWidth="1"/>
    <col min="12035" max="12036" width="17" style="19" bestFit="1" customWidth="1"/>
    <col min="12037" max="12037" width="5" style="19" customWidth="1"/>
    <col min="12038" max="12046" width="17" style="19" bestFit="1" customWidth="1"/>
    <col min="12047" max="12288" width="8.7265625" style="19"/>
    <col min="12289" max="12289" width="42.26953125" style="19" bestFit="1" customWidth="1"/>
    <col min="12290" max="12290" width="4.7265625" style="19" customWidth="1"/>
    <col min="12291" max="12292" width="17" style="19" bestFit="1" customWidth="1"/>
    <col min="12293" max="12293" width="5" style="19" customWidth="1"/>
    <col min="12294" max="12302" width="17" style="19" bestFit="1" customWidth="1"/>
    <col min="12303" max="12544" width="8.7265625" style="19"/>
    <col min="12545" max="12545" width="42.26953125" style="19" bestFit="1" customWidth="1"/>
    <col min="12546" max="12546" width="4.7265625" style="19" customWidth="1"/>
    <col min="12547" max="12548" width="17" style="19" bestFit="1" customWidth="1"/>
    <col min="12549" max="12549" width="5" style="19" customWidth="1"/>
    <col min="12550" max="12558" width="17" style="19" bestFit="1" customWidth="1"/>
    <col min="12559" max="12800" width="8.7265625" style="19"/>
    <col min="12801" max="12801" width="42.26953125" style="19" bestFit="1" customWidth="1"/>
    <col min="12802" max="12802" width="4.7265625" style="19" customWidth="1"/>
    <col min="12803" max="12804" width="17" style="19" bestFit="1" customWidth="1"/>
    <col min="12805" max="12805" width="5" style="19" customWidth="1"/>
    <col min="12806" max="12814" width="17" style="19" bestFit="1" customWidth="1"/>
    <col min="12815" max="13056" width="8.7265625" style="19"/>
    <col min="13057" max="13057" width="42.26953125" style="19" bestFit="1" customWidth="1"/>
    <col min="13058" max="13058" width="4.7265625" style="19" customWidth="1"/>
    <col min="13059" max="13060" width="17" style="19" bestFit="1" customWidth="1"/>
    <col min="13061" max="13061" width="5" style="19" customWidth="1"/>
    <col min="13062" max="13070" width="17" style="19" bestFit="1" customWidth="1"/>
    <col min="13071" max="13312" width="8.7265625" style="19"/>
    <col min="13313" max="13313" width="42.26953125" style="19" bestFit="1" customWidth="1"/>
    <col min="13314" max="13314" width="4.7265625" style="19" customWidth="1"/>
    <col min="13315" max="13316" width="17" style="19" bestFit="1" customWidth="1"/>
    <col min="13317" max="13317" width="5" style="19" customWidth="1"/>
    <col min="13318" max="13326" width="17" style="19" bestFit="1" customWidth="1"/>
    <col min="13327" max="13568" width="8.7265625" style="19"/>
    <col min="13569" max="13569" width="42.26953125" style="19" bestFit="1" customWidth="1"/>
    <col min="13570" max="13570" width="4.7265625" style="19" customWidth="1"/>
    <col min="13571" max="13572" width="17" style="19" bestFit="1" customWidth="1"/>
    <col min="13573" max="13573" width="5" style="19" customWidth="1"/>
    <col min="13574" max="13582" width="17" style="19" bestFit="1" customWidth="1"/>
    <col min="13583" max="13824" width="8.7265625" style="19"/>
    <col min="13825" max="13825" width="42.26953125" style="19" bestFit="1" customWidth="1"/>
    <col min="13826" max="13826" width="4.7265625" style="19" customWidth="1"/>
    <col min="13827" max="13828" width="17" style="19" bestFit="1" customWidth="1"/>
    <col min="13829" max="13829" width="5" style="19" customWidth="1"/>
    <col min="13830" max="13838" width="17" style="19" bestFit="1" customWidth="1"/>
    <col min="13839" max="14080" width="8.7265625" style="19"/>
    <col min="14081" max="14081" width="42.26953125" style="19" bestFit="1" customWidth="1"/>
    <col min="14082" max="14082" width="4.7265625" style="19" customWidth="1"/>
    <col min="14083" max="14084" width="17" style="19" bestFit="1" customWidth="1"/>
    <col min="14085" max="14085" width="5" style="19" customWidth="1"/>
    <col min="14086" max="14094" width="17" style="19" bestFit="1" customWidth="1"/>
    <col min="14095" max="14336" width="8.7265625" style="19"/>
    <col min="14337" max="14337" width="42.26953125" style="19" bestFit="1" customWidth="1"/>
    <col min="14338" max="14338" width="4.7265625" style="19" customWidth="1"/>
    <col min="14339" max="14340" width="17" style="19" bestFit="1" customWidth="1"/>
    <col min="14341" max="14341" width="5" style="19" customWidth="1"/>
    <col min="14342" max="14350" width="17" style="19" bestFit="1" customWidth="1"/>
    <col min="14351" max="14592" width="8.7265625" style="19"/>
    <col min="14593" max="14593" width="42.26953125" style="19" bestFit="1" customWidth="1"/>
    <col min="14594" max="14594" width="4.7265625" style="19" customWidth="1"/>
    <col min="14595" max="14596" width="17" style="19" bestFit="1" customWidth="1"/>
    <col min="14597" max="14597" width="5" style="19" customWidth="1"/>
    <col min="14598" max="14606" width="17" style="19" bestFit="1" customWidth="1"/>
    <col min="14607" max="14848" width="8.7265625" style="19"/>
    <col min="14849" max="14849" width="42.26953125" style="19" bestFit="1" customWidth="1"/>
    <col min="14850" max="14850" width="4.7265625" style="19" customWidth="1"/>
    <col min="14851" max="14852" width="17" style="19" bestFit="1" customWidth="1"/>
    <col min="14853" max="14853" width="5" style="19" customWidth="1"/>
    <col min="14854" max="14862" width="17" style="19" bestFit="1" customWidth="1"/>
    <col min="14863" max="15104" width="8.7265625" style="19"/>
    <col min="15105" max="15105" width="42.26953125" style="19" bestFit="1" customWidth="1"/>
    <col min="15106" max="15106" width="4.7265625" style="19" customWidth="1"/>
    <col min="15107" max="15108" width="17" style="19" bestFit="1" customWidth="1"/>
    <col min="15109" max="15109" width="5" style="19" customWidth="1"/>
    <col min="15110" max="15118" width="17" style="19" bestFit="1" customWidth="1"/>
    <col min="15119" max="15360" width="8.7265625" style="19"/>
    <col min="15361" max="15361" width="42.26953125" style="19" bestFit="1" customWidth="1"/>
    <col min="15362" max="15362" width="4.7265625" style="19" customWidth="1"/>
    <col min="15363" max="15364" width="17" style="19" bestFit="1" customWidth="1"/>
    <col min="15365" max="15365" width="5" style="19" customWidth="1"/>
    <col min="15366" max="15374" width="17" style="19" bestFit="1" customWidth="1"/>
    <col min="15375" max="15616" width="8.7265625" style="19"/>
    <col min="15617" max="15617" width="42.26953125" style="19" bestFit="1" customWidth="1"/>
    <col min="15618" max="15618" width="4.7265625" style="19" customWidth="1"/>
    <col min="15619" max="15620" width="17" style="19" bestFit="1" customWidth="1"/>
    <col min="15621" max="15621" width="5" style="19" customWidth="1"/>
    <col min="15622" max="15630" width="17" style="19" bestFit="1" customWidth="1"/>
    <col min="15631" max="15872" width="8.7265625" style="19"/>
    <col min="15873" max="15873" width="42.26953125" style="19" bestFit="1" customWidth="1"/>
    <col min="15874" max="15874" width="4.7265625" style="19" customWidth="1"/>
    <col min="15875" max="15876" width="17" style="19" bestFit="1" customWidth="1"/>
    <col min="15877" max="15877" width="5" style="19" customWidth="1"/>
    <col min="15878" max="15886" width="17" style="19" bestFit="1" customWidth="1"/>
    <col min="15887" max="16128" width="8.7265625" style="19"/>
    <col min="16129" max="16129" width="42.26953125" style="19" bestFit="1" customWidth="1"/>
    <col min="16130" max="16130" width="4.7265625" style="19" customWidth="1"/>
    <col min="16131" max="16132" width="17" style="19" bestFit="1" customWidth="1"/>
    <col min="16133" max="16133" width="5" style="19" customWidth="1"/>
    <col min="16134" max="16142" width="17" style="19" bestFit="1" customWidth="1"/>
    <col min="16143" max="16384" width="8.7265625" style="19"/>
  </cols>
  <sheetData>
    <row r="1" spans="1:14" ht="18.5" thickBot="1" x14ac:dyDescent="0.45">
      <c r="A1" s="15" t="s">
        <v>434</v>
      </c>
    </row>
    <row r="2" spans="1:14" ht="13" x14ac:dyDescent="0.3">
      <c r="A2" s="20"/>
      <c r="C2" s="76" t="s">
        <v>69</v>
      </c>
      <c r="D2" s="77">
        <v>2025</v>
      </c>
    </row>
    <row r="3" spans="1:14" ht="13.5" thickBot="1" x14ac:dyDescent="0.35">
      <c r="A3" s="20"/>
      <c r="C3" s="78" t="s">
        <v>88</v>
      </c>
      <c r="D3" s="228">
        <v>4</v>
      </c>
    </row>
    <row r="4" spans="1:14" ht="13" x14ac:dyDescent="0.3">
      <c r="A4" s="20"/>
    </row>
    <row r="5" spans="1:14" x14ac:dyDescent="0.25">
      <c r="C5" s="19" t="str">
        <f>"'Annual supply and use of fuels'!"</f>
        <v>'Annual supply and use of fuels'!</v>
      </c>
      <c r="F5" s="19" t="str">
        <f>"'Quarter supply and use of fuels'!"</f>
        <v>'Quarter supply and use of fuels'!</v>
      </c>
    </row>
    <row r="6" spans="1:14" x14ac:dyDescent="0.25">
      <c r="C6" s="75">
        <v>32</v>
      </c>
      <c r="D6" s="19">
        <f>C6+1</f>
        <v>33</v>
      </c>
      <c r="F6" s="75">
        <v>109</v>
      </c>
      <c r="G6" s="19">
        <f>F6+1</f>
        <v>110</v>
      </c>
      <c r="H6" s="19">
        <f t="shared" ref="H6:N6" si="0">G6+1</f>
        <v>111</v>
      </c>
      <c r="I6" s="19">
        <f t="shared" si="0"/>
        <v>112</v>
      </c>
      <c r="J6" s="19">
        <f t="shared" si="0"/>
        <v>113</v>
      </c>
      <c r="K6" s="19">
        <f t="shared" si="0"/>
        <v>114</v>
      </c>
      <c r="L6" s="19">
        <f t="shared" si="0"/>
        <v>115</v>
      </c>
      <c r="M6" s="19">
        <f t="shared" si="0"/>
        <v>116</v>
      </c>
      <c r="N6" s="19">
        <f t="shared" si="0"/>
        <v>117</v>
      </c>
    </row>
    <row r="8" spans="1:14" x14ac:dyDescent="0.25">
      <c r="B8" s="19">
        <v>1</v>
      </c>
      <c r="C8" s="19" t="str">
        <f>$C$5&amp;"r"&amp;C$6&amp;"c"&amp;$B8</f>
        <v>'Annual supply and use of fuels'!r32c1</v>
      </c>
      <c r="D8" s="19" t="str">
        <f>$C$5&amp;"r"&amp;D$6&amp;"c"&amp;$B8</f>
        <v>'Annual supply and use of fuels'!r33c1</v>
      </c>
      <c r="E8" s="19">
        <v>1</v>
      </c>
      <c r="F8" s="19" t="str">
        <f>$F$5&amp;"r"&amp;F$6&amp;"c"&amp;$E8</f>
        <v>'Quarter supply and use of fuels'!r109c1</v>
      </c>
      <c r="G8" s="19" t="str">
        <f t="shared" ref="G8:N8" si="1">$F$5&amp;"r"&amp;G$6&amp;"c"&amp;$E8</f>
        <v>'Quarter supply and use of fuels'!r110c1</v>
      </c>
      <c r="H8" s="19" t="str">
        <f t="shared" si="1"/>
        <v>'Quarter supply and use of fuels'!r111c1</v>
      </c>
      <c r="I8" s="19" t="str">
        <f t="shared" si="1"/>
        <v>'Quarter supply and use of fuels'!r112c1</v>
      </c>
      <c r="J8" s="19" t="str">
        <f t="shared" si="1"/>
        <v>'Quarter supply and use of fuels'!r113c1</v>
      </c>
      <c r="K8" s="19" t="str">
        <f t="shared" si="1"/>
        <v>'Quarter supply and use of fuels'!r114c1</v>
      </c>
      <c r="L8" s="19" t="str">
        <f t="shared" si="1"/>
        <v>'Quarter supply and use of fuels'!r115c1</v>
      </c>
      <c r="M8" s="19" t="str">
        <f t="shared" si="1"/>
        <v>'Quarter supply and use of fuels'!r116c1</v>
      </c>
      <c r="N8" s="19" t="str">
        <f t="shared" si="1"/>
        <v>'Quarter supply and use of fuels'!r117c1</v>
      </c>
    </row>
    <row r="9" spans="1:14" ht="13" x14ac:dyDescent="0.3">
      <c r="A9" s="27" t="s">
        <v>32</v>
      </c>
    </row>
    <row r="10" spans="1:14" x14ac:dyDescent="0.25">
      <c r="A10" s="28" t="s">
        <v>104</v>
      </c>
      <c r="B10" s="19">
        <v>2</v>
      </c>
      <c r="C10" s="19" t="str">
        <f>$C$5&amp;"r"&amp;C$6&amp;"c"&amp;$B10</f>
        <v>'Annual supply and use of fuels'!r32c2</v>
      </c>
      <c r="D10" s="19" t="str">
        <f t="shared" ref="C10:D42" si="2">$C$5&amp;"r"&amp;D$6&amp;"c"&amp;$B10</f>
        <v>'Annual supply and use of fuels'!r33c2</v>
      </c>
      <c r="E10" s="19">
        <v>2</v>
      </c>
      <c r="F10" s="19" t="str">
        <f t="shared" ref="F10:N14" si="3">$F$5&amp;"r"&amp;F$6&amp;"c"&amp;$E10</f>
        <v>'Quarter supply and use of fuels'!r109c2</v>
      </c>
      <c r="G10" s="19" t="str">
        <f t="shared" si="3"/>
        <v>'Quarter supply and use of fuels'!r110c2</v>
      </c>
      <c r="H10" s="19" t="str">
        <f t="shared" si="3"/>
        <v>'Quarter supply and use of fuels'!r111c2</v>
      </c>
      <c r="I10" s="19" t="str">
        <f t="shared" si="3"/>
        <v>'Quarter supply and use of fuels'!r112c2</v>
      </c>
      <c r="J10" s="19" t="str">
        <f t="shared" si="3"/>
        <v>'Quarter supply and use of fuels'!r113c2</v>
      </c>
      <c r="K10" s="19" t="str">
        <f t="shared" si="3"/>
        <v>'Quarter supply and use of fuels'!r114c2</v>
      </c>
      <c r="L10" s="19" t="str">
        <f t="shared" si="3"/>
        <v>'Quarter supply and use of fuels'!r115c2</v>
      </c>
      <c r="M10" s="19" t="str">
        <f t="shared" si="3"/>
        <v>'Quarter supply and use of fuels'!r116c2</v>
      </c>
      <c r="N10" s="19" t="str">
        <f t="shared" si="3"/>
        <v>'Quarter supply and use of fuels'!r117c2</v>
      </c>
    </row>
    <row r="11" spans="1:14" x14ac:dyDescent="0.25">
      <c r="A11" s="28" t="s">
        <v>33</v>
      </c>
      <c r="B11" s="19">
        <v>3</v>
      </c>
      <c r="C11" s="19" t="str">
        <f t="shared" si="2"/>
        <v>'Annual supply and use of fuels'!r32c3</v>
      </c>
      <c r="D11" s="19" t="str">
        <f t="shared" si="2"/>
        <v>'Annual supply and use of fuels'!r33c3</v>
      </c>
      <c r="E11" s="19">
        <v>3</v>
      </c>
      <c r="F11" s="19" t="str">
        <f t="shared" si="3"/>
        <v>'Quarter supply and use of fuels'!r109c3</v>
      </c>
      <c r="G11" s="19" t="str">
        <f t="shared" si="3"/>
        <v>'Quarter supply and use of fuels'!r110c3</v>
      </c>
      <c r="H11" s="19" t="str">
        <f t="shared" si="3"/>
        <v>'Quarter supply and use of fuels'!r111c3</v>
      </c>
      <c r="I11" s="19" t="str">
        <f t="shared" si="3"/>
        <v>'Quarter supply and use of fuels'!r112c3</v>
      </c>
      <c r="J11" s="19" t="str">
        <f t="shared" si="3"/>
        <v>'Quarter supply and use of fuels'!r113c3</v>
      </c>
      <c r="K11" s="19" t="str">
        <f t="shared" si="3"/>
        <v>'Quarter supply and use of fuels'!r114c3</v>
      </c>
      <c r="L11" s="19" t="str">
        <f t="shared" si="3"/>
        <v>'Quarter supply and use of fuels'!r115c3</v>
      </c>
      <c r="M11" s="19" t="str">
        <f t="shared" si="3"/>
        <v>'Quarter supply and use of fuels'!r116c3</v>
      </c>
      <c r="N11" s="19" t="str">
        <f t="shared" si="3"/>
        <v>'Quarter supply and use of fuels'!r117c3</v>
      </c>
    </row>
    <row r="12" spans="1:14" x14ac:dyDescent="0.25">
      <c r="A12" s="28" t="s">
        <v>34</v>
      </c>
      <c r="B12" s="19">
        <v>4</v>
      </c>
      <c r="C12" s="19" t="str">
        <f t="shared" si="2"/>
        <v>'Annual supply and use of fuels'!r32c4</v>
      </c>
      <c r="D12" s="19" t="str">
        <f t="shared" si="2"/>
        <v>'Annual supply and use of fuels'!r33c4</v>
      </c>
      <c r="E12" s="19">
        <v>4</v>
      </c>
      <c r="F12" s="19" t="str">
        <f t="shared" si="3"/>
        <v>'Quarter supply and use of fuels'!r109c4</v>
      </c>
      <c r="G12" s="19" t="str">
        <f t="shared" si="3"/>
        <v>'Quarter supply and use of fuels'!r110c4</v>
      </c>
      <c r="H12" s="19" t="str">
        <f t="shared" si="3"/>
        <v>'Quarter supply and use of fuels'!r111c4</v>
      </c>
      <c r="I12" s="19" t="str">
        <f t="shared" si="3"/>
        <v>'Quarter supply and use of fuels'!r112c4</v>
      </c>
      <c r="J12" s="19" t="str">
        <f t="shared" si="3"/>
        <v>'Quarter supply and use of fuels'!r113c4</v>
      </c>
      <c r="K12" s="19" t="str">
        <f t="shared" si="3"/>
        <v>'Quarter supply and use of fuels'!r114c4</v>
      </c>
      <c r="L12" s="19" t="str">
        <f t="shared" si="3"/>
        <v>'Quarter supply and use of fuels'!r115c4</v>
      </c>
      <c r="M12" s="19" t="str">
        <f t="shared" si="3"/>
        <v>'Quarter supply and use of fuels'!r116c4</v>
      </c>
      <c r="N12" s="19" t="str">
        <f t="shared" si="3"/>
        <v>'Quarter supply and use of fuels'!r117c4</v>
      </c>
    </row>
    <row r="13" spans="1:14" x14ac:dyDescent="0.25">
      <c r="A13" s="28" t="s">
        <v>35</v>
      </c>
      <c r="B13" s="19">
        <v>5</v>
      </c>
      <c r="C13" s="19" t="str">
        <f t="shared" si="2"/>
        <v>'Annual supply and use of fuels'!r32c5</v>
      </c>
      <c r="D13" s="19" t="str">
        <f t="shared" si="2"/>
        <v>'Annual supply and use of fuels'!r33c5</v>
      </c>
      <c r="E13" s="19">
        <v>5</v>
      </c>
      <c r="F13" s="19" t="str">
        <f t="shared" si="3"/>
        <v>'Quarter supply and use of fuels'!r109c5</v>
      </c>
      <c r="G13" s="19" t="str">
        <f t="shared" si="3"/>
        <v>'Quarter supply and use of fuels'!r110c5</v>
      </c>
      <c r="H13" s="19" t="str">
        <f t="shared" si="3"/>
        <v>'Quarter supply and use of fuels'!r111c5</v>
      </c>
      <c r="I13" s="19" t="str">
        <f t="shared" si="3"/>
        <v>'Quarter supply and use of fuels'!r112c5</v>
      </c>
      <c r="J13" s="19" t="str">
        <f t="shared" si="3"/>
        <v>'Quarter supply and use of fuels'!r113c5</v>
      </c>
      <c r="K13" s="19" t="str">
        <f t="shared" si="3"/>
        <v>'Quarter supply and use of fuels'!r114c5</v>
      </c>
      <c r="L13" s="19" t="str">
        <f t="shared" si="3"/>
        <v>'Quarter supply and use of fuels'!r115c5</v>
      </c>
      <c r="M13" s="19" t="str">
        <f t="shared" si="3"/>
        <v>'Quarter supply and use of fuels'!r116c5</v>
      </c>
      <c r="N13" s="19" t="str">
        <f t="shared" si="3"/>
        <v>'Quarter supply and use of fuels'!r117c5</v>
      </c>
    </row>
    <row r="14" spans="1:14" x14ac:dyDescent="0.25">
      <c r="A14" s="28" t="s">
        <v>105</v>
      </c>
      <c r="B14" s="19">
        <v>6</v>
      </c>
      <c r="C14" s="19" t="str">
        <f t="shared" si="2"/>
        <v>'Annual supply and use of fuels'!r32c6</v>
      </c>
      <c r="D14" s="19" t="str">
        <f t="shared" si="2"/>
        <v>'Annual supply and use of fuels'!r33c6</v>
      </c>
      <c r="E14" s="19">
        <v>6</v>
      </c>
      <c r="F14" s="19" t="str">
        <f t="shared" si="3"/>
        <v>'Quarter supply and use of fuels'!r109c6</v>
      </c>
      <c r="G14" s="19" t="str">
        <f t="shared" si="3"/>
        <v>'Quarter supply and use of fuels'!r110c6</v>
      </c>
      <c r="H14" s="19" t="str">
        <f t="shared" si="3"/>
        <v>'Quarter supply and use of fuels'!r111c6</v>
      </c>
      <c r="I14" s="19" t="str">
        <f t="shared" si="3"/>
        <v>'Quarter supply and use of fuels'!r112c6</v>
      </c>
      <c r="J14" s="19" t="str">
        <f t="shared" si="3"/>
        <v>'Quarter supply and use of fuels'!r113c6</v>
      </c>
      <c r="K14" s="19" t="str">
        <f t="shared" si="3"/>
        <v>'Quarter supply and use of fuels'!r114c6</v>
      </c>
      <c r="L14" s="19" t="str">
        <f t="shared" si="3"/>
        <v>'Quarter supply and use of fuels'!r115c6</v>
      </c>
      <c r="M14" s="19" t="str">
        <f t="shared" si="3"/>
        <v>'Quarter supply and use of fuels'!r116c6</v>
      </c>
      <c r="N14" s="19" t="str">
        <f t="shared" si="3"/>
        <v>'Quarter supply and use of fuels'!r117c6</v>
      </c>
    </row>
    <row r="15" spans="1:14" x14ac:dyDescent="0.25">
      <c r="A15" s="28"/>
    </row>
    <row r="16" spans="1:14" ht="13" x14ac:dyDescent="0.3">
      <c r="A16" s="29" t="s">
        <v>36</v>
      </c>
      <c r="B16" s="19">
        <v>7</v>
      </c>
      <c r="C16" s="19" t="str">
        <f t="shared" si="2"/>
        <v>'Annual supply and use of fuels'!r32c7</v>
      </c>
      <c r="D16" s="19" t="str">
        <f t="shared" si="2"/>
        <v>'Annual supply and use of fuels'!r33c7</v>
      </c>
      <c r="E16" s="19">
        <v>7</v>
      </c>
      <c r="F16" s="19" t="str">
        <f t="shared" ref="F16:N18" si="4">$F$5&amp;"r"&amp;F$6&amp;"c"&amp;$E16</f>
        <v>'Quarter supply and use of fuels'!r109c7</v>
      </c>
      <c r="G16" s="19" t="str">
        <f t="shared" si="4"/>
        <v>'Quarter supply and use of fuels'!r110c7</v>
      </c>
      <c r="H16" s="19" t="str">
        <f t="shared" si="4"/>
        <v>'Quarter supply and use of fuels'!r111c7</v>
      </c>
      <c r="I16" s="19" t="str">
        <f t="shared" si="4"/>
        <v>'Quarter supply and use of fuels'!r112c7</v>
      </c>
      <c r="J16" s="19" t="str">
        <f t="shared" si="4"/>
        <v>'Quarter supply and use of fuels'!r113c7</v>
      </c>
      <c r="K16" s="19" t="str">
        <f t="shared" si="4"/>
        <v>'Quarter supply and use of fuels'!r114c7</v>
      </c>
      <c r="L16" s="19" t="str">
        <f t="shared" si="4"/>
        <v>'Quarter supply and use of fuels'!r115c7</v>
      </c>
      <c r="M16" s="19" t="str">
        <f t="shared" si="4"/>
        <v>'Quarter supply and use of fuels'!r116c7</v>
      </c>
      <c r="N16" s="19" t="str">
        <f t="shared" si="4"/>
        <v>'Quarter supply and use of fuels'!r117c7</v>
      </c>
    </row>
    <row r="17" spans="1:14" x14ac:dyDescent="0.25">
      <c r="A17" s="28" t="s">
        <v>106</v>
      </c>
      <c r="B17" s="19">
        <v>8</v>
      </c>
      <c r="C17" s="19" t="str">
        <f t="shared" si="2"/>
        <v>'Annual supply and use of fuels'!r32c8</v>
      </c>
      <c r="D17" s="19" t="str">
        <f t="shared" si="2"/>
        <v>'Annual supply and use of fuels'!r33c8</v>
      </c>
      <c r="E17" s="19">
        <v>8</v>
      </c>
      <c r="F17" s="19" t="str">
        <f t="shared" si="4"/>
        <v>'Quarter supply and use of fuels'!r109c8</v>
      </c>
      <c r="G17" s="19" t="str">
        <f t="shared" si="4"/>
        <v>'Quarter supply and use of fuels'!r110c8</v>
      </c>
      <c r="H17" s="19" t="str">
        <f t="shared" si="4"/>
        <v>'Quarter supply and use of fuels'!r111c8</v>
      </c>
      <c r="I17" s="19" t="str">
        <f t="shared" si="4"/>
        <v>'Quarter supply and use of fuels'!r112c8</v>
      </c>
      <c r="J17" s="19" t="str">
        <f t="shared" si="4"/>
        <v>'Quarter supply and use of fuels'!r113c8</v>
      </c>
      <c r="K17" s="19" t="str">
        <f t="shared" si="4"/>
        <v>'Quarter supply and use of fuels'!r114c8</v>
      </c>
      <c r="L17" s="19" t="str">
        <f t="shared" si="4"/>
        <v>'Quarter supply and use of fuels'!r115c8</v>
      </c>
      <c r="M17" s="19" t="str">
        <f t="shared" si="4"/>
        <v>'Quarter supply and use of fuels'!r116c8</v>
      </c>
      <c r="N17" s="19" t="str">
        <f t="shared" si="4"/>
        <v>'Quarter supply and use of fuels'!r117c8</v>
      </c>
    </row>
    <row r="18" spans="1:14" ht="13" x14ac:dyDescent="0.3">
      <c r="A18" s="29" t="s">
        <v>37</v>
      </c>
      <c r="B18" s="19">
        <v>9</v>
      </c>
      <c r="C18" s="19" t="str">
        <f t="shared" si="2"/>
        <v>'Annual supply and use of fuels'!r32c9</v>
      </c>
      <c r="D18" s="19" t="str">
        <f t="shared" si="2"/>
        <v>'Annual supply and use of fuels'!r33c9</v>
      </c>
      <c r="E18" s="19">
        <v>9</v>
      </c>
      <c r="F18" s="19" t="str">
        <f t="shared" si="4"/>
        <v>'Quarter supply and use of fuels'!r109c9</v>
      </c>
      <c r="G18" s="19" t="str">
        <f t="shared" si="4"/>
        <v>'Quarter supply and use of fuels'!r110c9</v>
      </c>
      <c r="H18" s="19" t="str">
        <f t="shared" si="4"/>
        <v>'Quarter supply and use of fuels'!r111c9</v>
      </c>
      <c r="I18" s="19" t="str">
        <f t="shared" si="4"/>
        <v>'Quarter supply and use of fuels'!r112c9</v>
      </c>
      <c r="J18" s="19" t="str">
        <f t="shared" si="4"/>
        <v>'Quarter supply and use of fuels'!r113c9</v>
      </c>
      <c r="K18" s="19" t="str">
        <f t="shared" si="4"/>
        <v>'Quarter supply and use of fuels'!r114c9</v>
      </c>
      <c r="L18" s="19" t="str">
        <f t="shared" si="4"/>
        <v>'Quarter supply and use of fuels'!r115c9</v>
      </c>
      <c r="M18" s="19" t="str">
        <f t="shared" si="4"/>
        <v>'Quarter supply and use of fuels'!r116c9</v>
      </c>
      <c r="N18" s="19" t="str">
        <f t="shared" si="4"/>
        <v>'Quarter supply and use of fuels'!r117c9</v>
      </c>
    </row>
    <row r="19" spans="1:14" ht="13" x14ac:dyDescent="0.3">
      <c r="A19" s="29"/>
    </row>
    <row r="20" spans="1:14" x14ac:dyDescent="0.25">
      <c r="A20" s="28" t="s">
        <v>73</v>
      </c>
      <c r="B20" s="19">
        <v>10</v>
      </c>
      <c r="C20" s="19" t="str">
        <f t="shared" si="2"/>
        <v>'Annual supply and use of fuels'!r32c10</v>
      </c>
      <c r="D20" s="19" t="str">
        <f t="shared" si="2"/>
        <v>'Annual supply and use of fuels'!r33c10</v>
      </c>
      <c r="E20" s="19">
        <v>10</v>
      </c>
      <c r="F20" s="19" t="str">
        <f t="shared" ref="F20:N30" si="5">$F$5&amp;"r"&amp;F$6&amp;"c"&amp;$E20</f>
        <v>'Quarter supply and use of fuels'!r109c10</v>
      </c>
      <c r="G20" s="19" t="str">
        <f t="shared" si="5"/>
        <v>'Quarter supply and use of fuels'!r110c10</v>
      </c>
      <c r="H20" s="19" t="str">
        <f t="shared" si="5"/>
        <v>'Quarter supply and use of fuels'!r111c10</v>
      </c>
      <c r="I20" s="19" t="str">
        <f t="shared" si="5"/>
        <v>'Quarter supply and use of fuels'!r112c10</v>
      </c>
      <c r="J20" s="19" t="str">
        <f t="shared" si="5"/>
        <v>'Quarter supply and use of fuels'!r113c10</v>
      </c>
      <c r="K20" s="19" t="str">
        <f t="shared" si="5"/>
        <v>'Quarter supply and use of fuels'!r114c10</v>
      </c>
      <c r="L20" s="19" t="str">
        <f t="shared" si="5"/>
        <v>'Quarter supply and use of fuels'!r115c10</v>
      </c>
      <c r="M20" s="19" t="str">
        <f t="shared" si="5"/>
        <v>'Quarter supply and use of fuels'!r116c10</v>
      </c>
      <c r="N20" s="19" t="str">
        <f t="shared" si="5"/>
        <v>'Quarter supply and use of fuels'!r117c10</v>
      </c>
    </row>
    <row r="21" spans="1:14" ht="13" x14ac:dyDescent="0.3">
      <c r="A21" s="29" t="s">
        <v>38</v>
      </c>
      <c r="B21" s="19">
        <v>11</v>
      </c>
      <c r="C21" s="19" t="str">
        <f t="shared" si="2"/>
        <v>'Annual supply and use of fuels'!r32c11</v>
      </c>
      <c r="D21" s="19" t="str">
        <f t="shared" si="2"/>
        <v>'Annual supply and use of fuels'!r33c11</v>
      </c>
      <c r="E21" s="19">
        <v>11</v>
      </c>
      <c r="F21" s="19" t="str">
        <f t="shared" si="5"/>
        <v>'Quarter supply and use of fuels'!r109c11</v>
      </c>
      <c r="G21" s="19" t="str">
        <f t="shared" si="5"/>
        <v>'Quarter supply and use of fuels'!r110c11</v>
      </c>
      <c r="H21" s="19" t="str">
        <f t="shared" si="5"/>
        <v>'Quarter supply and use of fuels'!r111c11</v>
      </c>
      <c r="I21" s="19" t="str">
        <f t="shared" si="5"/>
        <v>'Quarter supply and use of fuels'!r112c11</v>
      </c>
      <c r="J21" s="19" t="str">
        <f t="shared" si="5"/>
        <v>'Quarter supply and use of fuels'!r113c11</v>
      </c>
      <c r="K21" s="19" t="str">
        <f t="shared" si="5"/>
        <v>'Quarter supply and use of fuels'!r114c11</v>
      </c>
      <c r="L21" s="19" t="str">
        <f t="shared" si="5"/>
        <v>'Quarter supply and use of fuels'!r115c11</v>
      </c>
      <c r="M21" s="19" t="str">
        <f t="shared" si="5"/>
        <v>'Quarter supply and use of fuels'!r116c11</v>
      </c>
      <c r="N21" s="19" t="str">
        <f t="shared" si="5"/>
        <v>'Quarter supply and use of fuels'!r117c11</v>
      </c>
    </row>
    <row r="22" spans="1:14" x14ac:dyDescent="0.25">
      <c r="A22" s="28" t="s">
        <v>39</v>
      </c>
      <c r="B22" s="19">
        <v>12</v>
      </c>
      <c r="C22" s="19" t="str">
        <f t="shared" si="2"/>
        <v>'Annual supply and use of fuels'!r32c12</v>
      </c>
      <c r="D22" s="19" t="str">
        <f t="shared" si="2"/>
        <v>'Annual supply and use of fuels'!r33c12</v>
      </c>
      <c r="E22" s="19">
        <v>12</v>
      </c>
      <c r="F22" s="19" t="str">
        <f t="shared" si="5"/>
        <v>'Quarter supply and use of fuels'!r109c12</v>
      </c>
      <c r="G22" s="19" t="str">
        <f t="shared" si="5"/>
        <v>'Quarter supply and use of fuels'!r110c12</v>
      </c>
      <c r="H22" s="19" t="str">
        <f t="shared" si="5"/>
        <v>'Quarter supply and use of fuels'!r111c12</v>
      </c>
      <c r="I22" s="19" t="str">
        <f t="shared" si="5"/>
        <v>'Quarter supply and use of fuels'!r112c12</v>
      </c>
      <c r="J22" s="19" t="str">
        <f t="shared" si="5"/>
        <v>'Quarter supply and use of fuels'!r113c12</v>
      </c>
      <c r="K22" s="19" t="str">
        <f t="shared" si="5"/>
        <v>'Quarter supply and use of fuels'!r114c12</v>
      </c>
      <c r="L22" s="19" t="str">
        <f t="shared" si="5"/>
        <v>'Quarter supply and use of fuels'!r115c12</v>
      </c>
      <c r="M22" s="19" t="str">
        <f t="shared" si="5"/>
        <v>'Quarter supply and use of fuels'!r116c12</v>
      </c>
      <c r="N22" s="19" t="str">
        <f t="shared" si="5"/>
        <v>'Quarter supply and use of fuels'!r117c12</v>
      </c>
    </row>
    <row r="23" spans="1:14" x14ac:dyDescent="0.25">
      <c r="A23" s="28" t="s">
        <v>40</v>
      </c>
      <c r="B23" s="19">
        <v>13</v>
      </c>
      <c r="C23" s="19" t="str">
        <f t="shared" si="2"/>
        <v>'Annual supply and use of fuels'!r32c13</v>
      </c>
      <c r="D23" s="19" t="str">
        <f t="shared" si="2"/>
        <v>'Annual supply and use of fuels'!r33c13</v>
      </c>
      <c r="E23" s="19">
        <v>13</v>
      </c>
      <c r="F23" s="19" t="str">
        <f t="shared" si="5"/>
        <v>'Quarter supply and use of fuels'!r109c13</v>
      </c>
      <c r="G23" s="19" t="str">
        <f t="shared" si="5"/>
        <v>'Quarter supply and use of fuels'!r110c13</v>
      </c>
      <c r="H23" s="19" t="str">
        <f t="shared" si="5"/>
        <v>'Quarter supply and use of fuels'!r111c13</v>
      </c>
      <c r="I23" s="19" t="str">
        <f t="shared" si="5"/>
        <v>'Quarter supply and use of fuels'!r112c13</v>
      </c>
      <c r="J23" s="19" t="str">
        <f t="shared" si="5"/>
        <v>'Quarter supply and use of fuels'!r113c13</v>
      </c>
      <c r="K23" s="19" t="str">
        <f t="shared" si="5"/>
        <v>'Quarter supply and use of fuels'!r114c13</v>
      </c>
      <c r="L23" s="19" t="str">
        <f t="shared" si="5"/>
        <v>'Quarter supply and use of fuels'!r115c13</v>
      </c>
      <c r="M23" s="19" t="str">
        <f t="shared" si="5"/>
        <v>'Quarter supply and use of fuels'!r116c13</v>
      </c>
      <c r="N23" s="19" t="str">
        <f t="shared" si="5"/>
        <v>'Quarter supply and use of fuels'!r117c13</v>
      </c>
    </row>
    <row r="24" spans="1:14" x14ac:dyDescent="0.25">
      <c r="A24" s="28" t="s">
        <v>41</v>
      </c>
      <c r="B24" s="19">
        <v>14</v>
      </c>
      <c r="C24" s="19" t="str">
        <f t="shared" si="2"/>
        <v>'Annual supply and use of fuels'!r32c14</v>
      </c>
      <c r="D24" s="19" t="str">
        <f t="shared" si="2"/>
        <v>'Annual supply and use of fuels'!r33c14</v>
      </c>
      <c r="E24" s="19">
        <v>14</v>
      </c>
      <c r="F24" s="19" t="str">
        <f t="shared" si="5"/>
        <v>'Quarter supply and use of fuels'!r109c14</v>
      </c>
      <c r="G24" s="19" t="str">
        <f t="shared" si="5"/>
        <v>'Quarter supply and use of fuels'!r110c14</v>
      </c>
      <c r="H24" s="19" t="str">
        <f t="shared" si="5"/>
        <v>'Quarter supply and use of fuels'!r111c14</v>
      </c>
      <c r="I24" s="19" t="str">
        <f t="shared" si="5"/>
        <v>'Quarter supply and use of fuels'!r112c14</v>
      </c>
      <c r="J24" s="19" t="str">
        <f t="shared" si="5"/>
        <v>'Quarter supply and use of fuels'!r113c14</v>
      </c>
      <c r="K24" s="19" t="str">
        <f t="shared" si="5"/>
        <v>'Quarter supply and use of fuels'!r114c14</v>
      </c>
      <c r="L24" s="19" t="str">
        <f t="shared" si="5"/>
        <v>'Quarter supply and use of fuels'!r115c14</v>
      </c>
      <c r="M24" s="19" t="str">
        <f t="shared" si="5"/>
        <v>'Quarter supply and use of fuels'!r116c14</v>
      </c>
      <c r="N24" s="19" t="str">
        <f t="shared" si="5"/>
        <v>'Quarter supply and use of fuels'!r117c14</v>
      </c>
    </row>
    <row r="25" spans="1:14" x14ac:dyDescent="0.25">
      <c r="A25" s="28" t="s">
        <v>42</v>
      </c>
      <c r="B25" s="19">
        <v>15</v>
      </c>
      <c r="C25" s="19" t="str">
        <f t="shared" si="2"/>
        <v>'Annual supply and use of fuels'!r32c15</v>
      </c>
      <c r="D25" s="19" t="str">
        <f t="shared" si="2"/>
        <v>'Annual supply and use of fuels'!r33c15</v>
      </c>
      <c r="E25" s="19">
        <v>15</v>
      </c>
      <c r="F25" s="19" t="str">
        <f t="shared" si="5"/>
        <v>'Quarter supply and use of fuels'!r109c15</v>
      </c>
      <c r="G25" s="19" t="str">
        <f t="shared" si="5"/>
        <v>'Quarter supply and use of fuels'!r110c15</v>
      </c>
      <c r="H25" s="19" t="str">
        <f t="shared" si="5"/>
        <v>'Quarter supply and use of fuels'!r111c15</v>
      </c>
      <c r="I25" s="19" t="str">
        <f t="shared" si="5"/>
        <v>'Quarter supply and use of fuels'!r112c15</v>
      </c>
      <c r="J25" s="19" t="str">
        <f t="shared" si="5"/>
        <v>'Quarter supply and use of fuels'!r113c15</v>
      </c>
      <c r="K25" s="19" t="str">
        <f t="shared" si="5"/>
        <v>'Quarter supply and use of fuels'!r114c15</v>
      </c>
      <c r="L25" s="19" t="str">
        <f t="shared" si="5"/>
        <v>'Quarter supply and use of fuels'!r115c15</v>
      </c>
      <c r="M25" s="19" t="str">
        <f t="shared" si="5"/>
        <v>'Quarter supply and use of fuels'!r116c15</v>
      </c>
      <c r="N25" s="19" t="str">
        <f t="shared" si="5"/>
        <v>'Quarter supply and use of fuels'!r117c15</v>
      </c>
    </row>
    <row r="26" spans="1:14" x14ac:dyDescent="0.25">
      <c r="A26" s="28" t="s">
        <v>43</v>
      </c>
      <c r="B26" s="19">
        <v>16</v>
      </c>
      <c r="C26" s="19" t="str">
        <f t="shared" si="2"/>
        <v>'Annual supply and use of fuels'!r32c16</v>
      </c>
      <c r="D26" s="19" t="str">
        <f t="shared" si="2"/>
        <v>'Annual supply and use of fuels'!r33c16</v>
      </c>
      <c r="E26" s="19">
        <v>16</v>
      </c>
      <c r="F26" s="19" t="str">
        <f t="shared" si="5"/>
        <v>'Quarter supply and use of fuels'!r109c16</v>
      </c>
      <c r="G26" s="19" t="str">
        <f t="shared" si="5"/>
        <v>'Quarter supply and use of fuels'!r110c16</v>
      </c>
      <c r="H26" s="19" t="str">
        <f t="shared" si="5"/>
        <v>'Quarter supply and use of fuels'!r111c16</v>
      </c>
      <c r="I26" s="19" t="str">
        <f t="shared" si="5"/>
        <v>'Quarter supply and use of fuels'!r112c16</v>
      </c>
      <c r="J26" s="19" t="str">
        <f t="shared" si="5"/>
        <v>'Quarter supply and use of fuels'!r113c16</v>
      </c>
      <c r="K26" s="19" t="str">
        <f t="shared" si="5"/>
        <v>'Quarter supply and use of fuels'!r114c16</v>
      </c>
      <c r="L26" s="19" t="str">
        <f t="shared" si="5"/>
        <v>'Quarter supply and use of fuels'!r115c16</v>
      </c>
      <c r="M26" s="19" t="str">
        <f t="shared" si="5"/>
        <v>'Quarter supply and use of fuels'!r116c16</v>
      </c>
      <c r="N26" s="19" t="str">
        <f t="shared" si="5"/>
        <v>'Quarter supply and use of fuels'!r117c16</v>
      </c>
    </row>
    <row r="27" spans="1:14" x14ac:dyDescent="0.25">
      <c r="A27" s="28" t="s">
        <v>44</v>
      </c>
      <c r="B27" s="19">
        <v>17</v>
      </c>
      <c r="C27" s="19" t="str">
        <f t="shared" si="2"/>
        <v>'Annual supply and use of fuels'!r32c17</v>
      </c>
      <c r="D27" s="19" t="str">
        <f t="shared" si="2"/>
        <v>'Annual supply and use of fuels'!r33c17</v>
      </c>
      <c r="E27" s="19">
        <v>17</v>
      </c>
      <c r="F27" s="19" t="str">
        <f t="shared" si="5"/>
        <v>'Quarter supply and use of fuels'!r109c17</v>
      </c>
      <c r="G27" s="19" t="str">
        <f t="shared" si="5"/>
        <v>'Quarter supply and use of fuels'!r110c17</v>
      </c>
      <c r="H27" s="19" t="str">
        <f t="shared" si="5"/>
        <v>'Quarter supply and use of fuels'!r111c17</v>
      </c>
      <c r="I27" s="19" t="str">
        <f t="shared" si="5"/>
        <v>'Quarter supply and use of fuels'!r112c17</v>
      </c>
      <c r="J27" s="19" t="str">
        <f t="shared" si="5"/>
        <v>'Quarter supply and use of fuels'!r113c17</v>
      </c>
      <c r="K27" s="19" t="str">
        <f t="shared" si="5"/>
        <v>'Quarter supply and use of fuels'!r114c17</v>
      </c>
      <c r="L27" s="19" t="str">
        <f t="shared" si="5"/>
        <v>'Quarter supply and use of fuels'!r115c17</v>
      </c>
      <c r="M27" s="19" t="str">
        <f t="shared" si="5"/>
        <v>'Quarter supply and use of fuels'!r116c17</v>
      </c>
      <c r="N27" s="19" t="str">
        <f t="shared" si="5"/>
        <v>'Quarter supply and use of fuels'!r117c17</v>
      </c>
    </row>
    <row r="28" spans="1:14" x14ac:dyDescent="0.25">
      <c r="A28" s="28" t="s">
        <v>107</v>
      </c>
      <c r="B28" s="19">
        <v>18</v>
      </c>
      <c r="C28" s="19" t="str">
        <f t="shared" si="2"/>
        <v>'Annual supply and use of fuels'!r32c18</v>
      </c>
      <c r="D28" s="19" t="str">
        <f t="shared" si="2"/>
        <v>'Annual supply and use of fuels'!r33c18</v>
      </c>
      <c r="E28" s="19">
        <v>18</v>
      </c>
      <c r="F28" s="19" t="str">
        <f t="shared" si="5"/>
        <v>'Quarter supply and use of fuels'!r109c18</v>
      </c>
      <c r="G28" s="19" t="str">
        <f t="shared" si="5"/>
        <v>'Quarter supply and use of fuels'!r110c18</v>
      </c>
      <c r="H28" s="19" t="str">
        <f t="shared" si="5"/>
        <v>'Quarter supply and use of fuels'!r111c18</v>
      </c>
      <c r="I28" s="19" t="str">
        <f t="shared" si="5"/>
        <v>'Quarter supply and use of fuels'!r112c18</v>
      </c>
      <c r="J28" s="19" t="str">
        <f t="shared" si="5"/>
        <v>'Quarter supply and use of fuels'!r113c18</v>
      </c>
      <c r="K28" s="19" t="str">
        <f t="shared" si="5"/>
        <v>'Quarter supply and use of fuels'!r114c18</v>
      </c>
      <c r="L28" s="19" t="str">
        <f t="shared" si="5"/>
        <v>'Quarter supply and use of fuels'!r115c18</v>
      </c>
      <c r="M28" s="19" t="str">
        <f t="shared" si="5"/>
        <v>'Quarter supply and use of fuels'!r116c18</v>
      </c>
      <c r="N28" s="19" t="str">
        <f t="shared" si="5"/>
        <v>'Quarter supply and use of fuels'!r117c18</v>
      </c>
    </row>
    <row r="29" spans="1:14" x14ac:dyDescent="0.25">
      <c r="A29" s="28" t="s">
        <v>45</v>
      </c>
      <c r="B29" s="19">
        <v>19</v>
      </c>
      <c r="C29" s="19" t="str">
        <f t="shared" si="2"/>
        <v>'Annual supply and use of fuels'!r32c19</v>
      </c>
      <c r="D29" s="19" t="str">
        <f t="shared" si="2"/>
        <v>'Annual supply and use of fuels'!r33c19</v>
      </c>
      <c r="E29" s="19">
        <v>19</v>
      </c>
      <c r="F29" s="19" t="str">
        <f t="shared" si="5"/>
        <v>'Quarter supply and use of fuels'!r109c19</v>
      </c>
      <c r="G29" s="19" t="str">
        <f t="shared" si="5"/>
        <v>'Quarter supply and use of fuels'!r110c19</v>
      </c>
      <c r="H29" s="19" t="str">
        <f t="shared" si="5"/>
        <v>'Quarter supply and use of fuels'!r111c19</v>
      </c>
      <c r="I29" s="19" t="str">
        <f t="shared" si="5"/>
        <v>'Quarter supply and use of fuels'!r112c19</v>
      </c>
      <c r="J29" s="19" t="str">
        <f t="shared" si="5"/>
        <v>'Quarter supply and use of fuels'!r113c19</v>
      </c>
      <c r="K29" s="19" t="str">
        <f t="shared" si="5"/>
        <v>'Quarter supply and use of fuels'!r114c19</v>
      </c>
      <c r="L29" s="19" t="str">
        <f t="shared" si="5"/>
        <v>'Quarter supply and use of fuels'!r115c19</v>
      </c>
      <c r="M29" s="19" t="str">
        <f t="shared" si="5"/>
        <v>'Quarter supply and use of fuels'!r116c19</v>
      </c>
      <c r="N29" s="19" t="str">
        <f t="shared" si="5"/>
        <v>'Quarter supply and use of fuels'!r117c19</v>
      </c>
    </row>
    <row r="30" spans="1:14" x14ac:dyDescent="0.25">
      <c r="A30" s="28" t="s">
        <v>46</v>
      </c>
      <c r="B30" s="19">
        <v>20</v>
      </c>
      <c r="C30" s="19" t="str">
        <f t="shared" si="2"/>
        <v>'Annual supply and use of fuels'!r32c20</v>
      </c>
      <c r="D30" s="19" t="str">
        <f t="shared" si="2"/>
        <v>'Annual supply and use of fuels'!r33c20</v>
      </c>
      <c r="E30" s="19">
        <v>20</v>
      </c>
      <c r="F30" s="19" t="str">
        <f t="shared" si="5"/>
        <v>'Quarter supply and use of fuels'!r109c20</v>
      </c>
      <c r="G30" s="19" t="str">
        <f t="shared" si="5"/>
        <v>'Quarter supply and use of fuels'!r110c20</v>
      </c>
      <c r="H30" s="19" t="str">
        <f t="shared" si="5"/>
        <v>'Quarter supply and use of fuels'!r111c20</v>
      </c>
      <c r="I30" s="19" t="str">
        <f t="shared" si="5"/>
        <v>'Quarter supply and use of fuels'!r112c20</v>
      </c>
      <c r="J30" s="19" t="str">
        <f t="shared" si="5"/>
        <v>'Quarter supply and use of fuels'!r113c20</v>
      </c>
      <c r="K30" s="19" t="str">
        <f t="shared" si="5"/>
        <v>'Quarter supply and use of fuels'!r114c20</v>
      </c>
      <c r="L30" s="19" t="str">
        <f t="shared" si="5"/>
        <v>'Quarter supply and use of fuels'!r115c20</v>
      </c>
      <c r="M30" s="19" t="str">
        <f t="shared" si="5"/>
        <v>'Quarter supply and use of fuels'!r116c20</v>
      </c>
      <c r="N30" s="19" t="str">
        <f t="shared" si="5"/>
        <v>'Quarter supply and use of fuels'!r117c20</v>
      </c>
    </row>
    <row r="31" spans="1:14" x14ac:dyDescent="0.25">
      <c r="A31" s="28"/>
    </row>
    <row r="32" spans="1:14" ht="13" x14ac:dyDescent="0.3">
      <c r="A32" s="29" t="s">
        <v>47</v>
      </c>
      <c r="B32" s="19">
        <v>21</v>
      </c>
      <c r="C32" s="19" t="str">
        <f t="shared" si="2"/>
        <v>'Annual supply and use of fuels'!r32c21</v>
      </c>
      <c r="D32" s="19" t="str">
        <f t="shared" si="2"/>
        <v>'Annual supply and use of fuels'!r33c21</v>
      </c>
      <c r="E32" s="19">
        <v>21</v>
      </c>
      <c r="F32" s="19" t="str">
        <f t="shared" ref="F32:N42" si="6">$F$5&amp;"r"&amp;F$6&amp;"c"&amp;$E32</f>
        <v>'Quarter supply and use of fuels'!r109c21</v>
      </c>
      <c r="G32" s="19" t="str">
        <f t="shared" si="6"/>
        <v>'Quarter supply and use of fuels'!r110c21</v>
      </c>
      <c r="H32" s="19" t="str">
        <f t="shared" si="6"/>
        <v>'Quarter supply and use of fuels'!r111c21</v>
      </c>
      <c r="I32" s="19" t="str">
        <f t="shared" si="6"/>
        <v>'Quarter supply and use of fuels'!r112c21</v>
      </c>
      <c r="J32" s="19" t="str">
        <f t="shared" si="6"/>
        <v>'Quarter supply and use of fuels'!r113c21</v>
      </c>
      <c r="K32" s="19" t="str">
        <f t="shared" si="6"/>
        <v>'Quarter supply and use of fuels'!r114c21</v>
      </c>
      <c r="L32" s="19" t="str">
        <f t="shared" si="6"/>
        <v>'Quarter supply and use of fuels'!r115c21</v>
      </c>
      <c r="M32" s="19" t="str">
        <f t="shared" si="6"/>
        <v>'Quarter supply and use of fuels'!r116c21</v>
      </c>
      <c r="N32" s="19" t="str">
        <f t="shared" si="6"/>
        <v>'Quarter supply and use of fuels'!r117c21</v>
      </c>
    </row>
    <row r="33" spans="1:14" x14ac:dyDescent="0.25">
      <c r="A33" s="28" t="s">
        <v>48</v>
      </c>
      <c r="B33" s="19">
        <v>22</v>
      </c>
      <c r="C33" s="19" t="str">
        <f t="shared" si="2"/>
        <v>'Annual supply and use of fuels'!r32c22</v>
      </c>
      <c r="D33" s="19" t="str">
        <f t="shared" si="2"/>
        <v>'Annual supply and use of fuels'!r33c22</v>
      </c>
      <c r="E33" s="19">
        <v>22</v>
      </c>
      <c r="F33" s="19" t="str">
        <f t="shared" si="6"/>
        <v>'Quarter supply and use of fuels'!r109c22</v>
      </c>
      <c r="G33" s="19" t="str">
        <f t="shared" si="6"/>
        <v>'Quarter supply and use of fuels'!r110c22</v>
      </c>
      <c r="H33" s="19" t="str">
        <f t="shared" si="6"/>
        <v>'Quarter supply and use of fuels'!r111c22</v>
      </c>
      <c r="I33" s="19" t="str">
        <f t="shared" si="6"/>
        <v>'Quarter supply and use of fuels'!r112c22</v>
      </c>
      <c r="J33" s="19" t="str">
        <f t="shared" si="6"/>
        <v>'Quarter supply and use of fuels'!r113c22</v>
      </c>
      <c r="K33" s="19" t="str">
        <f t="shared" si="6"/>
        <v>'Quarter supply and use of fuels'!r114c22</v>
      </c>
      <c r="L33" s="19" t="str">
        <f t="shared" si="6"/>
        <v>'Quarter supply and use of fuels'!r115c22</v>
      </c>
      <c r="M33" s="19" t="str">
        <f t="shared" si="6"/>
        <v>'Quarter supply and use of fuels'!r116c22</v>
      </c>
      <c r="N33" s="19" t="str">
        <f t="shared" si="6"/>
        <v>'Quarter supply and use of fuels'!r117c22</v>
      </c>
    </row>
    <row r="34" spans="1:14" x14ac:dyDescent="0.25">
      <c r="A34" s="28" t="s">
        <v>49</v>
      </c>
      <c r="B34" s="19">
        <v>23</v>
      </c>
      <c r="C34" s="19" t="str">
        <f t="shared" si="2"/>
        <v>'Annual supply and use of fuels'!r32c23</v>
      </c>
      <c r="D34" s="19" t="str">
        <f t="shared" si="2"/>
        <v>'Annual supply and use of fuels'!r33c23</v>
      </c>
      <c r="E34" s="19">
        <v>23</v>
      </c>
      <c r="F34" s="19" t="str">
        <f t="shared" si="6"/>
        <v>'Quarter supply and use of fuels'!r109c23</v>
      </c>
      <c r="G34" s="19" t="str">
        <f t="shared" si="6"/>
        <v>'Quarter supply and use of fuels'!r110c23</v>
      </c>
      <c r="H34" s="19" t="str">
        <f t="shared" si="6"/>
        <v>'Quarter supply and use of fuels'!r111c23</v>
      </c>
      <c r="I34" s="19" t="str">
        <f t="shared" si="6"/>
        <v>'Quarter supply and use of fuels'!r112c23</v>
      </c>
      <c r="J34" s="19" t="str">
        <f t="shared" si="6"/>
        <v>'Quarter supply and use of fuels'!r113c23</v>
      </c>
      <c r="K34" s="19" t="str">
        <f t="shared" si="6"/>
        <v>'Quarter supply and use of fuels'!r114c23</v>
      </c>
      <c r="L34" s="19" t="str">
        <f t="shared" si="6"/>
        <v>'Quarter supply and use of fuels'!r115c23</v>
      </c>
      <c r="M34" s="19" t="str">
        <f t="shared" si="6"/>
        <v>'Quarter supply and use of fuels'!r116c23</v>
      </c>
      <c r="N34" s="19" t="str">
        <f t="shared" si="6"/>
        <v>'Quarter supply and use of fuels'!r117c23</v>
      </c>
    </row>
    <row r="35" spans="1:14" x14ac:dyDescent="0.25">
      <c r="A35" s="28" t="s">
        <v>50</v>
      </c>
      <c r="B35" s="19">
        <v>24</v>
      </c>
      <c r="C35" s="19" t="str">
        <f t="shared" si="2"/>
        <v>'Annual supply and use of fuels'!r32c24</v>
      </c>
      <c r="D35" s="19" t="str">
        <f t="shared" si="2"/>
        <v>'Annual supply and use of fuels'!r33c24</v>
      </c>
      <c r="E35" s="19">
        <v>24</v>
      </c>
      <c r="F35" s="19" t="str">
        <f t="shared" si="6"/>
        <v>'Quarter supply and use of fuels'!r109c24</v>
      </c>
      <c r="G35" s="19" t="str">
        <f t="shared" si="6"/>
        <v>'Quarter supply and use of fuels'!r110c24</v>
      </c>
      <c r="H35" s="19" t="str">
        <f t="shared" si="6"/>
        <v>'Quarter supply and use of fuels'!r111c24</v>
      </c>
      <c r="I35" s="19" t="str">
        <f t="shared" si="6"/>
        <v>'Quarter supply and use of fuels'!r112c24</v>
      </c>
      <c r="J35" s="19" t="str">
        <f t="shared" si="6"/>
        <v>'Quarter supply and use of fuels'!r113c24</v>
      </c>
      <c r="K35" s="19" t="str">
        <f t="shared" si="6"/>
        <v>'Quarter supply and use of fuels'!r114c24</v>
      </c>
      <c r="L35" s="19" t="str">
        <f t="shared" si="6"/>
        <v>'Quarter supply and use of fuels'!r115c24</v>
      </c>
      <c r="M35" s="19" t="str">
        <f t="shared" si="6"/>
        <v>'Quarter supply and use of fuels'!r116c24</v>
      </c>
      <c r="N35" s="19" t="str">
        <f t="shared" si="6"/>
        <v>'Quarter supply and use of fuels'!r117c24</v>
      </c>
    </row>
    <row r="36" spans="1:14" x14ac:dyDescent="0.25">
      <c r="A36" s="28" t="s">
        <v>51</v>
      </c>
      <c r="B36" s="19">
        <v>25</v>
      </c>
      <c r="C36" s="19" t="str">
        <f t="shared" si="2"/>
        <v>'Annual supply and use of fuels'!r32c25</v>
      </c>
      <c r="D36" s="19" t="str">
        <f t="shared" si="2"/>
        <v>'Annual supply and use of fuels'!r33c25</v>
      </c>
      <c r="E36" s="19">
        <v>25</v>
      </c>
      <c r="F36" s="19" t="str">
        <f t="shared" si="6"/>
        <v>'Quarter supply and use of fuels'!r109c25</v>
      </c>
      <c r="G36" s="19" t="str">
        <f t="shared" si="6"/>
        <v>'Quarter supply and use of fuels'!r110c25</v>
      </c>
      <c r="H36" s="19" t="str">
        <f t="shared" si="6"/>
        <v>'Quarter supply and use of fuels'!r111c25</v>
      </c>
      <c r="I36" s="19" t="str">
        <f t="shared" si="6"/>
        <v>'Quarter supply and use of fuels'!r112c25</v>
      </c>
      <c r="J36" s="19" t="str">
        <f t="shared" si="6"/>
        <v>'Quarter supply and use of fuels'!r113c25</v>
      </c>
      <c r="K36" s="19" t="str">
        <f t="shared" si="6"/>
        <v>'Quarter supply and use of fuels'!r114c25</v>
      </c>
      <c r="L36" s="19" t="str">
        <f t="shared" si="6"/>
        <v>'Quarter supply and use of fuels'!r115c25</v>
      </c>
      <c r="M36" s="19" t="str">
        <f t="shared" si="6"/>
        <v>'Quarter supply and use of fuels'!r116c25</v>
      </c>
      <c r="N36" s="19" t="str">
        <f t="shared" si="6"/>
        <v>'Quarter supply and use of fuels'!r117c25</v>
      </c>
    </row>
    <row r="37" spans="1:14" x14ac:dyDescent="0.25">
      <c r="A37" s="28" t="s">
        <v>82</v>
      </c>
      <c r="B37" s="19">
        <v>26</v>
      </c>
      <c r="C37" s="19" t="str">
        <f t="shared" si="2"/>
        <v>'Annual supply and use of fuels'!r32c26</v>
      </c>
      <c r="D37" s="19" t="str">
        <f t="shared" si="2"/>
        <v>'Annual supply and use of fuels'!r33c26</v>
      </c>
      <c r="E37" s="19">
        <v>26</v>
      </c>
      <c r="F37" s="19" t="str">
        <f t="shared" si="6"/>
        <v>'Quarter supply and use of fuels'!r109c26</v>
      </c>
      <c r="G37" s="19" t="str">
        <f t="shared" si="6"/>
        <v>'Quarter supply and use of fuels'!r110c26</v>
      </c>
      <c r="H37" s="19" t="str">
        <f t="shared" si="6"/>
        <v>'Quarter supply and use of fuels'!r111c26</v>
      </c>
      <c r="I37" s="19" t="str">
        <f t="shared" si="6"/>
        <v>'Quarter supply and use of fuels'!r112c26</v>
      </c>
      <c r="J37" s="19" t="str">
        <f t="shared" si="6"/>
        <v>'Quarter supply and use of fuels'!r113c26</v>
      </c>
      <c r="K37" s="19" t="str">
        <f t="shared" si="6"/>
        <v>'Quarter supply and use of fuels'!r114c26</v>
      </c>
      <c r="L37" s="19" t="str">
        <f t="shared" si="6"/>
        <v>'Quarter supply and use of fuels'!r115c26</v>
      </c>
      <c r="M37" s="19" t="str">
        <f t="shared" si="6"/>
        <v>'Quarter supply and use of fuels'!r116c26</v>
      </c>
      <c r="N37" s="19" t="str">
        <f t="shared" si="6"/>
        <v>'Quarter supply and use of fuels'!r117c26</v>
      </c>
    </row>
    <row r="38" spans="1:14" x14ac:dyDescent="0.25">
      <c r="A38" s="28" t="s">
        <v>108</v>
      </c>
      <c r="B38" s="19">
        <v>27</v>
      </c>
      <c r="C38" s="19" t="str">
        <f t="shared" si="2"/>
        <v>'Annual supply and use of fuels'!r32c27</v>
      </c>
      <c r="D38" s="19" t="str">
        <f t="shared" si="2"/>
        <v>'Annual supply and use of fuels'!r33c27</v>
      </c>
      <c r="E38" s="19">
        <v>27</v>
      </c>
      <c r="F38" s="19" t="str">
        <f t="shared" si="6"/>
        <v>'Quarter supply and use of fuels'!r109c27</v>
      </c>
      <c r="G38" s="19" t="str">
        <f t="shared" si="6"/>
        <v>'Quarter supply and use of fuels'!r110c27</v>
      </c>
      <c r="H38" s="19" t="str">
        <f t="shared" si="6"/>
        <v>'Quarter supply and use of fuels'!r111c27</v>
      </c>
      <c r="I38" s="19" t="str">
        <f t="shared" si="6"/>
        <v>'Quarter supply and use of fuels'!r112c27</v>
      </c>
      <c r="J38" s="19" t="str">
        <f t="shared" si="6"/>
        <v>'Quarter supply and use of fuels'!r113c27</v>
      </c>
      <c r="K38" s="19" t="str">
        <f t="shared" si="6"/>
        <v>'Quarter supply and use of fuels'!r114c27</v>
      </c>
      <c r="L38" s="19" t="str">
        <f t="shared" si="6"/>
        <v>'Quarter supply and use of fuels'!r115c27</v>
      </c>
      <c r="M38" s="19" t="str">
        <f t="shared" si="6"/>
        <v>'Quarter supply and use of fuels'!r116c27</v>
      </c>
      <c r="N38" s="19" t="str">
        <f t="shared" si="6"/>
        <v>'Quarter supply and use of fuels'!r117c27</v>
      </c>
    </row>
    <row r="39" spans="1:14" x14ac:dyDescent="0.25">
      <c r="A39" s="28" t="s">
        <v>109</v>
      </c>
      <c r="B39" s="19">
        <v>28</v>
      </c>
      <c r="C39" s="19" t="str">
        <f t="shared" si="2"/>
        <v>'Annual supply and use of fuels'!r32c28</v>
      </c>
      <c r="D39" s="19" t="str">
        <f t="shared" si="2"/>
        <v>'Annual supply and use of fuels'!r33c28</v>
      </c>
      <c r="E39" s="19">
        <v>28</v>
      </c>
      <c r="F39" s="19" t="str">
        <f t="shared" si="6"/>
        <v>'Quarter supply and use of fuels'!r109c28</v>
      </c>
      <c r="G39" s="19" t="str">
        <f t="shared" si="6"/>
        <v>'Quarter supply and use of fuels'!r110c28</v>
      </c>
      <c r="H39" s="19" t="str">
        <f t="shared" si="6"/>
        <v>'Quarter supply and use of fuels'!r111c28</v>
      </c>
      <c r="I39" s="19" t="str">
        <f t="shared" si="6"/>
        <v>'Quarter supply and use of fuels'!r112c28</v>
      </c>
      <c r="J39" s="19" t="str">
        <f t="shared" si="6"/>
        <v>'Quarter supply and use of fuels'!r113c28</v>
      </c>
      <c r="K39" s="19" t="str">
        <f t="shared" si="6"/>
        <v>'Quarter supply and use of fuels'!r114c28</v>
      </c>
      <c r="L39" s="19" t="str">
        <f t="shared" si="6"/>
        <v>'Quarter supply and use of fuels'!r115c28</v>
      </c>
      <c r="M39" s="19" t="str">
        <f t="shared" si="6"/>
        <v>'Quarter supply and use of fuels'!r116c28</v>
      </c>
      <c r="N39" s="19" t="str">
        <f t="shared" si="6"/>
        <v>'Quarter supply and use of fuels'!r117c28</v>
      </c>
    </row>
    <row r="40" spans="1:14" x14ac:dyDescent="0.25">
      <c r="A40" s="28" t="s">
        <v>110</v>
      </c>
      <c r="B40" s="19">
        <v>29</v>
      </c>
      <c r="C40" s="19" t="str">
        <f t="shared" si="2"/>
        <v>'Annual supply and use of fuels'!r32c29</v>
      </c>
      <c r="D40" s="19" t="str">
        <f t="shared" si="2"/>
        <v>'Annual supply and use of fuels'!r33c29</v>
      </c>
      <c r="E40" s="19">
        <v>29</v>
      </c>
      <c r="F40" s="19" t="str">
        <f t="shared" si="6"/>
        <v>'Quarter supply and use of fuels'!r109c29</v>
      </c>
      <c r="G40" s="19" t="str">
        <f t="shared" si="6"/>
        <v>'Quarter supply and use of fuels'!r110c29</v>
      </c>
      <c r="H40" s="19" t="str">
        <f t="shared" si="6"/>
        <v>'Quarter supply and use of fuels'!r111c29</v>
      </c>
      <c r="I40" s="19" t="str">
        <f t="shared" si="6"/>
        <v>'Quarter supply and use of fuels'!r112c29</v>
      </c>
      <c r="J40" s="19" t="str">
        <f t="shared" si="6"/>
        <v>'Quarter supply and use of fuels'!r113c29</v>
      </c>
      <c r="K40" s="19" t="str">
        <f t="shared" si="6"/>
        <v>'Quarter supply and use of fuels'!r114c29</v>
      </c>
      <c r="L40" s="19" t="str">
        <f t="shared" si="6"/>
        <v>'Quarter supply and use of fuels'!r115c29</v>
      </c>
      <c r="M40" s="19" t="str">
        <f t="shared" si="6"/>
        <v>'Quarter supply and use of fuels'!r116c29</v>
      </c>
      <c r="N40" s="19" t="str">
        <f t="shared" si="6"/>
        <v>'Quarter supply and use of fuels'!r117c29</v>
      </c>
    </row>
    <row r="41" spans="1:14" x14ac:dyDescent="0.25">
      <c r="A41" s="28" t="s">
        <v>111</v>
      </c>
      <c r="B41" s="19">
        <v>30</v>
      </c>
      <c r="C41" s="19" t="str">
        <f t="shared" si="2"/>
        <v>'Annual supply and use of fuels'!r32c30</v>
      </c>
      <c r="D41" s="19" t="str">
        <f t="shared" si="2"/>
        <v>'Annual supply and use of fuels'!r33c30</v>
      </c>
      <c r="E41" s="19">
        <v>30</v>
      </c>
      <c r="F41" s="19" t="str">
        <f t="shared" si="6"/>
        <v>'Quarter supply and use of fuels'!r109c30</v>
      </c>
      <c r="G41" s="19" t="str">
        <f t="shared" si="6"/>
        <v>'Quarter supply and use of fuels'!r110c30</v>
      </c>
      <c r="H41" s="19" t="str">
        <f t="shared" si="6"/>
        <v>'Quarter supply and use of fuels'!r111c30</v>
      </c>
      <c r="I41" s="19" t="str">
        <f t="shared" si="6"/>
        <v>'Quarter supply and use of fuels'!r112c30</v>
      </c>
      <c r="J41" s="19" t="str">
        <f t="shared" si="6"/>
        <v>'Quarter supply and use of fuels'!r113c30</v>
      </c>
      <c r="K41" s="19" t="str">
        <f t="shared" si="6"/>
        <v>'Quarter supply and use of fuels'!r114c30</v>
      </c>
      <c r="L41" s="19" t="str">
        <f t="shared" si="6"/>
        <v>'Quarter supply and use of fuels'!r115c30</v>
      </c>
      <c r="M41" s="19" t="str">
        <f t="shared" si="6"/>
        <v>'Quarter supply and use of fuels'!r116c30</v>
      </c>
      <c r="N41" s="19" t="str">
        <f t="shared" si="6"/>
        <v>'Quarter supply and use of fuels'!r117c30</v>
      </c>
    </row>
    <row r="42" spans="1:14" x14ac:dyDescent="0.25">
      <c r="A42" s="28" t="s">
        <v>52</v>
      </c>
      <c r="B42" s="19">
        <v>31</v>
      </c>
      <c r="C42" s="19" t="str">
        <f t="shared" si="2"/>
        <v>'Annual supply and use of fuels'!r32c31</v>
      </c>
      <c r="D42" s="19" t="str">
        <f t="shared" si="2"/>
        <v>'Annual supply and use of fuels'!r33c31</v>
      </c>
      <c r="E42" s="19">
        <v>31</v>
      </c>
      <c r="F42" s="19" t="str">
        <f t="shared" si="6"/>
        <v>'Quarter supply and use of fuels'!r109c31</v>
      </c>
      <c r="G42" s="19" t="str">
        <f t="shared" si="6"/>
        <v>'Quarter supply and use of fuels'!r110c31</v>
      </c>
      <c r="H42" s="19" t="str">
        <f t="shared" si="6"/>
        <v>'Quarter supply and use of fuels'!r111c31</v>
      </c>
      <c r="I42" s="19" t="str">
        <f t="shared" si="6"/>
        <v>'Quarter supply and use of fuels'!r112c31</v>
      </c>
      <c r="J42" s="19" t="str">
        <f t="shared" si="6"/>
        <v>'Quarter supply and use of fuels'!r113c31</v>
      </c>
      <c r="K42" s="19" t="str">
        <f t="shared" si="6"/>
        <v>'Quarter supply and use of fuels'!r114c31</v>
      </c>
      <c r="L42" s="19" t="str">
        <f t="shared" si="6"/>
        <v>'Quarter supply and use of fuels'!r115c31</v>
      </c>
      <c r="M42" s="19" t="str">
        <f t="shared" si="6"/>
        <v>'Quarter supply and use of fuels'!r116c31</v>
      </c>
      <c r="N42" s="19" t="str">
        <f t="shared" si="6"/>
        <v>'Quarter supply and use of fuels'!r117c31</v>
      </c>
    </row>
    <row r="44" spans="1:14" ht="13" x14ac:dyDescent="0.3">
      <c r="A44" s="29" t="s">
        <v>112</v>
      </c>
    </row>
    <row r="45" spans="1:14" x14ac:dyDescent="0.25">
      <c r="A45" s="28" t="s">
        <v>53</v>
      </c>
      <c r="B45" s="19">
        <v>16</v>
      </c>
      <c r="C45" s="19" t="str">
        <f t="shared" ref="C45:D47" si="7">$A$49&amp;"r"&amp;C$6&amp;"c"&amp;$B45</f>
        <v>'Annual dependency &amp; low carbon'!r32c16</v>
      </c>
      <c r="D45" s="19" t="str">
        <f t="shared" si="7"/>
        <v>'Annual dependency &amp; low carbon'!r33c16</v>
      </c>
      <c r="E45" s="19">
        <v>16</v>
      </c>
      <c r="F45" s="19" t="str">
        <f t="shared" ref="F45:N47" si="8">$A$50&amp;"r"&amp;F$6&amp;"c"&amp;$E45</f>
        <v>'Quarter dependency &amp; low carbon'!r109c16</v>
      </c>
      <c r="G45" s="19" t="str">
        <f t="shared" si="8"/>
        <v>'Quarter dependency &amp; low carbon'!r110c16</v>
      </c>
      <c r="H45" s="19" t="str">
        <f t="shared" si="8"/>
        <v>'Quarter dependency &amp; low carbon'!r111c16</v>
      </c>
      <c r="I45" s="19" t="str">
        <f t="shared" si="8"/>
        <v>'Quarter dependency &amp; low carbon'!r112c16</v>
      </c>
      <c r="J45" s="19" t="str">
        <f t="shared" si="8"/>
        <v>'Quarter dependency &amp; low carbon'!r113c16</v>
      </c>
      <c r="K45" s="19" t="str">
        <f t="shared" si="8"/>
        <v>'Quarter dependency &amp; low carbon'!r114c16</v>
      </c>
      <c r="L45" s="19" t="str">
        <f t="shared" si="8"/>
        <v>'Quarter dependency &amp; low carbon'!r115c16</v>
      </c>
      <c r="M45" s="19" t="str">
        <f t="shared" si="8"/>
        <v>'Quarter dependency &amp; low carbon'!r116c16</v>
      </c>
      <c r="N45" s="19" t="str">
        <f t="shared" si="8"/>
        <v>'Quarter dependency &amp; low carbon'!r117c16</v>
      </c>
    </row>
    <row r="46" spans="1:14" x14ac:dyDescent="0.25">
      <c r="A46" s="28" t="s">
        <v>54</v>
      </c>
      <c r="B46" s="19">
        <v>8</v>
      </c>
      <c r="C46" s="19" t="str">
        <f t="shared" si="7"/>
        <v>'Annual dependency &amp; low carbon'!r32c8</v>
      </c>
      <c r="D46" s="19" t="str">
        <f t="shared" si="7"/>
        <v>'Annual dependency &amp; low carbon'!r33c8</v>
      </c>
      <c r="E46" s="19">
        <v>8</v>
      </c>
      <c r="F46" s="19" t="str">
        <f t="shared" si="8"/>
        <v>'Quarter dependency &amp; low carbon'!r109c8</v>
      </c>
      <c r="G46" s="19" t="str">
        <f t="shared" si="8"/>
        <v>'Quarter dependency &amp; low carbon'!r110c8</v>
      </c>
      <c r="H46" s="19" t="str">
        <f t="shared" si="8"/>
        <v>'Quarter dependency &amp; low carbon'!r111c8</v>
      </c>
      <c r="I46" s="19" t="str">
        <f t="shared" si="8"/>
        <v>'Quarter dependency &amp; low carbon'!r112c8</v>
      </c>
      <c r="J46" s="19" t="str">
        <f t="shared" si="8"/>
        <v>'Quarter dependency &amp; low carbon'!r113c8</v>
      </c>
      <c r="K46" s="19" t="str">
        <f t="shared" si="8"/>
        <v>'Quarter dependency &amp; low carbon'!r114c8</v>
      </c>
      <c r="L46" s="19" t="str">
        <f t="shared" si="8"/>
        <v>'Quarter dependency &amp; low carbon'!r115c8</v>
      </c>
      <c r="M46" s="19" t="str">
        <f t="shared" si="8"/>
        <v>'Quarter dependency &amp; low carbon'!r116c8</v>
      </c>
      <c r="N46" s="19" t="str">
        <f t="shared" si="8"/>
        <v>'Quarter dependency &amp; low carbon'!r117c8</v>
      </c>
    </row>
    <row r="47" spans="1:14" x14ac:dyDescent="0.25">
      <c r="A47" s="28" t="s">
        <v>55</v>
      </c>
      <c r="B47" s="19">
        <v>9</v>
      </c>
      <c r="C47" s="19" t="str">
        <f t="shared" si="7"/>
        <v>'Annual dependency &amp; low carbon'!r32c9</v>
      </c>
      <c r="D47" s="19" t="str">
        <f t="shared" si="7"/>
        <v>'Annual dependency &amp; low carbon'!r33c9</v>
      </c>
      <c r="E47" s="19">
        <v>9</v>
      </c>
      <c r="F47" s="19" t="str">
        <f t="shared" si="8"/>
        <v>'Quarter dependency &amp; low carbon'!r109c9</v>
      </c>
      <c r="G47" s="19" t="str">
        <f t="shared" si="8"/>
        <v>'Quarter dependency &amp; low carbon'!r110c9</v>
      </c>
      <c r="H47" s="19" t="str">
        <f t="shared" si="8"/>
        <v>'Quarter dependency &amp; low carbon'!r111c9</v>
      </c>
      <c r="I47" s="19" t="str">
        <f t="shared" si="8"/>
        <v>'Quarter dependency &amp; low carbon'!r112c9</v>
      </c>
      <c r="J47" s="19" t="str">
        <f t="shared" si="8"/>
        <v>'Quarter dependency &amp; low carbon'!r113c9</v>
      </c>
      <c r="K47" s="19" t="str">
        <f t="shared" si="8"/>
        <v>'Quarter dependency &amp; low carbon'!r114c9</v>
      </c>
      <c r="L47" s="19" t="str">
        <f t="shared" si="8"/>
        <v>'Quarter dependency &amp; low carbon'!r115c9</v>
      </c>
      <c r="M47" s="19" t="str">
        <f t="shared" si="8"/>
        <v>'Quarter dependency &amp; low carbon'!r116c9</v>
      </c>
      <c r="N47" s="19" t="str">
        <f t="shared" si="8"/>
        <v>'Quarter dependency &amp; low carbon'!r117c9</v>
      </c>
    </row>
    <row r="49" spans="1:1" x14ac:dyDescent="0.25">
      <c r="A49" s="19" t="str">
        <f>"'Annual dependency &amp; low carbon'!"</f>
        <v>'Annual dependency &amp; low carbon'!</v>
      </c>
    </row>
    <row r="50" spans="1:1" x14ac:dyDescent="0.25">
      <c r="A50" s="19" t="str">
        <f>"'Quarter dependency &amp; low carbon'!"</f>
        <v>'Quarter dependency &amp; low carbon'!</v>
      </c>
    </row>
  </sheetData>
  <dataValidations count="3">
    <dataValidation type="whole" operator="greaterThan" allowBlank="1" showInputMessage="1" showErrorMessage="1" error="Data available from 1999 Quarter 4"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5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D131071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D196607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D262143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D327679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D393215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D458751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D524287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D589823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D655359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D720895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D786431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D851967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D917503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D983039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xr:uid="{2262C002-0F37-4C34-B2A4-94195E4A3A18}">
      <formula1>1998</formula1>
    </dataValidation>
    <dataValidation type="whole" allowBlank="1" showInputMessage="1" showErrorMessage="1" error="Data available from 1999 Quarter 4" sqref="D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D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D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D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D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D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D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D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D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D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D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D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D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D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D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xr:uid="{B0A99BD0-ED8F-4C6A-9F0F-3F4470937337}">
      <formula1>B65583</formula1>
      <formula2>4</formula2>
    </dataValidation>
    <dataValidation type="whole" allowBlank="1" showInputMessage="1" showErrorMessage="1" error="Data available from 1999 Quarter 4"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xr:uid="{6B1BF22A-115A-42E6-A56D-6BCC8FBD694E}">
      <formula1>B48</formula1>
      <formula2>4</formula2>
    </dataValidation>
  </dataValidation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0106-433C-44DE-B535-8D8536831481}">
  <dimension ref="A1:W38"/>
  <sheetViews>
    <sheetView zoomScale="60" zoomScaleNormal="60" workbookViewId="0">
      <pane xSplit="1" ySplit="4" topLeftCell="B5" activePane="bottomRight" state="frozen"/>
      <selection activeCell="B19" sqref="B19"/>
      <selection pane="topRight" activeCell="B19" sqref="B19"/>
      <selection pane="bottomLeft" activeCell="B19" sqref="B19"/>
      <selection pane="bottomRight" activeCell="F2" sqref="F2"/>
    </sheetView>
  </sheetViews>
  <sheetFormatPr defaultRowHeight="12.5" x14ac:dyDescent="0.25"/>
  <cols>
    <col min="1" max="1" width="27.54296875" style="19" customWidth="1"/>
    <col min="2" max="2" width="8.7265625" style="19"/>
    <col min="3" max="6" width="25.54296875" style="19" customWidth="1"/>
    <col min="7" max="8" width="31" style="19" bestFit="1" customWidth="1"/>
    <col min="9" max="11" width="25.54296875" style="19" customWidth="1"/>
    <col min="12" max="12" width="9.1796875" style="19" customWidth="1"/>
    <col min="13" max="13" width="21.54296875" style="19" bestFit="1" customWidth="1"/>
    <col min="14" max="14" width="6.54296875" style="19" customWidth="1"/>
    <col min="15" max="16" width="26.453125" style="19" bestFit="1" customWidth="1"/>
    <col min="17" max="17" width="22.54296875" style="19" bestFit="1" customWidth="1"/>
    <col min="18" max="20" width="26.453125" style="19" bestFit="1" customWidth="1"/>
    <col min="21" max="21" width="22.54296875" style="19" bestFit="1" customWidth="1"/>
    <col min="22" max="23" width="26.453125" style="19" bestFit="1" customWidth="1"/>
    <col min="24" max="256" width="8.7265625" style="19"/>
    <col min="257" max="257" width="27.54296875" style="19" customWidth="1"/>
    <col min="258" max="258" width="8.7265625" style="19"/>
    <col min="259" max="267" width="25.54296875" style="19" customWidth="1"/>
    <col min="268" max="268" width="9.1796875" style="19" customWidth="1"/>
    <col min="269" max="269" width="21.54296875" style="19" bestFit="1" customWidth="1"/>
    <col min="270" max="270" width="6.54296875" style="19" customWidth="1"/>
    <col min="271" max="272" width="26.453125" style="19" bestFit="1" customWidth="1"/>
    <col min="273" max="273" width="22.54296875" style="19" bestFit="1" customWidth="1"/>
    <col min="274" max="276" width="26.453125" style="19" bestFit="1" customWidth="1"/>
    <col min="277" max="277" width="22.54296875" style="19" bestFit="1" customWidth="1"/>
    <col min="278" max="279" width="26.453125" style="19" bestFit="1" customWidth="1"/>
    <col min="280" max="512" width="8.7265625" style="19"/>
    <col min="513" max="513" width="27.54296875" style="19" customWidth="1"/>
    <col min="514" max="514" width="8.7265625" style="19"/>
    <col min="515" max="523" width="25.54296875" style="19" customWidth="1"/>
    <col min="524" max="524" width="9.1796875" style="19" customWidth="1"/>
    <col min="525" max="525" width="21.54296875" style="19" bestFit="1" customWidth="1"/>
    <col min="526" max="526" width="6.54296875" style="19" customWidth="1"/>
    <col min="527" max="528" width="26.453125" style="19" bestFit="1" customWidth="1"/>
    <col min="529" max="529" width="22.54296875" style="19" bestFit="1" customWidth="1"/>
    <col min="530" max="532" width="26.453125" style="19" bestFit="1" customWidth="1"/>
    <col min="533" max="533" width="22.54296875" style="19" bestFit="1" customWidth="1"/>
    <col min="534" max="535" width="26.453125" style="19" bestFit="1" customWidth="1"/>
    <col min="536" max="768" width="8.7265625" style="19"/>
    <col min="769" max="769" width="27.54296875" style="19" customWidth="1"/>
    <col min="770" max="770" width="8.7265625" style="19"/>
    <col min="771" max="779" width="25.54296875" style="19" customWidth="1"/>
    <col min="780" max="780" width="9.1796875" style="19" customWidth="1"/>
    <col min="781" max="781" width="21.54296875" style="19" bestFit="1" customWidth="1"/>
    <col min="782" max="782" width="6.54296875" style="19" customWidth="1"/>
    <col min="783" max="784" width="26.453125" style="19" bestFit="1" customWidth="1"/>
    <col min="785" max="785" width="22.54296875" style="19" bestFit="1" customWidth="1"/>
    <col min="786" max="788" width="26.453125" style="19" bestFit="1" customWidth="1"/>
    <col min="789" max="789" width="22.54296875" style="19" bestFit="1" customWidth="1"/>
    <col min="790" max="791" width="26.453125" style="19" bestFit="1" customWidth="1"/>
    <col min="792" max="1024" width="8.7265625" style="19"/>
    <col min="1025" max="1025" width="27.54296875" style="19" customWidth="1"/>
    <col min="1026" max="1026" width="8.7265625" style="19"/>
    <col min="1027" max="1035" width="25.54296875" style="19" customWidth="1"/>
    <col min="1036" max="1036" width="9.1796875" style="19" customWidth="1"/>
    <col min="1037" max="1037" width="21.54296875" style="19" bestFit="1" customWidth="1"/>
    <col min="1038" max="1038" width="6.54296875" style="19" customWidth="1"/>
    <col min="1039" max="1040" width="26.453125" style="19" bestFit="1" customWidth="1"/>
    <col min="1041" max="1041" width="22.54296875" style="19" bestFit="1" customWidth="1"/>
    <col min="1042" max="1044" width="26.453125" style="19" bestFit="1" customWidth="1"/>
    <col min="1045" max="1045" width="22.54296875" style="19" bestFit="1" customWidth="1"/>
    <col min="1046" max="1047" width="26.453125" style="19" bestFit="1" customWidth="1"/>
    <col min="1048" max="1280" width="8.7265625" style="19"/>
    <col min="1281" max="1281" width="27.54296875" style="19" customWidth="1"/>
    <col min="1282" max="1282" width="8.7265625" style="19"/>
    <col min="1283" max="1291" width="25.54296875" style="19" customWidth="1"/>
    <col min="1292" max="1292" width="9.1796875" style="19" customWidth="1"/>
    <col min="1293" max="1293" width="21.54296875" style="19" bestFit="1" customWidth="1"/>
    <col min="1294" max="1294" width="6.54296875" style="19" customWidth="1"/>
    <col min="1295" max="1296" width="26.453125" style="19" bestFit="1" customWidth="1"/>
    <col min="1297" max="1297" width="22.54296875" style="19" bestFit="1" customWidth="1"/>
    <col min="1298" max="1300" width="26.453125" style="19" bestFit="1" customWidth="1"/>
    <col min="1301" max="1301" width="22.54296875" style="19" bestFit="1" customWidth="1"/>
    <col min="1302" max="1303" width="26.453125" style="19" bestFit="1" customWidth="1"/>
    <col min="1304" max="1536" width="8.7265625" style="19"/>
    <col min="1537" max="1537" width="27.54296875" style="19" customWidth="1"/>
    <col min="1538" max="1538" width="8.7265625" style="19"/>
    <col min="1539" max="1547" width="25.54296875" style="19" customWidth="1"/>
    <col min="1548" max="1548" width="9.1796875" style="19" customWidth="1"/>
    <col min="1549" max="1549" width="21.54296875" style="19" bestFit="1" customWidth="1"/>
    <col min="1550" max="1550" width="6.54296875" style="19" customWidth="1"/>
    <col min="1551" max="1552" width="26.453125" style="19" bestFit="1" customWidth="1"/>
    <col min="1553" max="1553" width="22.54296875" style="19" bestFit="1" customWidth="1"/>
    <col min="1554" max="1556" width="26.453125" style="19" bestFit="1" customWidth="1"/>
    <col min="1557" max="1557" width="22.54296875" style="19" bestFit="1" customWidth="1"/>
    <col min="1558" max="1559" width="26.453125" style="19" bestFit="1" customWidth="1"/>
    <col min="1560" max="1792" width="8.7265625" style="19"/>
    <col min="1793" max="1793" width="27.54296875" style="19" customWidth="1"/>
    <col min="1794" max="1794" width="8.7265625" style="19"/>
    <col min="1795" max="1803" width="25.54296875" style="19" customWidth="1"/>
    <col min="1804" max="1804" width="9.1796875" style="19" customWidth="1"/>
    <col min="1805" max="1805" width="21.54296875" style="19" bestFit="1" customWidth="1"/>
    <col min="1806" max="1806" width="6.54296875" style="19" customWidth="1"/>
    <col min="1807" max="1808" width="26.453125" style="19" bestFit="1" customWidth="1"/>
    <col min="1809" max="1809" width="22.54296875" style="19" bestFit="1" customWidth="1"/>
    <col min="1810" max="1812" width="26.453125" style="19" bestFit="1" customWidth="1"/>
    <col min="1813" max="1813" width="22.54296875" style="19" bestFit="1" customWidth="1"/>
    <col min="1814" max="1815" width="26.453125" style="19" bestFit="1" customWidth="1"/>
    <col min="1816" max="2048" width="8.7265625" style="19"/>
    <col min="2049" max="2049" width="27.54296875" style="19" customWidth="1"/>
    <col min="2050" max="2050" width="8.7265625" style="19"/>
    <col min="2051" max="2059" width="25.54296875" style="19" customWidth="1"/>
    <col min="2060" max="2060" width="9.1796875" style="19" customWidth="1"/>
    <col min="2061" max="2061" width="21.54296875" style="19" bestFit="1" customWidth="1"/>
    <col min="2062" max="2062" width="6.54296875" style="19" customWidth="1"/>
    <col min="2063" max="2064" width="26.453125" style="19" bestFit="1" customWidth="1"/>
    <col min="2065" max="2065" width="22.54296875" style="19" bestFit="1" customWidth="1"/>
    <col min="2066" max="2068" width="26.453125" style="19" bestFit="1" customWidth="1"/>
    <col min="2069" max="2069" width="22.54296875" style="19" bestFit="1" customWidth="1"/>
    <col min="2070" max="2071" width="26.453125" style="19" bestFit="1" customWidth="1"/>
    <col min="2072" max="2304" width="8.7265625" style="19"/>
    <col min="2305" max="2305" width="27.54296875" style="19" customWidth="1"/>
    <col min="2306" max="2306" width="8.7265625" style="19"/>
    <col min="2307" max="2315" width="25.54296875" style="19" customWidth="1"/>
    <col min="2316" max="2316" width="9.1796875" style="19" customWidth="1"/>
    <col min="2317" max="2317" width="21.54296875" style="19" bestFit="1" customWidth="1"/>
    <col min="2318" max="2318" width="6.54296875" style="19" customWidth="1"/>
    <col min="2319" max="2320" width="26.453125" style="19" bestFit="1" customWidth="1"/>
    <col min="2321" max="2321" width="22.54296875" style="19" bestFit="1" customWidth="1"/>
    <col min="2322" max="2324" width="26.453125" style="19" bestFit="1" customWidth="1"/>
    <col min="2325" max="2325" width="22.54296875" style="19" bestFit="1" customWidth="1"/>
    <col min="2326" max="2327" width="26.453125" style="19" bestFit="1" customWidth="1"/>
    <col min="2328" max="2560" width="8.7265625" style="19"/>
    <col min="2561" max="2561" width="27.54296875" style="19" customWidth="1"/>
    <col min="2562" max="2562" width="8.7265625" style="19"/>
    <col min="2563" max="2571" width="25.54296875" style="19" customWidth="1"/>
    <col min="2572" max="2572" width="9.1796875" style="19" customWidth="1"/>
    <col min="2573" max="2573" width="21.54296875" style="19" bestFit="1" customWidth="1"/>
    <col min="2574" max="2574" width="6.54296875" style="19" customWidth="1"/>
    <col min="2575" max="2576" width="26.453125" style="19" bestFit="1" customWidth="1"/>
    <col min="2577" max="2577" width="22.54296875" style="19" bestFit="1" customWidth="1"/>
    <col min="2578" max="2580" width="26.453125" style="19" bestFit="1" customWidth="1"/>
    <col min="2581" max="2581" width="22.54296875" style="19" bestFit="1" customWidth="1"/>
    <col min="2582" max="2583" width="26.453125" style="19" bestFit="1" customWidth="1"/>
    <col min="2584" max="2816" width="8.7265625" style="19"/>
    <col min="2817" max="2817" width="27.54296875" style="19" customWidth="1"/>
    <col min="2818" max="2818" width="8.7265625" style="19"/>
    <col min="2819" max="2827" width="25.54296875" style="19" customWidth="1"/>
    <col min="2828" max="2828" width="9.1796875" style="19" customWidth="1"/>
    <col min="2829" max="2829" width="21.54296875" style="19" bestFit="1" customWidth="1"/>
    <col min="2830" max="2830" width="6.54296875" style="19" customWidth="1"/>
    <col min="2831" max="2832" width="26.453125" style="19" bestFit="1" customWidth="1"/>
    <col min="2833" max="2833" width="22.54296875" style="19" bestFit="1" customWidth="1"/>
    <col min="2834" max="2836" width="26.453125" style="19" bestFit="1" customWidth="1"/>
    <col min="2837" max="2837" width="22.54296875" style="19" bestFit="1" customWidth="1"/>
    <col min="2838" max="2839" width="26.453125" style="19" bestFit="1" customWidth="1"/>
    <col min="2840" max="3072" width="8.7265625" style="19"/>
    <col min="3073" max="3073" width="27.54296875" style="19" customWidth="1"/>
    <col min="3074" max="3074" width="8.7265625" style="19"/>
    <col min="3075" max="3083" width="25.54296875" style="19" customWidth="1"/>
    <col min="3084" max="3084" width="9.1796875" style="19" customWidth="1"/>
    <col min="3085" max="3085" width="21.54296875" style="19" bestFit="1" customWidth="1"/>
    <col min="3086" max="3086" width="6.54296875" style="19" customWidth="1"/>
    <col min="3087" max="3088" width="26.453125" style="19" bestFit="1" customWidth="1"/>
    <col min="3089" max="3089" width="22.54296875" style="19" bestFit="1" customWidth="1"/>
    <col min="3090" max="3092" width="26.453125" style="19" bestFit="1" customWidth="1"/>
    <col min="3093" max="3093" width="22.54296875" style="19" bestFit="1" customWidth="1"/>
    <col min="3094" max="3095" width="26.453125" style="19" bestFit="1" customWidth="1"/>
    <col min="3096" max="3328" width="8.7265625" style="19"/>
    <col min="3329" max="3329" width="27.54296875" style="19" customWidth="1"/>
    <col min="3330" max="3330" width="8.7265625" style="19"/>
    <col min="3331" max="3339" width="25.54296875" style="19" customWidth="1"/>
    <col min="3340" max="3340" width="9.1796875" style="19" customWidth="1"/>
    <col min="3341" max="3341" width="21.54296875" style="19" bestFit="1" customWidth="1"/>
    <col min="3342" max="3342" width="6.54296875" style="19" customWidth="1"/>
    <col min="3343" max="3344" width="26.453125" style="19" bestFit="1" customWidth="1"/>
    <col min="3345" max="3345" width="22.54296875" style="19" bestFit="1" customWidth="1"/>
    <col min="3346" max="3348" width="26.453125" style="19" bestFit="1" customWidth="1"/>
    <col min="3349" max="3349" width="22.54296875" style="19" bestFit="1" customWidth="1"/>
    <col min="3350" max="3351" width="26.453125" style="19" bestFit="1" customWidth="1"/>
    <col min="3352" max="3584" width="8.7265625" style="19"/>
    <col min="3585" max="3585" width="27.54296875" style="19" customWidth="1"/>
    <col min="3586" max="3586" width="8.7265625" style="19"/>
    <col min="3587" max="3595" width="25.54296875" style="19" customWidth="1"/>
    <col min="3596" max="3596" width="9.1796875" style="19" customWidth="1"/>
    <col min="3597" max="3597" width="21.54296875" style="19" bestFit="1" customWidth="1"/>
    <col min="3598" max="3598" width="6.54296875" style="19" customWidth="1"/>
    <col min="3599" max="3600" width="26.453125" style="19" bestFit="1" customWidth="1"/>
    <col min="3601" max="3601" width="22.54296875" style="19" bestFit="1" customWidth="1"/>
    <col min="3602" max="3604" width="26.453125" style="19" bestFit="1" customWidth="1"/>
    <col min="3605" max="3605" width="22.54296875" style="19" bestFit="1" customWidth="1"/>
    <col min="3606" max="3607" width="26.453125" style="19" bestFit="1" customWidth="1"/>
    <col min="3608" max="3840" width="8.7265625" style="19"/>
    <col min="3841" max="3841" width="27.54296875" style="19" customWidth="1"/>
    <col min="3842" max="3842" width="8.7265625" style="19"/>
    <col min="3843" max="3851" width="25.54296875" style="19" customWidth="1"/>
    <col min="3852" max="3852" width="9.1796875" style="19" customWidth="1"/>
    <col min="3853" max="3853" width="21.54296875" style="19" bestFit="1" customWidth="1"/>
    <col min="3854" max="3854" width="6.54296875" style="19" customWidth="1"/>
    <col min="3855" max="3856" width="26.453125" style="19" bestFit="1" customWidth="1"/>
    <col min="3857" max="3857" width="22.54296875" style="19" bestFit="1" customWidth="1"/>
    <col min="3858" max="3860" width="26.453125" style="19" bestFit="1" customWidth="1"/>
    <col min="3861" max="3861" width="22.54296875" style="19" bestFit="1" customWidth="1"/>
    <col min="3862" max="3863" width="26.453125" style="19" bestFit="1" customWidth="1"/>
    <col min="3864" max="4096" width="8.7265625" style="19"/>
    <col min="4097" max="4097" width="27.54296875" style="19" customWidth="1"/>
    <col min="4098" max="4098" width="8.7265625" style="19"/>
    <col min="4099" max="4107" width="25.54296875" style="19" customWidth="1"/>
    <col min="4108" max="4108" width="9.1796875" style="19" customWidth="1"/>
    <col min="4109" max="4109" width="21.54296875" style="19" bestFit="1" customWidth="1"/>
    <col min="4110" max="4110" width="6.54296875" style="19" customWidth="1"/>
    <col min="4111" max="4112" width="26.453125" style="19" bestFit="1" customWidth="1"/>
    <col min="4113" max="4113" width="22.54296875" style="19" bestFit="1" customWidth="1"/>
    <col min="4114" max="4116" width="26.453125" style="19" bestFit="1" customWidth="1"/>
    <col min="4117" max="4117" width="22.54296875" style="19" bestFit="1" customWidth="1"/>
    <col min="4118" max="4119" width="26.453125" style="19" bestFit="1" customWidth="1"/>
    <col min="4120" max="4352" width="8.7265625" style="19"/>
    <col min="4353" max="4353" width="27.54296875" style="19" customWidth="1"/>
    <col min="4354" max="4354" width="8.7265625" style="19"/>
    <col min="4355" max="4363" width="25.54296875" style="19" customWidth="1"/>
    <col min="4364" max="4364" width="9.1796875" style="19" customWidth="1"/>
    <col min="4365" max="4365" width="21.54296875" style="19" bestFit="1" customWidth="1"/>
    <col min="4366" max="4366" width="6.54296875" style="19" customWidth="1"/>
    <col min="4367" max="4368" width="26.453125" style="19" bestFit="1" customWidth="1"/>
    <col min="4369" max="4369" width="22.54296875" style="19" bestFit="1" customWidth="1"/>
    <col min="4370" max="4372" width="26.453125" style="19" bestFit="1" customWidth="1"/>
    <col min="4373" max="4373" width="22.54296875" style="19" bestFit="1" customWidth="1"/>
    <col min="4374" max="4375" width="26.453125" style="19" bestFit="1" customWidth="1"/>
    <col min="4376" max="4608" width="8.7265625" style="19"/>
    <col min="4609" max="4609" width="27.54296875" style="19" customWidth="1"/>
    <col min="4610" max="4610" width="8.7265625" style="19"/>
    <col min="4611" max="4619" width="25.54296875" style="19" customWidth="1"/>
    <col min="4620" max="4620" width="9.1796875" style="19" customWidth="1"/>
    <col min="4621" max="4621" width="21.54296875" style="19" bestFit="1" customWidth="1"/>
    <col min="4622" max="4622" width="6.54296875" style="19" customWidth="1"/>
    <col min="4623" max="4624" width="26.453125" style="19" bestFit="1" customWidth="1"/>
    <col min="4625" max="4625" width="22.54296875" style="19" bestFit="1" customWidth="1"/>
    <col min="4626" max="4628" width="26.453125" style="19" bestFit="1" customWidth="1"/>
    <col min="4629" max="4629" width="22.54296875" style="19" bestFit="1" customWidth="1"/>
    <col min="4630" max="4631" width="26.453125" style="19" bestFit="1" customWidth="1"/>
    <col min="4632" max="4864" width="8.7265625" style="19"/>
    <col min="4865" max="4865" width="27.54296875" style="19" customWidth="1"/>
    <col min="4866" max="4866" width="8.7265625" style="19"/>
    <col min="4867" max="4875" width="25.54296875" style="19" customWidth="1"/>
    <col min="4876" max="4876" width="9.1796875" style="19" customWidth="1"/>
    <col min="4877" max="4877" width="21.54296875" style="19" bestFit="1" customWidth="1"/>
    <col min="4878" max="4878" width="6.54296875" style="19" customWidth="1"/>
    <col min="4879" max="4880" width="26.453125" style="19" bestFit="1" customWidth="1"/>
    <col min="4881" max="4881" width="22.54296875" style="19" bestFit="1" customWidth="1"/>
    <col min="4882" max="4884" width="26.453125" style="19" bestFit="1" customWidth="1"/>
    <col min="4885" max="4885" width="22.54296875" style="19" bestFit="1" customWidth="1"/>
    <col min="4886" max="4887" width="26.453125" style="19" bestFit="1" customWidth="1"/>
    <col min="4888" max="5120" width="8.7265625" style="19"/>
    <col min="5121" max="5121" width="27.54296875" style="19" customWidth="1"/>
    <col min="5122" max="5122" width="8.7265625" style="19"/>
    <col min="5123" max="5131" width="25.54296875" style="19" customWidth="1"/>
    <col min="5132" max="5132" width="9.1796875" style="19" customWidth="1"/>
    <col min="5133" max="5133" width="21.54296875" style="19" bestFit="1" customWidth="1"/>
    <col min="5134" max="5134" width="6.54296875" style="19" customWidth="1"/>
    <col min="5135" max="5136" width="26.453125" style="19" bestFit="1" customWidth="1"/>
    <col min="5137" max="5137" width="22.54296875" style="19" bestFit="1" customWidth="1"/>
    <col min="5138" max="5140" width="26.453125" style="19" bestFit="1" customWidth="1"/>
    <col min="5141" max="5141" width="22.54296875" style="19" bestFit="1" customWidth="1"/>
    <col min="5142" max="5143" width="26.453125" style="19" bestFit="1" customWidth="1"/>
    <col min="5144" max="5376" width="8.7265625" style="19"/>
    <col min="5377" max="5377" width="27.54296875" style="19" customWidth="1"/>
    <col min="5378" max="5378" width="8.7265625" style="19"/>
    <col min="5379" max="5387" width="25.54296875" style="19" customWidth="1"/>
    <col min="5388" max="5388" width="9.1796875" style="19" customWidth="1"/>
    <col min="5389" max="5389" width="21.54296875" style="19" bestFit="1" customWidth="1"/>
    <col min="5390" max="5390" width="6.54296875" style="19" customWidth="1"/>
    <col min="5391" max="5392" width="26.453125" style="19" bestFit="1" customWidth="1"/>
    <col min="5393" max="5393" width="22.54296875" style="19" bestFit="1" customWidth="1"/>
    <col min="5394" max="5396" width="26.453125" style="19" bestFit="1" customWidth="1"/>
    <col min="5397" max="5397" width="22.54296875" style="19" bestFit="1" customWidth="1"/>
    <col min="5398" max="5399" width="26.453125" style="19" bestFit="1" customWidth="1"/>
    <col min="5400" max="5632" width="8.7265625" style="19"/>
    <col min="5633" max="5633" width="27.54296875" style="19" customWidth="1"/>
    <col min="5634" max="5634" width="8.7265625" style="19"/>
    <col min="5635" max="5643" width="25.54296875" style="19" customWidth="1"/>
    <col min="5644" max="5644" width="9.1796875" style="19" customWidth="1"/>
    <col min="5645" max="5645" width="21.54296875" style="19" bestFit="1" customWidth="1"/>
    <col min="5646" max="5646" width="6.54296875" style="19" customWidth="1"/>
    <col min="5647" max="5648" width="26.453125" style="19" bestFit="1" customWidth="1"/>
    <col min="5649" max="5649" width="22.54296875" style="19" bestFit="1" customWidth="1"/>
    <col min="5650" max="5652" width="26.453125" style="19" bestFit="1" customWidth="1"/>
    <col min="5653" max="5653" width="22.54296875" style="19" bestFit="1" customWidth="1"/>
    <col min="5654" max="5655" width="26.453125" style="19" bestFit="1" customWidth="1"/>
    <col min="5656" max="5888" width="8.7265625" style="19"/>
    <col min="5889" max="5889" width="27.54296875" style="19" customWidth="1"/>
    <col min="5890" max="5890" width="8.7265625" style="19"/>
    <col min="5891" max="5899" width="25.54296875" style="19" customWidth="1"/>
    <col min="5900" max="5900" width="9.1796875" style="19" customWidth="1"/>
    <col min="5901" max="5901" width="21.54296875" style="19" bestFit="1" customWidth="1"/>
    <col min="5902" max="5902" width="6.54296875" style="19" customWidth="1"/>
    <col min="5903" max="5904" width="26.453125" style="19" bestFit="1" customWidth="1"/>
    <col min="5905" max="5905" width="22.54296875" style="19" bestFit="1" customWidth="1"/>
    <col min="5906" max="5908" width="26.453125" style="19" bestFit="1" customWidth="1"/>
    <col min="5909" max="5909" width="22.54296875" style="19" bestFit="1" customWidth="1"/>
    <col min="5910" max="5911" width="26.453125" style="19" bestFit="1" customWidth="1"/>
    <col min="5912" max="6144" width="8.7265625" style="19"/>
    <col min="6145" max="6145" width="27.54296875" style="19" customWidth="1"/>
    <col min="6146" max="6146" width="8.7265625" style="19"/>
    <col min="6147" max="6155" width="25.54296875" style="19" customWidth="1"/>
    <col min="6156" max="6156" width="9.1796875" style="19" customWidth="1"/>
    <col min="6157" max="6157" width="21.54296875" style="19" bestFit="1" customWidth="1"/>
    <col min="6158" max="6158" width="6.54296875" style="19" customWidth="1"/>
    <col min="6159" max="6160" width="26.453125" style="19" bestFit="1" customWidth="1"/>
    <col min="6161" max="6161" width="22.54296875" style="19" bestFit="1" customWidth="1"/>
    <col min="6162" max="6164" width="26.453125" style="19" bestFit="1" customWidth="1"/>
    <col min="6165" max="6165" width="22.54296875" style="19" bestFit="1" customWidth="1"/>
    <col min="6166" max="6167" width="26.453125" style="19" bestFit="1" customWidth="1"/>
    <col min="6168" max="6400" width="8.7265625" style="19"/>
    <col min="6401" max="6401" width="27.54296875" style="19" customWidth="1"/>
    <col min="6402" max="6402" width="8.7265625" style="19"/>
    <col min="6403" max="6411" width="25.54296875" style="19" customWidth="1"/>
    <col min="6412" max="6412" width="9.1796875" style="19" customWidth="1"/>
    <col min="6413" max="6413" width="21.54296875" style="19" bestFit="1" customWidth="1"/>
    <col min="6414" max="6414" width="6.54296875" style="19" customWidth="1"/>
    <col min="6415" max="6416" width="26.453125" style="19" bestFit="1" customWidth="1"/>
    <col min="6417" max="6417" width="22.54296875" style="19" bestFit="1" customWidth="1"/>
    <col min="6418" max="6420" width="26.453125" style="19" bestFit="1" customWidth="1"/>
    <col min="6421" max="6421" width="22.54296875" style="19" bestFit="1" customWidth="1"/>
    <col min="6422" max="6423" width="26.453125" style="19" bestFit="1" customWidth="1"/>
    <col min="6424" max="6656" width="8.7265625" style="19"/>
    <col min="6657" max="6657" width="27.54296875" style="19" customWidth="1"/>
    <col min="6658" max="6658" width="8.7265625" style="19"/>
    <col min="6659" max="6667" width="25.54296875" style="19" customWidth="1"/>
    <col min="6668" max="6668" width="9.1796875" style="19" customWidth="1"/>
    <col min="6669" max="6669" width="21.54296875" style="19" bestFit="1" customWidth="1"/>
    <col min="6670" max="6670" width="6.54296875" style="19" customWidth="1"/>
    <col min="6671" max="6672" width="26.453125" style="19" bestFit="1" customWidth="1"/>
    <col min="6673" max="6673" width="22.54296875" style="19" bestFit="1" customWidth="1"/>
    <col min="6674" max="6676" width="26.453125" style="19" bestFit="1" customWidth="1"/>
    <col min="6677" max="6677" width="22.54296875" style="19" bestFit="1" customWidth="1"/>
    <col min="6678" max="6679" width="26.453125" style="19" bestFit="1" customWidth="1"/>
    <col min="6680" max="6912" width="8.7265625" style="19"/>
    <col min="6913" max="6913" width="27.54296875" style="19" customWidth="1"/>
    <col min="6914" max="6914" width="8.7265625" style="19"/>
    <col min="6915" max="6923" width="25.54296875" style="19" customWidth="1"/>
    <col min="6924" max="6924" width="9.1796875" style="19" customWidth="1"/>
    <col min="6925" max="6925" width="21.54296875" style="19" bestFit="1" customWidth="1"/>
    <col min="6926" max="6926" width="6.54296875" style="19" customWidth="1"/>
    <col min="6927" max="6928" width="26.453125" style="19" bestFit="1" customWidth="1"/>
    <col min="6929" max="6929" width="22.54296875" style="19" bestFit="1" customWidth="1"/>
    <col min="6930" max="6932" width="26.453125" style="19" bestFit="1" customWidth="1"/>
    <col min="6933" max="6933" width="22.54296875" style="19" bestFit="1" customWidth="1"/>
    <col min="6934" max="6935" width="26.453125" style="19" bestFit="1" customWidth="1"/>
    <col min="6936" max="7168" width="8.7265625" style="19"/>
    <col min="7169" max="7169" width="27.54296875" style="19" customWidth="1"/>
    <col min="7170" max="7170" width="8.7265625" style="19"/>
    <col min="7171" max="7179" width="25.54296875" style="19" customWidth="1"/>
    <col min="7180" max="7180" width="9.1796875" style="19" customWidth="1"/>
    <col min="7181" max="7181" width="21.54296875" style="19" bestFit="1" customWidth="1"/>
    <col min="7182" max="7182" width="6.54296875" style="19" customWidth="1"/>
    <col min="7183" max="7184" width="26.453125" style="19" bestFit="1" customWidth="1"/>
    <col min="7185" max="7185" width="22.54296875" style="19" bestFit="1" customWidth="1"/>
    <col min="7186" max="7188" width="26.453125" style="19" bestFit="1" customWidth="1"/>
    <col min="7189" max="7189" width="22.54296875" style="19" bestFit="1" customWidth="1"/>
    <col min="7190" max="7191" width="26.453125" style="19" bestFit="1" customWidth="1"/>
    <col min="7192" max="7424" width="8.7265625" style="19"/>
    <col min="7425" max="7425" width="27.54296875" style="19" customWidth="1"/>
    <col min="7426" max="7426" width="8.7265625" style="19"/>
    <col min="7427" max="7435" width="25.54296875" style="19" customWidth="1"/>
    <col min="7436" max="7436" width="9.1796875" style="19" customWidth="1"/>
    <col min="7437" max="7437" width="21.54296875" style="19" bestFit="1" customWidth="1"/>
    <col min="7438" max="7438" width="6.54296875" style="19" customWidth="1"/>
    <col min="7439" max="7440" width="26.453125" style="19" bestFit="1" customWidth="1"/>
    <col min="7441" max="7441" width="22.54296875" style="19" bestFit="1" customWidth="1"/>
    <col min="7442" max="7444" width="26.453125" style="19" bestFit="1" customWidth="1"/>
    <col min="7445" max="7445" width="22.54296875" style="19" bestFit="1" customWidth="1"/>
    <col min="7446" max="7447" width="26.453125" style="19" bestFit="1" customWidth="1"/>
    <col min="7448" max="7680" width="8.7265625" style="19"/>
    <col min="7681" max="7681" width="27.54296875" style="19" customWidth="1"/>
    <col min="7682" max="7682" width="8.7265625" style="19"/>
    <col min="7683" max="7691" width="25.54296875" style="19" customWidth="1"/>
    <col min="7692" max="7692" width="9.1796875" style="19" customWidth="1"/>
    <col min="7693" max="7693" width="21.54296875" style="19" bestFit="1" customWidth="1"/>
    <col min="7694" max="7694" width="6.54296875" style="19" customWidth="1"/>
    <col min="7695" max="7696" width="26.453125" style="19" bestFit="1" customWidth="1"/>
    <col min="7697" max="7697" width="22.54296875" style="19" bestFit="1" customWidth="1"/>
    <col min="7698" max="7700" width="26.453125" style="19" bestFit="1" customWidth="1"/>
    <col min="7701" max="7701" width="22.54296875" style="19" bestFit="1" customWidth="1"/>
    <col min="7702" max="7703" width="26.453125" style="19" bestFit="1" customWidth="1"/>
    <col min="7704" max="7936" width="8.7265625" style="19"/>
    <col min="7937" max="7937" width="27.54296875" style="19" customWidth="1"/>
    <col min="7938" max="7938" width="8.7265625" style="19"/>
    <col min="7939" max="7947" width="25.54296875" style="19" customWidth="1"/>
    <col min="7948" max="7948" width="9.1796875" style="19" customWidth="1"/>
    <col min="7949" max="7949" width="21.54296875" style="19" bestFit="1" customWidth="1"/>
    <col min="7950" max="7950" width="6.54296875" style="19" customWidth="1"/>
    <col min="7951" max="7952" width="26.453125" style="19" bestFit="1" customWidth="1"/>
    <col min="7953" max="7953" width="22.54296875" style="19" bestFit="1" customWidth="1"/>
    <col min="7954" max="7956" width="26.453125" style="19" bestFit="1" customWidth="1"/>
    <col min="7957" max="7957" width="22.54296875" style="19" bestFit="1" customWidth="1"/>
    <col min="7958" max="7959" width="26.453125" style="19" bestFit="1" customWidth="1"/>
    <col min="7960" max="8192" width="8.7265625" style="19"/>
    <col min="8193" max="8193" width="27.54296875" style="19" customWidth="1"/>
    <col min="8194" max="8194" width="8.7265625" style="19"/>
    <col min="8195" max="8203" width="25.54296875" style="19" customWidth="1"/>
    <col min="8204" max="8204" width="9.1796875" style="19" customWidth="1"/>
    <col min="8205" max="8205" width="21.54296875" style="19" bestFit="1" customWidth="1"/>
    <col min="8206" max="8206" width="6.54296875" style="19" customWidth="1"/>
    <col min="8207" max="8208" width="26.453125" style="19" bestFit="1" customWidth="1"/>
    <col min="8209" max="8209" width="22.54296875" style="19" bestFit="1" customWidth="1"/>
    <col min="8210" max="8212" width="26.453125" style="19" bestFit="1" customWidth="1"/>
    <col min="8213" max="8213" width="22.54296875" style="19" bestFit="1" customWidth="1"/>
    <col min="8214" max="8215" width="26.453125" style="19" bestFit="1" customWidth="1"/>
    <col min="8216" max="8448" width="8.7265625" style="19"/>
    <col min="8449" max="8449" width="27.54296875" style="19" customWidth="1"/>
    <col min="8450" max="8450" width="8.7265625" style="19"/>
    <col min="8451" max="8459" width="25.54296875" style="19" customWidth="1"/>
    <col min="8460" max="8460" width="9.1796875" style="19" customWidth="1"/>
    <col min="8461" max="8461" width="21.54296875" style="19" bestFit="1" customWidth="1"/>
    <col min="8462" max="8462" width="6.54296875" style="19" customWidth="1"/>
    <col min="8463" max="8464" width="26.453125" style="19" bestFit="1" customWidth="1"/>
    <col min="8465" max="8465" width="22.54296875" style="19" bestFit="1" customWidth="1"/>
    <col min="8466" max="8468" width="26.453125" style="19" bestFit="1" customWidth="1"/>
    <col min="8469" max="8469" width="22.54296875" style="19" bestFit="1" customWidth="1"/>
    <col min="8470" max="8471" width="26.453125" style="19" bestFit="1" customWidth="1"/>
    <col min="8472" max="8704" width="8.7265625" style="19"/>
    <col min="8705" max="8705" width="27.54296875" style="19" customWidth="1"/>
    <col min="8706" max="8706" width="8.7265625" style="19"/>
    <col min="8707" max="8715" width="25.54296875" style="19" customWidth="1"/>
    <col min="8716" max="8716" width="9.1796875" style="19" customWidth="1"/>
    <col min="8717" max="8717" width="21.54296875" style="19" bestFit="1" customWidth="1"/>
    <col min="8718" max="8718" width="6.54296875" style="19" customWidth="1"/>
    <col min="8719" max="8720" width="26.453125" style="19" bestFit="1" customWidth="1"/>
    <col min="8721" max="8721" width="22.54296875" style="19" bestFit="1" customWidth="1"/>
    <col min="8722" max="8724" width="26.453125" style="19" bestFit="1" customWidth="1"/>
    <col min="8725" max="8725" width="22.54296875" style="19" bestFit="1" customWidth="1"/>
    <col min="8726" max="8727" width="26.453125" style="19" bestFit="1" customWidth="1"/>
    <col min="8728" max="8960" width="8.7265625" style="19"/>
    <col min="8961" max="8961" width="27.54296875" style="19" customWidth="1"/>
    <col min="8962" max="8962" width="8.7265625" style="19"/>
    <col min="8963" max="8971" width="25.54296875" style="19" customWidth="1"/>
    <col min="8972" max="8972" width="9.1796875" style="19" customWidth="1"/>
    <col min="8973" max="8973" width="21.54296875" style="19" bestFit="1" customWidth="1"/>
    <col min="8974" max="8974" width="6.54296875" style="19" customWidth="1"/>
    <col min="8975" max="8976" width="26.453125" style="19" bestFit="1" customWidth="1"/>
    <col min="8977" max="8977" width="22.54296875" style="19" bestFit="1" customWidth="1"/>
    <col min="8978" max="8980" width="26.453125" style="19" bestFit="1" customWidth="1"/>
    <col min="8981" max="8981" width="22.54296875" style="19" bestFit="1" customWidth="1"/>
    <col min="8982" max="8983" width="26.453125" style="19" bestFit="1" customWidth="1"/>
    <col min="8984" max="9216" width="8.7265625" style="19"/>
    <col min="9217" max="9217" width="27.54296875" style="19" customWidth="1"/>
    <col min="9218" max="9218" width="8.7265625" style="19"/>
    <col min="9219" max="9227" width="25.54296875" style="19" customWidth="1"/>
    <col min="9228" max="9228" width="9.1796875" style="19" customWidth="1"/>
    <col min="9229" max="9229" width="21.54296875" style="19" bestFit="1" customWidth="1"/>
    <col min="9230" max="9230" width="6.54296875" style="19" customWidth="1"/>
    <col min="9231" max="9232" width="26.453125" style="19" bestFit="1" customWidth="1"/>
    <col min="9233" max="9233" width="22.54296875" style="19" bestFit="1" customWidth="1"/>
    <col min="9234" max="9236" width="26.453125" style="19" bestFit="1" customWidth="1"/>
    <col min="9237" max="9237" width="22.54296875" style="19" bestFit="1" customWidth="1"/>
    <col min="9238" max="9239" width="26.453125" style="19" bestFit="1" customWidth="1"/>
    <col min="9240" max="9472" width="8.7265625" style="19"/>
    <col min="9473" max="9473" width="27.54296875" style="19" customWidth="1"/>
    <col min="9474" max="9474" width="8.7265625" style="19"/>
    <col min="9475" max="9483" width="25.54296875" style="19" customWidth="1"/>
    <col min="9484" max="9484" width="9.1796875" style="19" customWidth="1"/>
    <col min="9485" max="9485" width="21.54296875" style="19" bestFit="1" customWidth="1"/>
    <col min="9486" max="9486" width="6.54296875" style="19" customWidth="1"/>
    <col min="9487" max="9488" width="26.453125" style="19" bestFit="1" customWidth="1"/>
    <col min="9489" max="9489" width="22.54296875" style="19" bestFit="1" customWidth="1"/>
    <col min="9490" max="9492" width="26.453125" style="19" bestFit="1" customWidth="1"/>
    <col min="9493" max="9493" width="22.54296875" style="19" bestFit="1" customWidth="1"/>
    <col min="9494" max="9495" width="26.453125" style="19" bestFit="1" customWidth="1"/>
    <col min="9496" max="9728" width="8.7265625" style="19"/>
    <col min="9729" max="9729" width="27.54296875" style="19" customWidth="1"/>
    <col min="9730" max="9730" width="8.7265625" style="19"/>
    <col min="9731" max="9739" width="25.54296875" style="19" customWidth="1"/>
    <col min="9740" max="9740" width="9.1796875" style="19" customWidth="1"/>
    <col min="9741" max="9741" width="21.54296875" style="19" bestFit="1" customWidth="1"/>
    <col min="9742" max="9742" width="6.54296875" style="19" customWidth="1"/>
    <col min="9743" max="9744" width="26.453125" style="19" bestFit="1" customWidth="1"/>
    <col min="9745" max="9745" width="22.54296875" style="19" bestFit="1" customWidth="1"/>
    <col min="9746" max="9748" width="26.453125" style="19" bestFit="1" customWidth="1"/>
    <col min="9749" max="9749" width="22.54296875" style="19" bestFit="1" customWidth="1"/>
    <col min="9750" max="9751" width="26.453125" style="19" bestFit="1" customWidth="1"/>
    <col min="9752" max="9984" width="8.7265625" style="19"/>
    <col min="9985" max="9985" width="27.54296875" style="19" customWidth="1"/>
    <col min="9986" max="9986" width="8.7265625" style="19"/>
    <col min="9987" max="9995" width="25.54296875" style="19" customWidth="1"/>
    <col min="9996" max="9996" width="9.1796875" style="19" customWidth="1"/>
    <col min="9997" max="9997" width="21.54296875" style="19" bestFit="1" customWidth="1"/>
    <col min="9998" max="9998" width="6.54296875" style="19" customWidth="1"/>
    <col min="9999" max="10000" width="26.453125" style="19" bestFit="1" customWidth="1"/>
    <col min="10001" max="10001" width="22.54296875" style="19" bestFit="1" customWidth="1"/>
    <col min="10002" max="10004" width="26.453125" style="19" bestFit="1" customWidth="1"/>
    <col min="10005" max="10005" width="22.54296875" style="19" bestFit="1" customWidth="1"/>
    <col min="10006" max="10007" width="26.453125" style="19" bestFit="1" customWidth="1"/>
    <col min="10008" max="10240" width="8.7265625" style="19"/>
    <col min="10241" max="10241" width="27.54296875" style="19" customWidth="1"/>
    <col min="10242" max="10242" width="8.7265625" style="19"/>
    <col min="10243" max="10251" width="25.54296875" style="19" customWidth="1"/>
    <col min="10252" max="10252" width="9.1796875" style="19" customWidth="1"/>
    <col min="10253" max="10253" width="21.54296875" style="19" bestFit="1" customWidth="1"/>
    <col min="10254" max="10254" width="6.54296875" style="19" customWidth="1"/>
    <col min="10255" max="10256" width="26.453125" style="19" bestFit="1" customWidth="1"/>
    <col min="10257" max="10257" width="22.54296875" style="19" bestFit="1" customWidth="1"/>
    <col min="10258" max="10260" width="26.453125" style="19" bestFit="1" customWidth="1"/>
    <col min="10261" max="10261" width="22.54296875" style="19" bestFit="1" customWidth="1"/>
    <col min="10262" max="10263" width="26.453125" style="19" bestFit="1" customWidth="1"/>
    <col min="10264" max="10496" width="8.7265625" style="19"/>
    <col min="10497" max="10497" width="27.54296875" style="19" customWidth="1"/>
    <col min="10498" max="10498" width="8.7265625" style="19"/>
    <col min="10499" max="10507" width="25.54296875" style="19" customWidth="1"/>
    <col min="10508" max="10508" width="9.1796875" style="19" customWidth="1"/>
    <col min="10509" max="10509" width="21.54296875" style="19" bestFit="1" customWidth="1"/>
    <col min="10510" max="10510" width="6.54296875" style="19" customWidth="1"/>
    <col min="10511" max="10512" width="26.453125" style="19" bestFit="1" customWidth="1"/>
    <col min="10513" max="10513" width="22.54296875" style="19" bestFit="1" customWidth="1"/>
    <col min="10514" max="10516" width="26.453125" style="19" bestFit="1" customWidth="1"/>
    <col min="10517" max="10517" width="22.54296875" style="19" bestFit="1" customWidth="1"/>
    <col min="10518" max="10519" width="26.453125" style="19" bestFit="1" customWidth="1"/>
    <col min="10520" max="10752" width="8.7265625" style="19"/>
    <col min="10753" max="10753" width="27.54296875" style="19" customWidth="1"/>
    <col min="10754" max="10754" width="8.7265625" style="19"/>
    <col min="10755" max="10763" width="25.54296875" style="19" customWidth="1"/>
    <col min="10764" max="10764" width="9.1796875" style="19" customWidth="1"/>
    <col min="10765" max="10765" width="21.54296875" style="19" bestFit="1" customWidth="1"/>
    <col min="10766" max="10766" width="6.54296875" style="19" customWidth="1"/>
    <col min="10767" max="10768" width="26.453125" style="19" bestFit="1" customWidth="1"/>
    <col min="10769" max="10769" width="22.54296875" style="19" bestFit="1" customWidth="1"/>
    <col min="10770" max="10772" width="26.453125" style="19" bestFit="1" customWidth="1"/>
    <col min="10773" max="10773" width="22.54296875" style="19" bestFit="1" customWidth="1"/>
    <col min="10774" max="10775" width="26.453125" style="19" bestFit="1" customWidth="1"/>
    <col min="10776" max="11008" width="8.7265625" style="19"/>
    <col min="11009" max="11009" width="27.54296875" style="19" customWidth="1"/>
    <col min="11010" max="11010" width="8.7265625" style="19"/>
    <col min="11011" max="11019" width="25.54296875" style="19" customWidth="1"/>
    <col min="11020" max="11020" width="9.1796875" style="19" customWidth="1"/>
    <col min="11021" max="11021" width="21.54296875" style="19" bestFit="1" customWidth="1"/>
    <col min="11022" max="11022" width="6.54296875" style="19" customWidth="1"/>
    <col min="11023" max="11024" width="26.453125" style="19" bestFit="1" customWidth="1"/>
    <col min="11025" max="11025" width="22.54296875" style="19" bestFit="1" customWidth="1"/>
    <col min="11026" max="11028" width="26.453125" style="19" bestFit="1" customWidth="1"/>
    <col min="11029" max="11029" width="22.54296875" style="19" bestFit="1" customWidth="1"/>
    <col min="11030" max="11031" width="26.453125" style="19" bestFit="1" customWidth="1"/>
    <col min="11032" max="11264" width="8.7265625" style="19"/>
    <col min="11265" max="11265" width="27.54296875" style="19" customWidth="1"/>
    <col min="11266" max="11266" width="8.7265625" style="19"/>
    <col min="11267" max="11275" width="25.54296875" style="19" customWidth="1"/>
    <col min="11276" max="11276" width="9.1796875" style="19" customWidth="1"/>
    <col min="11277" max="11277" width="21.54296875" style="19" bestFit="1" customWidth="1"/>
    <col min="11278" max="11278" width="6.54296875" style="19" customWidth="1"/>
    <col min="11279" max="11280" width="26.453125" style="19" bestFit="1" customWidth="1"/>
    <col min="11281" max="11281" width="22.54296875" style="19" bestFit="1" customWidth="1"/>
    <col min="11282" max="11284" width="26.453125" style="19" bestFit="1" customWidth="1"/>
    <col min="11285" max="11285" width="22.54296875" style="19" bestFit="1" customWidth="1"/>
    <col min="11286" max="11287" width="26.453125" style="19" bestFit="1" customWidth="1"/>
    <col min="11288" max="11520" width="8.7265625" style="19"/>
    <col min="11521" max="11521" width="27.54296875" style="19" customWidth="1"/>
    <col min="11522" max="11522" width="8.7265625" style="19"/>
    <col min="11523" max="11531" width="25.54296875" style="19" customWidth="1"/>
    <col min="11532" max="11532" width="9.1796875" style="19" customWidth="1"/>
    <col min="11533" max="11533" width="21.54296875" style="19" bestFit="1" customWidth="1"/>
    <col min="11534" max="11534" width="6.54296875" style="19" customWidth="1"/>
    <col min="11535" max="11536" width="26.453125" style="19" bestFit="1" customWidth="1"/>
    <col min="11537" max="11537" width="22.54296875" style="19" bestFit="1" customWidth="1"/>
    <col min="11538" max="11540" width="26.453125" style="19" bestFit="1" customWidth="1"/>
    <col min="11541" max="11541" width="22.54296875" style="19" bestFit="1" customWidth="1"/>
    <col min="11542" max="11543" width="26.453125" style="19" bestFit="1" customWidth="1"/>
    <col min="11544" max="11776" width="8.7265625" style="19"/>
    <col min="11777" max="11777" width="27.54296875" style="19" customWidth="1"/>
    <col min="11778" max="11778" width="8.7265625" style="19"/>
    <col min="11779" max="11787" width="25.54296875" style="19" customWidth="1"/>
    <col min="11788" max="11788" width="9.1796875" style="19" customWidth="1"/>
    <col min="11789" max="11789" width="21.54296875" style="19" bestFit="1" customWidth="1"/>
    <col min="11790" max="11790" width="6.54296875" style="19" customWidth="1"/>
    <col min="11791" max="11792" width="26.453125" style="19" bestFit="1" customWidth="1"/>
    <col min="11793" max="11793" width="22.54296875" style="19" bestFit="1" customWidth="1"/>
    <col min="11794" max="11796" width="26.453125" style="19" bestFit="1" customWidth="1"/>
    <col min="11797" max="11797" width="22.54296875" style="19" bestFit="1" customWidth="1"/>
    <col min="11798" max="11799" width="26.453125" style="19" bestFit="1" customWidth="1"/>
    <col min="11800" max="12032" width="8.7265625" style="19"/>
    <col min="12033" max="12033" width="27.54296875" style="19" customWidth="1"/>
    <col min="12034" max="12034" width="8.7265625" style="19"/>
    <col min="12035" max="12043" width="25.54296875" style="19" customWidth="1"/>
    <col min="12044" max="12044" width="9.1796875" style="19" customWidth="1"/>
    <col min="12045" max="12045" width="21.54296875" style="19" bestFit="1" customWidth="1"/>
    <col min="12046" max="12046" width="6.54296875" style="19" customWidth="1"/>
    <col min="12047" max="12048" width="26.453125" style="19" bestFit="1" customWidth="1"/>
    <col min="12049" max="12049" width="22.54296875" style="19" bestFit="1" customWidth="1"/>
    <col min="12050" max="12052" width="26.453125" style="19" bestFit="1" customWidth="1"/>
    <col min="12053" max="12053" width="22.54296875" style="19" bestFit="1" customWidth="1"/>
    <col min="12054" max="12055" width="26.453125" style="19" bestFit="1" customWidth="1"/>
    <col min="12056" max="12288" width="8.7265625" style="19"/>
    <col min="12289" max="12289" width="27.54296875" style="19" customWidth="1"/>
    <col min="12290" max="12290" width="8.7265625" style="19"/>
    <col min="12291" max="12299" width="25.54296875" style="19" customWidth="1"/>
    <col min="12300" max="12300" width="9.1796875" style="19" customWidth="1"/>
    <col min="12301" max="12301" width="21.54296875" style="19" bestFit="1" customWidth="1"/>
    <col min="12302" max="12302" width="6.54296875" style="19" customWidth="1"/>
    <col min="12303" max="12304" width="26.453125" style="19" bestFit="1" customWidth="1"/>
    <col min="12305" max="12305" width="22.54296875" style="19" bestFit="1" customWidth="1"/>
    <col min="12306" max="12308" width="26.453125" style="19" bestFit="1" customWidth="1"/>
    <col min="12309" max="12309" width="22.54296875" style="19" bestFit="1" customWidth="1"/>
    <col min="12310" max="12311" width="26.453125" style="19" bestFit="1" customWidth="1"/>
    <col min="12312" max="12544" width="8.7265625" style="19"/>
    <col min="12545" max="12545" width="27.54296875" style="19" customWidth="1"/>
    <col min="12546" max="12546" width="8.7265625" style="19"/>
    <col min="12547" max="12555" width="25.54296875" style="19" customWidth="1"/>
    <col min="12556" max="12556" width="9.1796875" style="19" customWidth="1"/>
    <col min="12557" max="12557" width="21.54296875" style="19" bestFit="1" customWidth="1"/>
    <col min="12558" max="12558" width="6.54296875" style="19" customWidth="1"/>
    <col min="12559" max="12560" width="26.453125" style="19" bestFit="1" customWidth="1"/>
    <col min="12561" max="12561" width="22.54296875" style="19" bestFit="1" customWidth="1"/>
    <col min="12562" max="12564" width="26.453125" style="19" bestFit="1" customWidth="1"/>
    <col min="12565" max="12565" width="22.54296875" style="19" bestFit="1" customWidth="1"/>
    <col min="12566" max="12567" width="26.453125" style="19" bestFit="1" customWidth="1"/>
    <col min="12568" max="12800" width="8.7265625" style="19"/>
    <col min="12801" max="12801" width="27.54296875" style="19" customWidth="1"/>
    <col min="12802" max="12802" width="8.7265625" style="19"/>
    <col min="12803" max="12811" width="25.54296875" style="19" customWidth="1"/>
    <col min="12812" max="12812" width="9.1796875" style="19" customWidth="1"/>
    <col min="12813" max="12813" width="21.54296875" style="19" bestFit="1" customWidth="1"/>
    <col min="12814" max="12814" width="6.54296875" style="19" customWidth="1"/>
    <col min="12815" max="12816" width="26.453125" style="19" bestFit="1" customWidth="1"/>
    <col min="12817" max="12817" width="22.54296875" style="19" bestFit="1" customWidth="1"/>
    <col min="12818" max="12820" width="26.453125" style="19" bestFit="1" customWidth="1"/>
    <col min="12821" max="12821" width="22.54296875" style="19" bestFit="1" customWidth="1"/>
    <col min="12822" max="12823" width="26.453125" style="19" bestFit="1" customWidth="1"/>
    <col min="12824" max="13056" width="8.7265625" style="19"/>
    <col min="13057" max="13057" width="27.54296875" style="19" customWidth="1"/>
    <col min="13058" max="13058" width="8.7265625" style="19"/>
    <col min="13059" max="13067" width="25.54296875" style="19" customWidth="1"/>
    <col min="13068" max="13068" width="9.1796875" style="19" customWidth="1"/>
    <col min="13069" max="13069" width="21.54296875" style="19" bestFit="1" customWidth="1"/>
    <col min="13070" max="13070" width="6.54296875" style="19" customWidth="1"/>
    <col min="13071" max="13072" width="26.453125" style="19" bestFit="1" customWidth="1"/>
    <col min="13073" max="13073" width="22.54296875" style="19" bestFit="1" customWidth="1"/>
    <col min="13074" max="13076" width="26.453125" style="19" bestFit="1" customWidth="1"/>
    <col min="13077" max="13077" width="22.54296875" style="19" bestFit="1" customWidth="1"/>
    <col min="13078" max="13079" width="26.453125" style="19" bestFit="1" customWidth="1"/>
    <col min="13080" max="13312" width="8.7265625" style="19"/>
    <col min="13313" max="13313" width="27.54296875" style="19" customWidth="1"/>
    <col min="13314" max="13314" width="8.7265625" style="19"/>
    <col min="13315" max="13323" width="25.54296875" style="19" customWidth="1"/>
    <col min="13324" max="13324" width="9.1796875" style="19" customWidth="1"/>
    <col min="13325" max="13325" width="21.54296875" style="19" bestFit="1" customWidth="1"/>
    <col min="13326" max="13326" width="6.54296875" style="19" customWidth="1"/>
    <col min="13327" max="13328" width="26.453125" style="19" bestFit="1" customWidth="1"/>
    <col min="13329" max="13329" width="22.54296875" style="19" bestFit="1" customWidth="1"/>
    <col min="13330" max="13332" width="26.453125" style="19" bestFit="1" customWidth="1"/>
    <col min="13333" max="13333" width="22.54296875" style="19" bestFit="1" customWidth="1"/>
    <col min="13334" max="13335" width="26.453125" style="19" bestFit="1" customWidth="1"/>
    <col min="13336" max="13568" width="8.7265625" style="19"/>
    <col min="13569" max="13569" width="27.54296875" style="19" customWidth="1"/>
    <col min="13570" max="13570" width="8.7265625" style="19"/>
    <col min="13571" max="13579" width="25.54296875" style="19" customWidth="1"/>
    <col min="13580" max="13580" width="9.1796875" style="19" customWidth="1"/>
    <col min="13581" max="13581" width="21.54296875" style="19" bestFit="1" customWidth="1"/>
    <col min="13582" max="13582" width="6.54296875" style="19" customWidth="1"/>
    <col min="13583" max="13584" width="26.453125" style="19" bestFit="1" customWidth="1"/>
    <col min="13585" max="13585" width="22.54296875" style="19" bestFit="1" customWidth="1"/>
    <col min="13586" max="13588" width="26.453125" style="19" bestFit="1" customWidth="1"/>
    <col min="13589" max="13589" width="22.54296875" style="19" bestFit="1" customWidth="1"/>
    <col min="13590" max="13591" width="26.453125" style="19" bestFit="1" customWidth="1"/>
    <col min="13592" max="13824" width="8.7265625" style="19"/>
    <col min="13825" max="13825" width="27.54296875" style="19" customWidth="1"/>
    <col min="13826" max="13826" width="8.7265625" style="19"/>
    <col min="13827" max="13835" width="25.54296875" style="19" customWidth="1"/>
    <col min="13836" max="13836" width="9.1796875" style="19" customWidth="1"/>
    <col min="13837" max="13837" width="21.54296875" style="19" bestFit="1" customWidth="1"/>
    <col min="13838" max="13838" width="6.54296875" style="19" customWidth="1"/>
    <col min="13839" max="13840" width="26.453125" style="19" bestFit="1" customWidth="1"/>
    <col min="13841" max="13841" width="22.54296875" style="19" bestFit="1" customWidth="1"/>
    <col min="13842" max="13844" width="26.453125" style="19" bestFit="1" customWidth="1"/>
    <col min="13845" max="13845" width="22.54296875" style="19" bestFit="1" customWidth="1"/>
    <col min="13846" max="13847" width="26.453125" style="19" bestFit="1" customWidth="1"/>
    <col min="13848" max="14080" width="8.7265625" style="19"/>
    <col min="14081" max="14081" width="27.54296875" style="19" customWidth="1"/>
    <col min="14082" max="14082" width="8.7265625" style="19"/>
    <col min="14083" max="14091" width="25.54296875" style="19" customWidth="1"/>
    <col min="14092" max="14092" width="9.1796875" style="19" customWidth="1"/>
    <col min="14093" max="14093" width="21.54296875" style="19" bestFit="1" customWidth="1"/>
    <col min="14094" max="14094" width="6.54296875" style="19" customWidth="1"/>
    <col min="14095" max="14096" width="26.453125" style="19" bestFit="1" customWidth="1"/>
    <col min="14097" max="14097" width="22.54296875" style="19" bestFit="1" customWidth="1"/>
    <col min="14098" max="14100" width="26.453125" style="19" bestFit="1" customWidth="1"/>
    <col min="14101" max="14101" width="22.54296875" style="19" bestFit="1" customWidth="1"/>
    <col min="14102" max="14103" width="26.453125" style="19" bestFit="1" customWidth="1"/>
    <col min="14104" max="14336" width="8.7265625" style="19"/>
    <col min="14337" max="14337" width="27.54296875" style="19" customWidth="1"/>
    <col min="14338" max="14338" width="8.7265625" style="19"/>
    <col min="14339" max="14347" width="25.54296875" style="19" customWidth="1"/>
    <col min="14348" max="14348" width="9.1796875" style="19" customWidth="1"/>
    <col min="14349" max="14349" width="21.54296875" style="19" bestFit="1" customWidth="1"/>
    <col min="14350" max="14350" width="6.54296875" style="19" customWidth="1"/>
    <col min="14351" max="14352" width="26.453125" style="19" bestFit="1" customWidth="1"/>
    <col min="14353" max="14353" width="22.54296875" style="19" bestFit="1" customWidth="1"/>
    <col min="14354" max="14356" width="26.453125" style="19" bestFit="1" customWidth="1"/>
    <col min="14357" max="14357" width="22.54296875" style="19" bestFit="1" customWidth="1"/>
    <col min="14358" max="14359" width="26.453125" style="19" bestFit="1" customWidth="1"/>
    <col min="14360" max="14592" width="8.7265625" style="19"/>
    <col min="14593" max="14593" width="27.54296875" style="19" customWidth="1"/>
    <col min="14594" max="14594" width="8.7265625" style="19"/>
    <col min="14595" max="14603" width="25.54296875" style="19" customWidth="1"/>
    <col min="14604" max="14604" width="9.1796875" style="19" customWidth="1"/>
    <col min="14605" max="14605" width="21.54296875" style="19" bestFit="1" customWidth="1"/>
    <col min="14606" max="14606" width="6.54296875" style="19" customWidth="1"/>
    <col min="14607" max="14608" width="26.453125" style="19" bestFit="1" customWidth="1"/>
    <col min="14609" max="14609" width="22.54296875" style="19" bestFit="1" customWidth="1"/>
    <col min="14610" max="14612" width="26.453125" style="19" bestFit="1" customWidth="1"/>
    <col min="14613" max="14613" width="22.54296875" style="19" bestFit="1" customWidth="1"/>
    <col min="14614" max="14615" width="26.453125" style="19" bestFit="1" customWidth="1"/>
    <col min="14616" max="14848" width="8.7265625" style="19"/>
    <col min="14849" max="14849" width="27.54296875" style="19" customWidth="1"/>
    <col min="14850" max="14850" width="8.7265625" style="19"/>
    <col min="14851" max="14859" width="25.54296875" style="19" customWidth="1"/>
    <col min="14860" max="14860" width="9.1796875" style="19" customWidth="1"/>
    <col min="14861" max="14861" width="21.54296875" style="19" bestFit="1" customWidth="1"/>
    <col min="14862" max="14862" width="6.54296875" style="19" customWidth="1"/>
    <col min="14863" max="14864" width="26.453125" style="19" bestFit="1" customWidth="1"/>
    <col min="14865" max="14865" width="22.54296875" style="19" bestFit="1" customWidth="1"/>
    <col min="14866" max="14868" width="26.453125" style="19" bestFit="1" customWidth="1"/>
    <col min="14869" max="14869" width="22.54296875" style="19" bestFit="1" customWidth="1"/>
    <col min="14870" max="14871" width="26.453125" style="19" bestFit="1" customWidth="1"/>
    <col min="14872" max="15104" width="8.7265625" style="19"/>
    <col min="15105" max="15105" width="27.54296875" style="19" customWidth="1"/>
    <col min="15106" max="15106" width="8.7265625" style="19"/>
    <col min="15107" max="15115" width="25.54296875" style="19" customWidth="1"/>
    <col min="15116" max="15116" width="9.1796875" style="19" customWidth="1"/>
    <col min="15117" max="15117" width="21.54296875" style="19" bestFit="1" customWidth="1"/>
    <col min="15118" max="15118" width="6.54296875" style="19" customWidth="1"/>
    <col min="15119" max="15120" width="26.453125" style="19" bestFit="1" customWidth="1"/>
    <col min="15121" max="15121" width="22.54296875" style="19" bestFit="1" customWidth="1"/>
    <col min="15122" max="15124" width="26.453125" style="19" bestFit="1" customWidth="1"/>
    <col min="15125" max="15125" width="22.54296875" style="19" bestFit="1" customWidth="1"/>
    <col min="15126" max="15127" width="26.453125" style="19" bestFit="1" customWidth="1"/>
    <col min="15128" max="15360" width="8.7265625" style="19"/>
    <col min="15361" max="15361" width="27.54296875" style="19" customWidth="1"/>
    <col min="15362" max="15362" width="8.7265625" style="19"/>
    <col min="15363" max="15371" width="25.54296875" style="19" customWidth="1"/>
    <col min="15372" max="15372" width="9.1796875" style="19" customWidth="1"/>
    <col min="15373" max="15373" width="21.54296875" style="19" bestFit="1" customWidth="1"/>
    <col min="15374" max="15374" width="6.54296875" style="19" customWidth="1"/>
    <col min="15375" max="15376" width="26.453125" style="19" bestFit="1" customWidth="1"/>
    <col min="15377" max="15377" width="22.54296875" style="19" bestFit="1" customWidth="1"/>
    <col min="15378" max="15380" width="26.453125" style="19" bestFit="1" customWidth="1"/>
    <col min="15381" max="15381" width="22.54296875" style="19" bestFit="1" customWidth="1"/>
    <col min="15382" max="15383" width="26.453125" style="19" bestFit="1" customWidth="1"/>
    <col min="15384" max="15616" width="8.7265625" style="19"/>
    <col min="15617" max="15617" width="27.54296875" style="19" customWidth="1"/>
    <col min="15618" max="15618" width="8.7265625" style="19"/>
    <col min="15619" max="15627" width="25.54296875" style="19" customWidth="1"/>
    <col min="15628" max="15628" width="9.1796875" style="19" customWidth="1"/>
    <col min="15629" max="15629" width="21.54296875" style="19" bestFit="1" customWidth="1"/>
    <col min="15630" max="15630" width="6.54296875" style="19" customWidth="1"/>
    <col min="15631" max="15632" width="26.453125" style="19" bestFit="1" customWidth="1"/>
    <col min="15633" max="15633" width="22.54296875" style="19" bestFit="1" customWidth="1"/>
    <col min="15634" max="15636" width="26.453125" style="19" bestFit="1" customWidth="1"/>
    <col min="15637" max="15637" width="22.54296875" style="19" bestFit="1" customWidth="1"/>
    <col min="15638" max="15639" width="26.453125" style="19" bestFit="1" customWidth="1"/>
    <col min="15640" max="15872" width="8.7265625" style="19"/>
    <col min="15873" max="15873" width="27.54296875" style="19" customWidth="1"/>
    <col min="15874" max="15874" width="8.7265625" style="19"/>
    <col min="15875" max="15883" width="25.54296875" style="19" customWidth="1"/>
    <col min="15884" max="15884" width="9.1796875" style="19" customWidth="1"/>
    <col min="15885" max="15885" width="21.54296875" style="19" bestFit="1" customWidth="1"/>
    <col min="15886" max="15886" width="6.54296875" style="19" customWidth="1"/>
    <col min="15887" max="15888" width="26.453125" style="19" bestFit="1" customWidth="1"/>
    <col min="15889" max="15889" width="22.54296875" style="19" bestFit="1" customWidth="1"/>
    <col min="15890" max="15892" width="26.453125" style="19" bestFit="1" customWidth="1"/>
    <col min="15893" max="15893" width="22.54296875" style="19" bestFit="1" customWidth="1"/>
    <col min="15894" max="15895" width="26.453125" style="19" bestFit="1" customWidth="1"/>
    <col min="15896" max="16128" width="8.7265625" style="19"/>
    <col min="16129" max="16129" width="27.54296875" style="19" customWidth="1"/>
    <col min="16130" max="16130" width="8.7265625" style="19"/>
    <col min="16131" max="16139" width="25.54296875" style="19" customWidth="1"/>
    <col min="16140" max="16140" width="9.1796875" style="19" customWidth="1"/>
    <col min="16141" max="16141" width="21.54296875" style="19" bestFit="1" customWidth="1"/>
    <col min="16142" max="16142" width="6.54296875" style="19" customWidth="1"/>
    <col min="16143" max="16144" width="26.453125" style="19" bestFit="1" customWidth="1"/>
    <col min="16145" max="16145" width="22.54296875" style="19" bestFit="1" customWidth="1"/>
    <col min="16146" max="16148" width="26.453125" style="19" bestFit="1" customWidth="1"/>
    <col min="16149" max="16149" width="22.54296875" style="19" bestFit="1" customWidth="1"/>
    <col min="16150" max="16151" width="26.453125" style="19" bestFit="1" customWidth="1"/>
    <col min="16152" max="16384" width="8.7265625" style="19"/>
  </cols>
  <sheetData>
    <row r="1" spans="1:23" ht="18" x14ac:dyDescent="0.4">
      <c r="A1" s="15" t="s">
        <v>435</v>
      </c>
    </row>
    <row r="2" spans="1:23" ht="13" x14ac:dyDescent="0.3">
      <c r="C2" s="30">
        <v>113</v>
      </c>
      <c r="D2" s="30">
        <v>2024</v>
      </c>
      <c r="E2" s="30">
        <v>4</v>
      </c>
      <c r="O2" s="20">
        <f>C2+4</f>
        <v>117</v>
      </c>
      <c r="P2" s="20">
        <f>D2+1</f>
        <v>2025</v>
      </c>
      <c r="Q2" s="20">
        <f>E2</f>
        <v>4</v>
      </c>
    </row>
    <row r="4" spans="1:23" x14ac:dyDescent="0.25">
      <c r="C4" s="19" t="s">
        <v>56</v>
      </c>
      <c r="D4" s="19" t="s">
        <v>113</v>
      </c>
      <c r="E4" s="19" t="s">
        <v>114</v>
      </c>
      <c r="F4" s="19" t="s">
        <v>115</v>
      </c>
      <c r="G4" s="19" t="s">
        <v>116</v>
      </c>
      <c r="H4" s="19" t="s">
        <v>117</v>
      </c>
      <c r="I4" s="19" t="s">
        <v>118</v>
      </c>
      <c r="J4" s="19" t="s">
        <v>119</v>
      </c>
      <c r="K4" s="19" t="s">
        <v>60</v>
      </c>
      <c r="N4" s="19" t="s">
        <v>120</v>
      </c>
      <c r="O4" s="19" t="s">
        <v>56</v>
      </c>
      <c r="P4" s="19" t="s">
        <v>113</v>
      </c>
      <c r="Q4" s="19" t="s">
        <v>114</v>
      </c>
      <c r="R4" s="19" t="s">
        <v>115</v>
      </c>
      <c r="S4" s="19" t="s">
        <v>116</v>
      </c>
      <c r="T4" s="19" t="s">
        <v>117</v>
      </c>
      <c r="U4" s="19" t="s">
        <v>118</v>
      </c>
      <c r="V4" s="19" t="s">
        <v>119</v>
      </c>
      <c r="W4" s="19" t="s">
        <v>60</v>
      </c>
    </row>
    <row r="6" spans="1:23" ht="13" x14ac:dyDescent="0.3">
      <c r="A6" s="27" t="s">
        <v>121</v>
      </c>
      <c r="C6" s="31" t="str">
        <f>$C$9&amp;"r"&amp;$C$2&amp;"c1"</f>
        <v>'Quarter Supply'!r113c1</v>
      </c>
      <c r="D6" s="31"/>
      <c r="M6" s="27" t="s">
        <v>121</v>
      </c>
      <c r="O6" s="31" t="str">
        <f>$O$9&amp;"r"&amp;$O$2&amp;"c1"</f>
        <v>'Quarter Supply'!r117c1</v>
      </c>
      <c r="P6" s="31"/>
    </row>
    <row r="7" spans="1:23" ht="13" x14ac:dyDescent="0.3">
      <c r="A7" s="27"/>
      <c r="C7" s="31"/>
      <c r="D7" s="31"/>
      <c r="M7" s="27"/>
      <c r="O7" s="31"/>
      <c r="P7" s="31"/>
    </row>
    <row r="8" spans="1:23" ht="13" x14ac:dyDescent="0.3">
      <c r="A8" s="27"/>
      <c r="C8" s="31"/>
      <c r="D8" s="31"/>
      <c r="M8" s="27"/>
      <c r="O8" s="31"/>
      <c r="P8" s="31"/>
    </row>
    <row r="9" spans="1:23" ht="13" x14ac:dyDescent="0.3">
      <c r="A9" s="27" t="s">
        <v>32</v>
      </c>
      <c r="C9" s="19" t="str">
        <f>"'Quarter Supply'!"</f>
        <v>'Quarter Supply'!</v>
      </c>
      <c r="D9" s="31"/>
      <c r="M9" s="27" t="s">
        <v>32</v>
      </c>
      <c r="O9" s="19" t="str">
        <f>"'Quarter Supply'!"</f>
        <v>'Quarter Supply'!</v>
      </c>
      <c r="P9" s="31"/>
    </row>
    <row r="10" spans="1:23" x14ac:dyDescent="0.25">
      <c r="A10" s="28" t="s">
        <v>104</v>
      </c>
      <c r="B10" s="19">
        <v>2</v>
      </c>
      <c r="C10" s="31" t="str">
        <f>$C$9&amp;"r"&amp;$C$2&amp;"c3"</f>
        <v>'Quarter Supply'!r113c3</v>
      </c>
      <c r="D10" s="31"/>
      <c r="E10" s="31" t="str">
        <f>$C$9&amp;"r"&amp;$C$2&amp;"c4"</f>
        <v>'Quarter Supply'!r113c4</v>
      </c>
      <c r="G10" s="31" t="str">
        <f>$C$9&amp;"r"&amp;$C$2&amp;"c5"</f>
        <v>'Quarter Supply'!r113c5</v>
      </c>
      <c r="H10" s="31" t="str">
        <f>$C$9&amp;"r"&amp;$C$2&amp;"c6"</f>
        <v>'Quarter Supply'!r113c6</v>
      </c>
      <c r="I10" s="31" t="str">
        <f>$C$9&amp;"r"&amp;$C$2&amp;"c7"</f>
        <v>'Quarter Supply'!r113c7</v>
      </c>
      <c r="M10" s="28" t="s">
        <v>104</v>
      </c>
      <c r="N10" s="19">
        <f t="shared" ref="N10:N38" si="0">B10</f>
        <v>2</v>
      </c>
      <c r="O10" s="31" t="str">
        <f>$O$9&amp;"r"&amp;$O$2&amp;"c3"</f>
        <v>'Quarter Supply'!r117c3</v>
      </c>
      <c r="Q10" s="31" t="str">
        <f>$O$9&amp;"r"&amp;$O$2&amp;"c4"</f>
        <v>'Quarter Supply'!r117c4</v>
      </c>
      <c r="S10" s="31" t="str">
        <f>$O$9&amp;"r"&amp;$O$2&amp;"c5"</f>
        <v>'Quarter Supply'!r117c5</v>
      </c>
      <c r="T10" s="31" t="str">
        <f>$O$9&amp;"r"&amp;$O$2&amp;"c6"</f>
        <v>'Quarter Supply'!r117c6</v>
      </c>
      <c r="U10" s="31" t="str">
        <f>$O$9&amp;"r"&amp;$O$2&amp;"c7"</f>
        <v>'Quarter Supply'!r117c7</v>
      </c>
    </row>
    <row r="11" spans="1:23" x14ac:dyDescent="0.25">
      <c r="A11" s="28" t="s">
        <v>33</v>
      </c>
      <c r="B11" s="19">
        <v>8</v>
      </c>
      <c r="C11" s="31" t="str">
        <f>$C$9&amp;"r"&amp;$C$2&amp;"c9"</f>
        <v>'Quarter Supply'!r113c9</v>
      </c>
      <c r="D11" s="31" t="str">
        <f>$C$9&amp;"r"&amp;$C$2&amp;"c10"</f>
        <v>'Quarter Supply'!r113c10</v>
      </c>
      <c r="E11" s="31" t="str">
        <f>$C$9&amp;"r"&amp;$C$2&amp;"c11"</f>
        <v>'Quarter Supply'!r113c11</v>
      </c>
      <c r="F11" s="31" t="str">
        <f>$C$9&amp;"r"&amp;$C$2&amp;"c12"</f>
        <v>'Quarter Supply'!r113c12</v>
      </c>
      <c r="G11" s="31" t="str">
        <f>$C$9&amp;"r"&amp;$C$2&amp;"c13"</f>
        <v>'Quarter Supply'!r113c13</v>
      </c>
      <c r="H11" s="31" t="str">
        <f>$C$9&amp;"r"&amp;$C$2&amp;"c14"</f>
        <v>'Quarter Supply'!r113c14</v>
      </c>
      <c r="J11" s="31" t="str">
        <f>$C$9&amp;"r"&amp;$C$2&amp;"c15"</f>
        <v>'Quarter Supply'!r113c15</v>
      </c>
      <c r="K11" s="31"/>
      <c r="M11" s="28" t="s">
        <v>33</v>
      </c>
      <c r="N11" s="19">
        <f t="shared" si="0"/>
        <v>8</v>
      </c>
      <c r="O11" s="31" t="str">
        <f>$O$9&amp;"r"&amp;$O$2&amp;"c9"</f>
        <v>'Quarter Supply'!r117c9</v>
      </c>
      <c r="P11" s="31" t="str">
        <f>$O$9&amp;"r"&amp;$O$2&amp;"c10"</f>
        <v>'Quarter Supply'!r117c10</v>
      </c>
      <c r="Q11" s="31" t="str">
        <f>$O$9&amp;"r"&amp;$O$2&amp;"c11"</f>
        <v>'Quarter Supply'!r117c11</v>
      </c>
      <c r="R11" s="31" t="str">
        <f>$O$9&amp;"r"&amp;$O$2&amp;"c12"</f>
        <v>'Quarter Supply'!r117c12</v>
      </c>
      <c r="S11" s="31" t="str">
        <f>$O$9&amp;"r"&amp;$O$2&amp;"c13"</f>
        <v>'Quarter Supply'!r117c13</v>
      </c>
      <c r="T11" s="31" t="str">
        <f>$O$9&amp;"r"&amp;$O$2&amp;"c14"</f>
        <v>'Quarter Supply'!r117c14</v>
      </c>
      <c r="V11" s="31" t="str">
        <f>$O$9&amp;"r"&amp;$O$2&amp;"c15"</f>
        <v>'Quarter Supply'!r117c15</v>
      </c>
    </row>
    <row r="12" spans="1:23" x14ac:dyDescent="0.25">
      <c r="A12" s="28" t="s">
        <v>34</v>
      </c>
      <c r="B12" s="19">
        <v>16</v>
      </c>
      <c r="C12" s="31" t="str">
        <f>$C$9&amp;"r"&amp;$C$2&amp;"c17"</f>
        <v>'Quarter Supply'!r113c17</v>
      </c>
      <c r="D12" s="31" t="str">
        <f>$C$9&amp;"r"&amp;$C$2&amp;"c18"</f>
        <v>'Quarter Supply'!r113c18</v>
      </c>
      <c r="E12" s="31" t="str">
        <f>$C$9&amp;"r"&amp;$C$2&amp;"c19"</f>
        <v>'Quarter Supply'!r113c19</v>
      </c>
      <c r="F12" s="31" t="str">
        <f>$C$9&amp;"r"&amp;$C$2&amp;"c20"</f>
        <v>'Quarter Supply'!r113c20</v>
      </c>
      <c r="G12" s="31" t="str">
        <f>$C$9&amp;"r"&amp;$C$2&amp;"c21"</f>
        <v>'Quarter Supply'!r113c21</v>
      </c>
      <c r="H12" s="31" t="str">
        <f>$C$9&amp;"r"&amp;$C$2&amp;"c22"</f>
        <v>'Quarter Supply'!r113c22</v>
      </c>
      <c r="J12" s="31" t="str">
        <f>$C$9&amp;"r"&amp;$C$2&amp;"c23"</f>
        <v>'Quarter Supply'!r113c23</v>
      </c>
      <c r="K12" s="31"/>
      <c r="M12" s="28" t="s">
        <v>34</v>
      </c>
      <c r="N12" s="19">
        <f t="shared" si="0"/>
        <v>16</v>
      </c>
      <c r="O12" s="31" t="str">
        <f>$O$9&amp;"r"&amp;$O$2&amp;"c17"</f>
        <v>'Quarter Supply'!r117c17</v>
      </c>
      <c r="P12" s="31" t="str">
        <f>$O$9&amp;"r"&amp;$O$2&amp;"c18"</f>
        <v>'Quarter Supply'!r117c18</v>
      </c>
      <c r="Q12" s="31" t="str">
        <f>$O$9&amp;"r"&amp;$O$2&amp;"c19"</f>
        <v>'Quarter Supply'!r117c19</v>
      </c>
      <c r="R12" s="31" t="str">
        <f>$O$9&amp;"r"&amp;$O$2&amp;"c20"</f>
        <v>'Quarter Supply'!r117c20</v>
      </c>
      <c r="S12" s="31" t="str">
        <f>$O$9&amp;"r"&amp;$O$2&amp;"c21"</f>
        <v>'Quarter Supply'!r117c21</v>
      </c>
      <c r="T12" s="31" t="str">
        <f>$O$9&amp;"r"&amp;$O$2&amp;"c22"</f>
        <v>'Quarter Supply'!r117c22</v>
      </c>
      <c r="V12" s="31" t="str">
        <f>$O$9&amp;"r"&amp;$O$2&amp;"c23"</f>
        <v>'Quarter Supply'!r117c23</v>
      </c>
    </row>
    <row r="13" spans="1:23" x14ac:dyDescent="0.25">
      <c r="A13" s="28" t="s">
        <v>35</v>
      </c>
      <c r="B13" s="19">
        <v>24</v>
      </c>
      <c r="F13" s="31" t="str">
        <f>$C$9&amp;"r"&amp;$C$2&amp;"c25"</f>
        <v>'Quarter Supply'!r113c25</v>
      </c>
      <c r="M13" s="28" t="s">
        <v>35</v>
      </c>
      <c r="N13" s="19">
        <f t="shared" si="0"/>
        <v>24</v>
      </c>
      <c r="R13" s="31" t="str">
        <f>$O$9&amp;"r"&amp;$O$2&amp;"c25"</f>
        <v>'Quarter Supply'!r117c25</v>
      </c>
    </row>
    <row r="14" spans="1:23" ht="14.5" x14ac:dyDescent="0.25">
      <c r="A14" s="28" t="s">
        <v>122</v>
      </c>
      <c r="B14" s="19">
        <v>26</v>
      </c>
      <c r="C14" s="31" t="str">
        <f>$C$9&amp;"r"&amp;$C$2&amp;"c27"</f>
        <v>'Quarter Supply'!r113c27</v>
      </c>
      <c r="D14" s="31" t="str">
        <f>$C$9&amp;"r"&amp;$C$2&amp;"c28"</f>
        <v>'Quarter Supply'!r113c28</v>
      </c>
      <c r="E14" s="31" t="str">
        <f>$C$9&amp;"r"&amp;$C$2&amp;"c29"</f>
        <v>'Quarter Supply'!r113c29</v>
      </c>
      <c r="F14" s="31" t="str">
        <f>$C$9&amp;"r"&amp;$C$2&amp;"c30"</f>
        <v>'Quarter Supply'!r113c30</v>
      </c>
      <c r="G14" s="31" t="str">
        <f>$C$9&amp;"r"&amp;$C$2&amp;"c31"</f>
        <v>'Quarter Supply'!r113c31</v>
      </c>
      <c r="H14" s="31" t="str">
        <f>$C$9&amp;"r"&amp;$C$2&amp;"c32"</f>
        <v>'Quarter Supply'!r113c32</v>
      </c>
      <c r="M14" s="28" t="s">
        <v>123</v>
      </c>
      <c r="N14" s="19">
        <f t="shared" si="0"/>
        <v>26</v>
      </c>
      <c r="O14" s="31" t="str">
        <f>$O$9&amp;"r"&amp;$O$2&amp;"c27"</f>
        <v>'Quarter Supply'!r117c27</v>
      </c>
      <c r="P14" s="31" t="str">
        <f>$O$9&amp;"r"&amp;$O$2&amp;"c28"</f>
        <v>'Quarter Supply'!r117c28</v>
      </c>
      <c r="Q14" s="31" t="str">
        <f>$O$9&amp;"r"&amp;$O$2&amp;"c29"</f>
        <v>'Quarter Supply'!r117c29</v>
      </c>
      <c r="R14" s="31" t="str">
        <f>$O$9&amp;"r"&amp;$O$2&amp;"c30"</f>
        <v>'Quarter Supply'!r117c30</v>
      </c>
      <c r="S14" s="31" t="str">
        <f>$O$9&amp;"r"&amp;$O$2&amp;"c31"</f>
        <v>'Quarter Supply'!r117c31</v>
      </c>
      <c r="T14" s="31" t="str">
        <f>$O$9&amp;"r"&amp;$O$2&amp;"c32"</f>
        <v>'Quarter Supply'!r117c32</v>
      </c>
    </row>
    <row r="15" spans="1:23" x14ac:dyDescent="0.25">
      <c r="A15" s="28"/>
      <c r="M15" s="28"/>
    </row>
    <row r="16" spans="1:23" ht="13" x14ac:dyDescent="0.3">
      <c r="A16" s="29" t="s">
        <v>36</v>
      </c>
      <c r="B16" s="19">
        <v>33</v>
      </c>
      <c r="C16" s="31" t="str">
        <f>$C$9&amp;"r"&amp;$C$2&amp;"c34"</f>
        <v>'Quarter Supply'!r113c34</v>
      </c>
      <c r="D16" s="31" t="str">
        <f>$C$9&amp;"r"&amp;$C$2&amp;"c35"</f>
        <v>'Quarter Supply'!r113c35</v>
      </c>
      <c r="E16" s="31" t="str">
        <f>$C$9&amp;"r"&amp;$C$2&amp;"c36"</f>
        <v>'Quarter Supply'!r113c36</v>
      </c>
      <c r="F16" s="31" t="str">
        <f>$C$9&amp;"r"&amp;$C$2&amp;"c37"</f>
        <v>'Quarter Supply'!r113c37</v>
      </c>
      <c r="G16" s="31" t="str">
        <f>$C$9&amp;"r"&amp;$C$2&amp;"c38"</f>
        <v>'Quarter Supply'!r113c38</v>
      </c>
      <c r="H16" s="31" t="str">
        <f>$C$9&amp;"r"&amp;$C$2&amp;"c39"</f>
        <v>'Quarter Supply'!r113c39</v>
      </c>
      <c r="I16" s="31" t="str">
        <f>$C$9&amp;"r"&amp;$C$2&amp;"c40"</f>
        <v>'Quarter Supply'!r113c40</v>
      </c>
      <c r="J16" s="31" t="str">
        <f>$C$9&amp;"r"&amp;$C$2&amp;"c41"</f>
        <v>'Quarter Supply'!r113c41</v>
      </c>
      <c r="K16" s="31"/>
      <c r="M16" s="32" t="s">
        <v>36</v>
      </c>
      <c r="N16" s="19">
        <f t="shared" si="0"/>
        <v>33</v>
      </c>
      <c r="O16" s="31" t="str">
        <f>$O$9&amp;"r"&amp;$O$2&amp;"c34"</f>
        <v>'Quarter Supply'!r117c34</v>
      </c>
      <c r="P16" s="31" t="str">
        <f>$O$9&amp;"r"&amp;$O$2&amp;"c35"</f>
        <v>'Quarter Supply'!r117c35</v>
      </c>
      <c r="Q16" s="31" t="str">
        <f>$O$9&amp;"r"&amp;$O$2&amp;"c36"</f>
        <v>'Quarter Supply'!r117c36</v>
      </c>
      <c r="R16" s="31" t="str">
        <f>$O$9&amp;"r"&amp;$O$2&amp;"c37"</f>
        <v>'Quarter Supply'!r117c37</v>
      </c>
      <c r="S16" s="31" t="str">
        <f>$O$9&amp;"r"&amp;$O$2&amp;"c38"</f>
        <v>'Quarter Supply'!r117c38</v>
      </c>
      <c r="T16" s="31" t="str">
        <f>$O$9&amp;"r"&amp;$O$2&amp;"c39"</f>
        <v>'Quarter Supply'!r117c39</v>
      </c>
      <c r="U16" s="31" t="str">
        <f>$O$9&amp;"r"&amp;$O$2&amp;"c40"</f>
        <v>'Quarter Supply'!r117c40</v>
      </c>
      <c r="V16" s="31" t="str">
        <f>$O$9&amp;"r"&amp;$O$2&amp;"c41"</f>
        <v>'Quarter Supply'!r117c41</v>
      </c>
    </row>
    <row r="17" spans="1:23" ht="14.5" x14ac:dyDescent="0.25">
      <c r="A17" s="28" t="s">
        <v>106</v>
      </c>
      <c r="B17" s="19">
        <v>42</v>
      </c>
      <c r="C17" s="31" t="str">
        <f>$C$9&amp;"r"&amp;$C$2&amp;"c43"</f>
        <v>'Quarter Supply'!r113c43</v>
      </c>
      <c r="D17" s="31" t="str">
        <f>$C$9&amp;"r"&amp;$C$2&amp;"c44"</f>
        <v>'Quarter Supply'!r113c44</v>
      </c>
      <c r="E17" s="31" t="str">
        <f>$C$9&amp;"r"&amp;$C$2&amp;"c45"</f>
        <v>'Quarter Supply'!r113c45</v>
      </c>
      <c r="F17" s="31" t="str">
        <f>$C$9&amp;"r"&amp;$C$2&amp;"c46"</f>
        <v>'Quarter Supply'!r113c46</v>
      </c>
      <c r="G17" s="31" t="str">
        <f>$C$9&amp;"r"&amp;$C$2&amp;"c47"</f>
        <v>'Quarter Supply'!r113c47</v>
      </c>
      <c r="H17" s="31" t="str">
        <f>$C$9&amp;"r"&amp;$C$2&amp;"c48"</f>
        <v>'Quarter Supply'!r113c48</v>
      </c>
      <c r="I17" s="31" t="str">
        <f>$C$9&amp;"r"&amp;$C$2&amp;"c49"</f>
        <v>'Quarter Supply'!r113c49</v>
      </c>
      <c r="J17" s="31" t="str">
        <f>$C$9&amp;"r"&amp;$C$2&amp;"c50"</f>
        <v>'Quarter Supply'!r113c50</v>
      </c>
      <c r="K17" s="31"/>
      <c r="M17" s="28" t="s">
        <v>124</v>
      </c>
      <c r="N17" s="19">
        <f t="shared" si="0"/>
        <v>42</v>
      </c>
      <c r="O17" s="31" t="str">
        <f>$O$9&amp;"r"&amp;$O$2&amp;"c43"</f>
        <v>'Quarter Supply'!r117c43</v>
      </c>
      <c r="P17" s="31" t="str">
        <f>$O$9&amp;"r"&amp;$O$2&amp;"c44"</f>
        <v>'Quarter Supply'!r117c44</v>
      </c>
      <c r="Q17" s="31" t="str">
        <f>$O$9&amp;"r"&amp;$O$2&amp;"c45"</f>
        <v>'Quarter Supply'!r117c45</v>
      </c>
      <c r="R17" s="31" t="str">
        <f>$O$9&amp;"r"&amp;$O$2&amp;"c46"</f>
        <v>'Quarter Supply'!r117c46</v>
      </c>
      <c r="S17" s="31" t="str">
        <f>$O$9&amp;"r"&amp;$O$2&amp;"c47"</f>
        <v>'Quarter Supply'!r117c47</v>
      </c>
      <c r="T17" s="31" t="str">
        <f>$O$9&amp;"r"&amp;$O$2&amp;"c48"</f>
        <v>'Quarter Supply'!r117c48</v>
      </c>
      <c r="U17" s="31" t="str">
        <f>$O$9&amp;"r"&amp;$O$2&amp;"c49"</f>
        <v>'Quarter Supply'!r117c49</v>
      </c>
      <c r="V17" s="31" t="str">
        <f>$O$9&amp;"r"&amp;$O$2&amp;"c50"</f>
        <v>'Quarter Supply'!r117c50</v>
      </c>
    </row>
    <row r="18" spans="1:23" ht="13" x14ac:dyDescent="0.3">
      <c r="A18" s="29" t="s">
        <v>37</v>
      </c>
      <c r="B18" s="19">
        <v>51</v>
      </c>
      <c r="C18" s="31" t="str">
        <f>$C$9&amp;"r"&amp;$C$2&amp;"c52"</f>
        <v>'Quarter Supply'!r113c52</v>
      </c>
      <c r="D18" s="31" t="str">
        <f>$C$9&amp;"r"&amp;$C$2&amp;"c53"</f>
        <v>'Quarter Supply'!r113c53</v>
      </c>
      <c r="E18" s="31" t="str">
        <f>$C$9&amp;"r"&amp;$C$2&amp;"c54"</f>
        <v>'Quarter Supply'!r113c54</v>
      </c>
      <c r="F18" s="31" t="str">
        <f>$C$9&amp;"r"&amp;$C$2&amp;"c55"</f>
        <v>'Quarter Supply'!r113c55</v>
      </c>
      <c r="G18" s="31" t="str">
        <f>$C$9&amp;"r"&amp;$C$2&amp;"c56"</f>
        <v>'Quarter Supply'!r113c56</v>
      </c>
      <c r="H18" s="31" t="str">
        <f>$C$9&amp;"r"&amp;$C$2&amp;"c57"</f>
        <v>'Quarter Supply'!r113c57</v>
      </c>
      <c r="I18" s="31" t="str">
        <f>$C$9&amp;"r"&amp;$C$2&amp;"c58"</f>
        <v>'Quarter Supply'!r113c58</v>
      </c>
      <c r="J18" s="31" t="str">
        <f>$C$9&amp;"r"&amp;$C$2&amp;"c59"</f>
        <v>'Quarter Supply'!r113c59</v>
      </c>
      <c r="K18" s="31"/>
      <c r="M18" s="33" t="s">
        <v>37</v>
      </c>
      <c r="N18" s="19">
        <f t="shared" si="0"/>
        <v>51</v>
      </c>
      <c r="O18" s="31" t="str">
        <f>$O$9&amp;"r"&amp;$O$2&amp;"c52"</f>
        <v>'Quarter Supply'!r117c52</v>
      </c>
      <c r="P18" s="31" t="str">
        <f>$O$9&amp;"r"&amp;$O$2&amp;"c53"</f>
        <v>'Quarter Supply'!r117c53</v>
      </c>
      <c r="Q18" s="31" t="str">
        <f>$O$9&amp;"r"&amp;$O$2&amp;"c54"</f>
        <v>'Quarter Supply'!r117c54</v>
      </c>
      <c r="R18" s="31" t="str">
        <f>$O$9&amp;"r"&amp;$O$2&amp;"c55"</f>
        <v>'Quarter Supply'!r117c55</v>
      </c>
      <c r="S18" s="31" t="str">
        <f>$O$9&amp;"r"&amp;$O$2&amp;"c56"</f>
        <v>'Quarter Supply'!r117c56</v>
      </c>
      <c r="T18" s="31" t="str">
        <f>$O$9&amp;"r"&amp;$O$2&amp;"c57"</f>
        <v>'Quarter Supply'!r117c57</v>
      </c>
      <c r="U18" s="31" t="str">
        <f>$O$9&amp;"r"&amp;$O$2&amp;"c58"</f>
        <v>'Quarter Supply'!r117c58</v>
      </c>
      <c r="V18" s="31" t="str">
        <f>$O$9&amp;"r"&amp;$O$2&amp;"c59"</f>
        <v>'Quarter Supply'!r117c59</v>
      </c>
    </row>
    <row r="19" spans="1:23" x14ac:dyDescent="0.25">
      <c r="A19" s="28"/>
      <c r="C19" s="19" t="str">
        <f>"'Quarter Demand'!"</f>
        <v>'Quarter Demand'!</v>
      </c>
      <c r="M19" s="28"/>
      <c r="O19" s="19" t="str">
        <f>"'Quarter Demand'!"</f>
        <v>'Quarter Demand'!</v>
      </c>
    </row>
    <row r="20" spans="1:23" ht="14.5" x14ac:dyDescent="0.25">
      <c r="A20" s="28" t="s">
        <v>73</v>
      </c>
      <c r="B20" s="19">
        <v>11</v>
      </c>
      <c r="D20" s="19" t="str">
        <f>$C$19&amp;"r"&amp;$C$2&amp;"c13"</f>
        <v>'Quarter Demand'!r113c13</v>
      </c>
      <c r="E20" s="19" t="str">
        <f>$C$19&amp;"r"&amp;$C$2&amp;"c14"</f>
        <v>'Quarter Demand'!r113c14</v>
      </c>
      <c r="F20" s="19" t="str">
        <f>$C$19&amp;"r"&amp;$C$2&amp;"c15"</f>
        <v>'Quarter Demand'!r113c15</v>
      </c>
      <c r="G20" s="19" t="str">
        <f>$C$19&amp;"r"&amp;$C$2&amp;"c16"</f>
        <v>'Quarter Demand'!r113c16</v>
      </c>
      <c r="H20" s="19" t="str">
        <f>$C$19&amp;"r"&amp;$C$2&amp;"c17"</f>
        <v>'Quarter Demand'!r113c17</v>
      </c>
      <c r="I20" s="19" t="str">
        <f>$C$19&amp;"r"&amp;$C$2&amp;"c18"</f>
        <v>'Quarter Demand'!r113c18</v>
      </c>
      <c r="J20" s="19" t="str">
        <f>$C$19&amp;"r"&amp;$C$2&amp;"c19"</f>
        <v>'Quarter Demand'!r113c19</v>
      </c>
      <c r="M20" s="28" t="s">
        <v>125</v>
      </c>
      <c r="N20" s="19">
        <f t="shared" si="0"/>
        <v>11</v>
      </c>
      <c r="P20" s="19" t="str">
        <f>$O$19&amp;"r"&amp;$O$2&amp;"c13"</f>
        <v>'Quarter Demand'!r117c13</v>
      </c>
      <c r="Q20" s="19" t="str">
        <f>$O$19&amp;"r"&amp;$O$2&amp;"c14"</f>
        <v>'Quarter Demand'!r117c14</v>
      </c>
      <c r="R20" s="19" t="str">
        <f>$O$19&amp;"r"&amp;$O$2&amp;"c15"</f>
        <v>'Quarter Demand'!r117c15</v>
      </c>
      <c r="S20" s="19" t="str">
        <f>$O$19&amp;"r"&amp;$O$2&amp;"c16"</f>
        <v>'Quarter Demand'!r117c16</v>
      </c>
      <c r="T20" s="19" t="str">
        <f>$O$19&amp;"r"&amp;$O$2&amp;"c17"</f>
        <v>'Quarter Demand'!r117c17</v>
      </c>
      <c r="U20" s="19" t="str">
        <f>$O$19&amp;"r"&amp;$O$2&amp;"c18"</f>
        <v>'Quarter Demand'!r117c18</v>
      </c>
      <c r="V20" s="19" t="str">
        <f>$O$19&amp;"r"&amp;$O$2&amp;"c19"</f>
        <v>'Quarter Demand'!r117c19</v>
      </c>
    </row>
    <row r="21" spans="1:23" ht="13" x14ac:dyDescent="0.3">
      <c r="A21" s="29" t="s">
        <v>38</v>
      </c>
      <c r="B21" s="19">
        <v>20</v>
      </c>
      <c r="C21" s="19" t="str">
        <f>$C$19&amp;"r"&amp;$C$2&amp;"c21"</f>
        <v>'Quarter Demand'!r113c21</v>
      </c>
      <c r="D21" s="19" t="str">
        <f>$C$19&amp;"r"&amp;$C$2&amp;"c22"</f>
        <v>'Quarter Demand'!r113c22</v>
      </c>
      <c r="E21" s="19" t="str">
        <f>$C$19&amp;"r"&amp;$C$2&amp;"c23"</f>
        <v>'Quarter Demand'!r113c23</v>
      </c>
      <c r="F21" s="19" t="str">
        <f>$C$19&amp;"r"&amp;$C$2&amp;"c24"</f>
        <v>'Quarter Demand'!r113c24</v>
      </c>
      <c r="G21" s="19" t="str">
        <f>$C$19&amp;"r"&amp;$C$2&amp;"c25"</f>
        <v>'Quarter Demand'!r113c25</v>
      </c>
      <c r="H21" s="19" t="str">
        <f>$C$19&amp;"r"&amp;$C$2&amp;"c26"</f>
        <v>'Quarter Demand'!r113c26</v>
      </c>
      <c r="I21" s="19" t="str">
        <f>$C$19&amp;"r"&amp;$C$2&amp;"c27"</f>
        <v>'Quarter Demand'!r113c27</v>
      </c>
      <c r="J21" s="19" t="str">
        <f>$C$19&amp;"r"&amp;$C$2&amp;"c28"</f>
        <v>'Quarter Demand'!r113c28</v>
      </c>
      <c r="K21" s="19" t="str">
        <f>$C$19&amp;"r"&amp;$C$2&amp;"c29"</f>
        <v>'Quarter Demand'!r113c29</v>
      </c>
      <c r="M21" s="29" t="s">
        <v>38</v>
      </c>
      <c r="N21" s="19">
        <f t="shared" si="0"/>
        <v>20</v>
      </c>
      <c r="O21" s="19" t="str">
        <f>$O$19&amp;"r"&amp;$O$2&amp;"c21"</f>
        <v>'Quarter Demand'!r117c21</v>
      </c>
      <c r="P21" s="19" t="str">
        <f>$O$19&amp;"r"&amp;$O$2&amp;"c22"</f>
        <v>'Quarter Demand'!r117c22</v>
      </c>
      <c r="Q21" s="19" t="str">
        <f>$O$19&amp;"r"&amp;$O$2&amp;"c23"</f>
        <v>'Quarter Demand'!r117c23</v>
      </c>
      <c r="R21" s="19" t="str">
        <f>$O$19&amp;"r"&amp;$O$2&amp;"c24"</f>
        <v>'Quarter Demand'!r117c24</v>
      </c>
      <c r="S21" s="19" t="str">
        <f>$O$19&amp;"r"&amp;$O$2&amp;"c25"</f>
        <v>'Quarter Demand'!r117c25</v>
      </c>
      <c r="T21" s="19" t="str">
        <f>$O$19&amp;"r"&amp;$O$2&amp;"c26"</f>
        <v>'Quarter Demand'!r117c26</v>
      </c>
      <c r="U21" s="19" t="str">
        <f>$O$19&amp;"r"&amp;$O$2&amp;"c27"</f>
        <v>'Quarter Demand'!r117c27</v>
      </c>
      <c r="V21" s="19" t="str">
        <f>$O$19&amp;"r"&amp;$O$2&amp;"c28"</f>
        <v>'Quarter Demand'!r117c28</v>
      </c>
      <c r="W21" s="19" t="str">
        <f>$O$19&amp;"r"&amp;$O$2&amp;"c29"</f>
        <v>'Quarter Demand'!r117c29</v>
      </c>
    </row>
    <row r="22" spans="1:23" x14ac:dyDescent="0.25">
      <c r="A22" s="28" t="s">
        <v>39</v>
      </c>
      <c r="B22" s="19">
        <v>30</v>
      </c>
      <c r="C22" s="19" t="str">
        <f>$C$19&amp;"r"&amp;$C$2&amp;"c31"</f>
        <v>'Quarter Demand'!r113c31</v>
      </c>
      <c r="D22" s="19" t="str">
        <f>$C$19&amp;"r"&amp;$C$2&amp;"c32"</f>
        <v>'Quarter Demand'!r113c32</v>
      </c>
      <c r="F22" s="19" t="str">
        <f>$C$19&amp;"r"&amp;$C$2&amp;"c33"</f>
        <v>'Quarter Demand'!r113c33</v>
      </c>
      <c r="G22" s="19" t="str">
        <f>$C$19&amp;"r"&amp;$C$2&amp;"c34"</f>
        <v>'Quarter Demand'!r113c34</v>
      </c>
      <c r="H22" s="19" t="str">
        <f>$C$19&amp;"r"&amp;$C$2&amp;"c35"</f>
        <v>'Quarter Demand'!r113c35</v>
      </c>
      <c r="I22" s="19" t="str">
        <f>$C$19&amp;"r"&amp;$C$2&amp;"c36"</f>
        <v>'Quarter Demand'!r113c36</v>
      </c>
      <c r="J22" s="19" t="str">
        <f>$C$19&amp;"r"&amp;$C$2&amp;"c37"</f>
        <v>'Quarter Demand'!r113c37</v>
      </c>
      <c r="M22" s="28" t="s">
        <v>39</v>
      </c>
      <c r="N22" s="19">
        <f t="shared" si="0"/>
        <v>30</v>
      </c>
      <c r="O22" s="19" t="str">
        <f>$O$19&amp;"r"&amp;$O$2&amp;"c31"</f>
        <v>'Quarter Demand'!r117c31</v>
      </c>
      <c r="P22" s="19" t="str">
        <f>$O$19&amp;"r"&amp;$O$2&amp;"c32"</f>
        <v>'Quarter Demand'!r117c32</v>
      </c>
      <c r="R22" s="19" t="str">
        <f>$O$19&amp;"r"&amp;$O$2&amp;"c33"</f>
        <v>'Quarter Demand'!r117c33</v>
      </c>
      <c r="S22" s="19" t="str">
        <f>$O$19&amp;"r"&amp;$O$2&amp;"c34"</f>
        <v>'Quarter Demand'!r117c34</v>
      </c>
      <c r="T22" s="19" t="str">
        <f>$O$19&amp;"r"&amp;$O$2&amp;"c35"</f>
        <v>'Quarter Demand'!r117c35</v>
      </c>
      <c r="U22" s="19" t="str">
        <f>$O$19&amp;"r"&amp;$O$2&amp;"c36"</f>
        <v>'Quarter Demand'!r117c36</v>
      </c>
      <c r="V22" s="19" t="str">
        <f>$O$19&amp;"r"&amp;$O$2&amp;"c37"</f>
        <v>'Quarter Demand'!r117c37</v>
      </c>
    </row>
    <row r="23" spans="1:23" x14ac:dyDescent="0.25">
      <c r="A23" s="28" t="s">
        <v>40</v>
      </c>
      <c r="B23" s="19">
        <v>38</v>
      </c>
      <c r="C23" s="19" t="str">
        <f>$C$19&amp;"r"&amp;$C$2&amp;"c39"</f>
        <v>'Quarter Demand'!r113c39</v>
      </c>
      <c r="D23" s="19" t="str">
        <f>$C$19&amp;"r"&amp;$C$2&amp;"c40"</f>
        <v>'Quarter Demand'!r113c40</v>
      </c>
      <c r="F23" s="19" t="str">
        <f>$C$19&amp;"r"&amp;$C$2&amp;"c41"</f>
        <v>'Quarter Demand'!r113c41</v>
      </c>
      <c r="G23" s="19" t="str">
        <f>$C$19&amp;"r"&amp;$C$2&amp;"c42"</f>
        <v>'Quarter Demand'!r113c42</v>
      </c>
      <c r="H23" s="19" t="str">
        <f>$C$19&amp;"r"&amp;$C$2&amp;"c43"</f>
        <v>'Quarter Demand'!r113c43</v>
      </c>
      <c r="K23" s="19" t="str">
        <f>$C$19&amp;"r"&amp;$C$2&amp;"c44"</f>
        <v>'Quarter Demand'!r113c44</v>
      </c>
      <c r="M23" s="28" t="s">
        <v>40</v>
      </c>
      <c r="N23" s="19">
        <f t="shared" si="0"/>
        <v>38</v>
      </c>
      <c r="O23" s="19" t="str">
        <f>$O$19&amp;"r"&amp;$O$2&amp;"c39"</f>
        <v>'Quarter Demand'!r117c39</v>
      </c>
      <c r="P23" s="19" t="str">
        <f>$O$19&amp;"r"&amp;$O$2&amp;"c40"</f>
        <v>'Quarter Demand'!r117c40</v>
      </c>
      <c r="R23" s="19" t="str">
        <f>$O$19&amp;"r"&amp;$O$2&amp;"c41"</f>
        <v>'Quarter Demand'!r117c41</v>
      </c>
      <c r="S23" s="19" t="str">
        <f>$O$19&amp;"r"&amp;$O$2&amp;"c42"</f>
        <v>'Quarter Demand'!r117c42</v>
      </c>
      <c r="T23" s="19" t="str">
        <f>$O$19&amp;"r"&amp;$O$2&amp;"c43"</f>
        <v>'Quarter Demand'!r117c43</v>
      </c>
      <c r="W23" s="19" t="str">
        <f>$O$19&amp;"r"&amp;$O$2&amp;"c44"</f>
        <v>'Quarter Demand'!r117c44</v>
      </c>
    </row>
    <row r="24" spans="1:23" x14ac:dyDescent="0.25">
      <c r="A24" s="28" t="s">
        <v>41</v>
      </c>
      <c r="B24" s="19">
        <v>45</v>
      </c>
      <c r="E24" s="19" t="str">
        <f>$C$19&amp;"r"&amp;$C$2&amp;"c46"</f>
        <v>'Quarter Demand'!r113c46</v>
      </c>
      <c r="F24" s="19" t="str">
        <f>$C$19&amp;"r"&amp;$C$2&amp;"c47"</f>
        <v>'Quarter Demand'!r113c47</v>
      </c>
      <c r="M24" s="28" t="s">
        <v>41</v>
      </c>
      <c r="N24" s="19">
        <f t="shared" si="0"/>
        <v>45</v>
      </c>
      <c r="Q24" s="19" t="str">
        <f>$O$19&amp;"r"&amp;$O$2&amp;"c46"</f>
        <v>'Quarter Demand'!r117c46</v>
      </c>
      <c r="R24" s="19" t="str">
        <f>$O$19&amp;"r"&amp;$O$2&amp;"c47"</f>
        <v>'Quarter Demand'!r117c47</v>
      </c>
    </row>
    <row r="25" spans="1:23" x14ac:dyDescent="0.25">
      <c r="A25" s="28" t="s">
        <v>42</v>
      </c>
      <c r="B25" s="19">
        <v>48</v>
      </c>
      <c r="C25" s="19" t="str">
        <f>$C$19&amp;"r"&amp;$C$2&amp;"c49"</f>
        <v>'Quarter Demand'!r113c49</v>
      </c>
      <c r="D25" s="19" t="str">
        <f>$C$19&amp;"r"&amp;$C$2&amp;"c50"</f>
        <v>'Quarter Demand'!r113c50</v>
      </c>
      <c r="M25" s="28" t="s">
        <v>42</v>
      </c>
      <c r="N25" s="19">
        <f t="shared" si="0"/>
        <v>48</v>
      </c>
      <c r="O25" s="19" t="str">
        <f>$O$19&amp;"r"&amp;$O$2&amp;"c49"</f>
        <v>'Quarter Demand'!r117c49</v>
      </c>
      <c r="P25" s="19" t="str">
        <f>$O$19&amp;"r"&amp;$O$2&amp;"c50"</f>
        <v>'Quarter Demand'!r117c50</v>
      </c>
    </row>
    <row r="26" spans="1:23" x14ac:dyDescent="0.25">
      <c r="A26" s="28" t="s">
        <v>43</v>
      </c>
      <c r="B26" s="19">
        <v>52</v>
      </c>
      <c r="C26" s="19" t="str">
        <f>$C$19&amp;"r"&amp;$C$2&amp;"c53"</f>
        <v>'Quarter Demand'!r113c53</v>
      </c>
      <c r="D26" s="19" t="str">
        <f>$C$19&amp;"r"&amp;$C$2&amp;"c54"</f>
        <v>'Quarter Demand'!r113c54</v>
      </c>
      <c r="F26" s="19" t="str">
        <f>$C$19&amp;"r"&amp;$C$2&amp;"c55"</f>
        <v>'Quarter Demand'!r113c55</v>
      </c>
      <c r="M26" s="28" t="s">
        <v>43</v>
      </c>
      <c r="N26" s="19">
        <f t="shared" si="0"/>
        <v>52</v>
      </c>
      <c r="O26" s="19" t="str">
        <f>$O$19&amp;"r"&amp;$O$2&amp;"c53"</f>
        <v>'Quarter Demand'!r117c53</v>
      </c>
      <c r="P26" s="19" t="str">
        <f>$O$19&amp;"r"&amp;$O$2&amp;"c54"</f>
        <v>'Quarter Demand'!r117c54</v>
      </c>
      <c r="R26" s="19" t="str">
        <f>$O$19&amp;"r"&amp;$O$2&amp;"c55"</f>
        <v>'Quarter Demand'!r117c55</v>
      </c>
    </row>
    <row r="27" spans="1:23" x14ac:dyDescent="0.25">
      <c r="A27" s="28" t="s">
        <v>44</v>
      </c>
      <c r="B27" s="19">
        <v>56</v>
      </c>
      <c r="C27" s="19" t="str">
        <f>$C$19&amp;"r"&amp;$C$2&amp;"c57"</f>
        <v>'Quarter Demand'!r113c57</v>
      </c>
      <c r="D27" s="19" t="str">
        <f>$C$19&amp;"r"&amp;$C$2&amp;"c58"</f>
        <v>'Quarter Demand'!r113c58</v>
      </c>
      <c r="F27" s="19" t="str">
        <f>$C$19&amp;"r"&amp;$C$2&amp;"c59"</f>
        <v>'Quarter Demand'!r113c59</v>
      </c>
      <c r="M27" s="28" t="s">
        <v>44</v>
      </c>
      <c r="N27" s="19">
        <f t="shared" si="0"/>
        <v>56</v>
      </c>
      <c r="O27" s="19" t="str">
        <f>$O$19&amp;"r"&amp;$O$2&amp;"c57"</f>
        <v>'Quarter Demand'!r117c57</v>
      </c>
      <c r="P27" s="19" t="str">
        <f>$O$19&amp;"r"&amp;$O$2&amp;"c58"</f>
        <v>'Quarter Demand'!r117c58</v>
      </c>
      <c r="R27" s="19" t="str">
        <f>$O$19&amp;"r"&amp;$O$2&amp;"c59"</f>
        <v>'Quarter Demand'!r117c59</v>
      </c>
    </row>
    <row r="28" spans="1:23" x14ac:dyDescent="0.25">
      <c r="A28" s="28" t="s">
        <v>107</v>
      </c>
      <c r="B28" s="19">
        <v>60</v>
      </c>
      <c r="E28" s="19" t="str">
        <f>$C$19&amp;"r"&amp;$C$2&amp;"c61"</f>
        <v>'Quarter Demand'!r113c61</v>
      </c>
      <c r="F28" s="19" t="str">
        <f>$C$19&amp;"r"&amp;$C$2&amp;"c62"</f>
        <v>'Quarter Demand'!r113c62</v>
      </c>
      <c r="M28" s="28" t="s">
        <v>107</v>
      </c>
      <c r="N28" s="19">
        <f t="shared" si="0"/>
        <v>60</v>
      </c>
      <c r="Q28" s="19" t="str">
        <f>$O$19&amp;"r"&amp;$O$2&amp;"c61"</f>
        <v>'Quarter Demand'!r117c61</v>
      </c>
      <c r="R28" s="19" t="str">
        <f>$O$19&amp;"r"&amp;$O$2&amp;"c62"</f>
        <v>'Quarter Demand'!r117c62</v>
      </c>
    </row>
    <row r="29" spans="1:23" x14ac:dyDescent="0.25">
      <c r="A29" s="28" t="s">
        <v>45</v>
      </c>
      <c r="B29" s="19">
        <v>63</v>
      </c>
      <c r="C29" s="19" t="str">
        <f>$C$19&amp;"r"&amp;$C$2&amp;"c64"</f>
        <v>'Quarter Demand'!r113c64</v>
      </c>
      <c r="D29" s="19" t="str">
        <f>$C$19&amp;"r"&amp;$C$2&amp;"c65"</f>
        <v>'Quarter Demand'!r113c65</v>
      </c>
      <c r="E29" s="19" t="str">
        <f>$C$19&amp;"r"&amp;$C$2&amp;"c66"</f>
        <v>'Quarter Demand'!r113c66</v>
      </c>
      <c r="F29" s="19" t="str">
        <f>$C$19&amp;"r"&amp;$C$2&amp;"c67"</f>
        <v>'Quarter Demand'!r113c67</v>
      </c>
      <c r="G29" s="19" t="str">
        <f>$C$19&amp;"r"&amp;$C$2&amp;"c68"</f>
        <v>'Quarter Demand'!r113c68</v>
      </c>
      <c r="J29" s="19" t="str">
        <f>$C$19&amp;"r"&amp;$C$2&amp;"c70"</f>
        <v>'Quarter Demand'!r113c70</v>
      </c>
      <c r="K29" s="19" t="str">
        <f>$C$19&amp;"r"&amp;$C$2&amp;"c71"</f>
        <v>'Quarter Demand'!r113c71</v>
      </c>
      <c r="M29" s="34" t="s">
        <v>45</v>
      </c>
      <c r="N29" s="19">
        <f t="shared" si="0"/>
        <v>63</v>
      </c>
      <c r="O29" s="19" t="str">
        <f>$O$19&amp;"r"&amp;$O$2&amp;"c64"</f>
        <v>'Quarter Demand'!r117c64</v>
      </c>
      <c r="P29" s="19" t="str">
        <f>$O$19&amp;"r"&amp;$O$2&amp;"c65"</f>
        <v>'Quarter Demand'!r117c65</v>
      </c>
      <c r="Q29" s="19" t="str">
        <f>$O$19&amp;"r"&amp;$O$2&amp;"c66"</f>
        <v>'Quarter Demand'!r117c66</v>
      </c>
      <c r="R29" s="19" t="str">
        <f>$O$19&amp;"r"&amp;$O$2&amp;"c67"</f>
        <v>'Quarter Demand'!r117c67</v>
      </c>
      <c r="S29" s="19" t="str">
        <f>$O$19&amp;"r"&amp;$O$2&amp;"c68"</f>
        <v>'Quarter Demand'!r117c68</v>
      </c>
      <c r="V29" s="19" t="str">
        <f>$O$19&amp;"r"&amp;$O$2&amp;"c70"</f>
        <v>'Quarter Demand'!r117c70</v>
      </c>
      <c r="W29" s="19" t="str">
        <f>$O$19&amp;"r"&amp;$O$2&amp;"c71"</f>
        <v>'Quarter Demand'!r117c71</v>
      </c>
    </row>
    <row r="30" spans="1:23" ht="14.5" x14ac:dyDescent="0.25">
      <c r="A30" s="28" t="s">
        <v>46</v>
      </c>
      <c r="B30" s="19">
        <v>72</v>
      </c>
      <c r="D30" s="19" t="str">
        <f>$C$19&amp;"r"&amp;$C$2&amp;"c74"</f>
        <v>'Quarter Demand'!r113c74</v>
      </c>
      <c r="G30" s="19" t="str">
        <f>$C$19&amp;"r"&amp;$C$2&amp;"c77"</f>
        <v>'Quarter Demand'!r113c77</v>
      </c>
      <c r="J30" s="19" t="str">
        <f>$C$19&amp;"r"&amp;$C$2&amp;"c79"</f>
        <v>'Quarter Demand'!r113c79</v>
      </c>
      <c r="M30" s="35" t="s">
        <v>126</v>
      </c>
      <c r="N30" s="19">
        <f t="shared" si="0"/>
        <v>72</v>
      </c>
      <c r="P30" s="19" t="str">
        <f>$O$19&amp;"r"&amp;$O$2&amp;"c74"</f>
        <v>'Quarter Demand'!r117c74</v>
      </c>
      <c r="S30" s="19" t="str">
        <f>$O$19&amp;"r"&amp;$O$2&amp;"c77"</f>
        <v>'Quarter Demand'!r117c77</v>
      </c>
      <c r="V30" s="19" t="str">
        <f>$O$19&amp;"r"&amp;$O$2&amp;"c79"</f>
        <v>'Quarter Demand'!r117c79</v>
      </c>
    </row>
    <row r="31" spans="1:23" x14ac:dyDescent="0.25">
      <c r="A31" s="28"/>
      <c r="C31" s="19" t="str">
        <f>"'Quarter Final Consumption'!"</f>
        <v>'Quarter Final Consumption'!</v>
      </c>
      <c r="M31" s="28"/>
      <c r="O31" s="19" t="str">
        <f>"'Quarter Final Consumption'!"</f>
        <v>'Quarter Final Consumption'!</v>
      </c>
    </row>
    <row r="32" spans="1:23" ht="13" x14ac:dyDescent="0.3">
      <c r="A32" s="29" t="s">
        <v>47</v>
      </c>
      <c r="B32" s="19">
        <v>2</v>
      </c>
      <c r="C32" s="19" t="str">
        <f>$C$31&amp;"r"&amp;$C$2&amp;"c3"</f>
        <v>'Quarter Final Consumption'!r113c3</v>
      </c>
      <c r="D32" s="19" t="str">
        <f>$C$31&amp;"r"&amp;$C$2&amp;"c4"</f>
        <v>'Quarter Final Consumption'!r113c4</v>
      </c>
      <c r="F32" s="19" t="str">
        <f>$C$31&amp;"r"&amp;$C$2&amp;"c5"</f>
        <v>'Quarter Final Consumption'!r113c5</v>
      </c>
      <c r="G32" s="19" t="str">
        <f>$C$31&amp;"r"&amp;$C$2&amp;"c6"</f>
        <v>'Quarter Final Consumption'!r113c6</v>
      </c>
      <c r="H32" s="19" t="str">
        <f>$C$31&amp;"r"&amp;$C$2&amp;"c7"</f>
        <v>'Quarter Final Consumption'!r113c7</v>
      </c>
      <c r="J32" s="19" t="str">
        <f>$C$31&amp;"r"&amp;$C$2&amp;"c8"</f>
        <v>'Quarter Final Consumption'!r113c8</v>
      </c>
      <c r="K32" s="19" t="str">
        <f>$C$31&amp;"r"&amp;$C$2&amp;"c9"</f>
        <v>'Quarter Final Consumption'!r113c9</v>
      </c>
      <c r="M32" s="29" t="s">
        <v>47</v>
      </c>
      <c r="N32" s="19">
        <f t="shared" si="0"/>
        <v>2</v>
      </c>
      <c r="O32" s="19" t="str">
        <f>$O$31&amp;"r"&amp;$O$2&amp;"c3"</f>
        <v>'Quarter Final Consumption'!r117c3</v>
      </c>
      <c r="P32" s="19" t="str">
        <f>$O$31&amp;"r"&amp;$O$2&amp;"c4"</f>
        <v>'Quarter Final Consumption'!r117c4</v>
      </c>
      <c r="R32" s="19" t="str">
        <f>$O$31&amp;"r"&amp;$O$2&amp;"c5"</f>
        <v>'Quarter Final Consumption'!r117c5</v>
      </c>
      <c r="S32" s="19" t="str">
        <f>$O$31&amp;"r"&amp;$O$2&amp;"c6"</f>
        <v>'Quarter Final Consumption'!r117c6</v>
      </c>
      <c r="T32" s="19" t="str">
        <f>$O$31&amp;"r"&amp;$O$2&amp;"c7"</f>
        <v>'Quarter Final Consumption'!r117c7</v>
      </c>
      <c r="V32" s="19" t="str">
        <f>$O$31&amp;"r"&amp;$O$2&amp;"c8"</f>
        <v>'Quarter Final Consumption'!r117c8</v>
      </c>
      <c r="W32" s="19" t="str">
        <f>$O$31&amp;"r"&amp;$O$2&amp;"c9"</f>
        <v>'Quarter Final Consumption'!r117c9</v>
      </c>
    </row>
    <row r="33" spans="1:23" x14ac:dyDescent="0.25">
      <c r="A33" s="28" t="s">
        <v>48</v>
      </c>
      <c r="B33" s="19">
        <v>10</v>
      </c>
      <c r="C33" s="19" t="str">
        <f>$C$31&amp;"r"&amp;$C$2&amp;"c11"</f>
        <v>'Quarter Final Consumption'!r113c11</v>
      </c>
      <c r="D33" s="19" t="str">
        <f>$C$31&amp;"r"&amp;$C$2&amp;"c12"</f>
        <v>'Quarter Final Consumption'!r113c12</v>
      </c>
      <c r="F33" s="19" t="str">
        <f>$C$31&amp;"r"&amp;$C$2&amp;"c13"</f>
        <v>'Quarter Final Consumption'!r113c13</v>
      </c>
      <c r="G33" s="19" t="str">
        <f>$C$31&amp;"r"&amp;$C$2&amp;"c14"</f>
        <v>'Quarter Final Consumption'!r113c14</v>
      </c>
      <c r="H33" s="19" t="str">
        <f>$C$31&amp;"r"&amp;$C$2&amp;"c15"</f>
        <v>'Quarter Final Consumption'!r113c15</v>
      </c>
      <c r="J33" s="19" t="str">
        <f>$C$31&amp;"r"&amp;$C$2&amp;"c16"</f>
        <v>'Quarter Final Consumption'!r113c16</v>
      </c>
      <c r="M33" s="28" t="s">
        <v>48</v>
      </c>
      <c r="N33" s="19">
        <f t="shared" si="0"/>
        <v>10</v>
      </c>
      <c r="O33" s="19" t="str">
        <f>$O$31&amp;"r"&amp;$O$2&amp;"c11"</f>
        <v>'Quarter Final Consumption'!r117c11</v>
      </c>
      <c r="P33" s="19" t="str">
        <f>$O$31&amp;"r"&amp;$O$2&amp;"c12"</f>
        <v>'Quarter Final Consumption'!r117c12</v>
      </c>
      <c r="R33" s="19" t="str">
        <f>$O$31&amp;"r"&amp;$O$2&amp;"c13"</f>
        <v>'Quarter Final Consumption'!r117c13</v>
      </c>
      <c r="S33" s="19" t="str">
        <f>$O$31&amp;"r"&amp;$O$2&amp;"c14"</f>
        <v>'Quarter Final Consumption'!r117c14</v>
      </c>
      <c r="T33" s="19" t="str">
        <f>$O$31&amp;"r"&amp;$O$2&amp;"c15"</f>
        <v>'Quarter Final Consumption'!r117c15</v>
      </c>
      <c r="V33" s="19" t="str">
        <f>$O$31&amp;"r"&amp;$O$2&amp;"c16"</f>
        <v>'Quarter Final Consumption'!r117c16</v>
      </c>
    </row>
    <row r="34" spans="1:23" x14ac:dyDescent="0.25">
      <c r="A34" s="28" t="s">
        <v>49</v>
      </c>
      <c r="B34" s="19">
        <v>18</v>
      </c>
      <c r="C34" s="19" t="str">
        <f>$C$31&amp;"r"&amp;$C$2&amp;"c19"</f>
        <v>'Quarter Final Consumption'!r113c19</v>
      </c>
      <c r="D34" s="19" t="str">
        <f>$C$31&amp;"r"&amp;$C$2&amp;"c20"</f>
        <v>'Quarter Final Consumption'!r113c20</v>
      </c>
      <c r="F34" s="19" t="str">
        <f>$C$31&amp;"r"&amp;$C$2&amp;"c21"</f>
        <v>'Quarter Final Consumption'!r113c21</v>
      </c>
      <c r="G34" s="19" t="str">
        <f>$C$31&amp;"r"&amp;$C$2&amp;"c22"</f>
        <v>'Quarter Final Consumption'!r113c22</v>
      </c>
      <c r="H34" s="19" t="str">
        <f>$C$31&amp;"r"&amp;$C$2&amp;"c23"</f>
        <v>'Quarter Final Consumption'!r113c23</v>
      </c>
      <c r="J34" s="19" t="str">
        <f>$C$31&amp;"r"&amp;$C$2&amp;"c24"</f>
        <v>'Quarter Final Consumption'!r113c24</v>
      </c>
      <c r="K34" s="19" t="str">
        <f>$C$31&amp;"r"&amp;$C$2&amp;"c25"</f>
        <v>'Quarter Final Consumption'!r113c25</v>
      </c>
      <c r="M34" s="28" t="s">
        <v>49</v>
      </c>
      <c r="N34" s="19">
        <f t="shared" si="0"/>
        <v>18</v>
      </c>
      <c r="O34" s="19" t="str">
        <f>$O$31&amp;"r"&amp;$O$2&amp;"c19"</f>
        <v>'Quarter Final Consumption'!r117c19</v>
      </c>
      <c r="P34" s="19" t="str">
        <f>$O$31&amp;"r"&amp;$O$2&amp;"c20"</f>
        <v>'Quarter Final Consumption'!r117c20</v>
      </c>
      <c r="R34" s="19" t="str">
        <f>$O$31&amp;"r"&amp;$O$2&amp;"c21"</f>
        <v>'Quarter Final Consumption'!r117c21</v>
      </c>
      <c r="S34" s="19" t="str">
        <f>$O$31&amp;"r"&amp;$O$2&amp;"c22"</f>
        <v>'Quarter Final Consumption'!r117c22</v>
      </c>
      <c r="T34" s="19" t="str">
        <f>$O$31&amp;"r"&amp;$O$2&amp;"c23"</f>
        <v>'Quarter Final Consumption'!r117c23</v>
      </c>
      <c r="V34" s="19" t="str">
        <f>$O$31&amp;"r"&amp;$O$2&amp;"c24"</f>
        <v>'Quarter Final Consumption'!r117c24</v>
      </c>
      <c r="W34" s="19" t="str">
        <f>$O$31&amp;"r"&amp;$O$2&amp;"c25"</f>
        <v>'Quarter Final Consumption'!r117c25</v>
      </c>
    </row>
    <row r="35" spans="1:23" x14ac:dyDescent="0.25">
      <c r="A35" s="28" t="s">
        <v>50</v>
      </c>
      <c r="B35" s="19">
        <v>26</v>
      </c>
      <c r="C35" s="19" t="str">
        <f>$C$31&amp;"r"&amp;$C$2&amp;"c27"</f>
        <v>'Quarter Final Consumption'!r113c27</v>
      </c>
      <c r="F35" s="19" t="str">
        <f>$C$31&amp;"r"&amp;$C$2&amp;"c28"</f>
        <v>'Quarter Final Consumption'!r113c28</v>
      </c>
      <c r="G35" s="19" t="str">
        <f>$C$31&amp;"r"&amp;$C$2&amp;"c29"</f>
        <v>'Quarter Final Consumption'!r113c29</v>
      </c>
      <c r="H35" s="19" t="str">
        <f>$C$31&amp;"r"&amp;$C$2&amp;"c30"</f>
        <v>'Quarter Final Consumption'!r113c30</v>
      </c>
      <c r="J35" s="19" t="str">
        <f>$C$31&amp;"r"&amp;$C$2&amp;"c31"</f>
        <v>'Quarter Final Consumption'!r113c31</v>
      </c>
      <c r="M35" s="28" t="s">
        <v>50</v>
      </c>
      <c r="N35" s="19">
        <f t="shared" si="0"/>
        <v>26</v>
      </c>
      <c r="O35" s="19" t="str">
        <f>$O$31&amp;"r"&amp;$O$2&amp;"c27"</f>
        <v>'Quarter Final Consumption'!r117c27</v>
      </c>
      <c r="R35" s="19" t="str">
        <f>$O$31&amp;"r"&amp;$O$2&amp;"c28"</f>
        <v>'Quarter Final Consumption'!r117c28</v>
      </c>
      <c r="S35" s="19" t="str">
        <f>$O$31&amp;"r"&amp;$O$2&amp;"c29"</f>
        <v>'Quarter Final Consumption'!r117c29</v>
      </c>
      <c r="T35" s="19" t="str">
        <f>$O$31&amp;"r"&amp;$O$2&amp;"c30"</f>
        <v>'Quarter Final Consumption'!r117c30</v>
      </c>
      <c r="V35" s="19" t="str">
        <f>$O$31&amp;"r"&amp;$O$2&amp;"c31"</f>
        <v>'Quarter Final Consumption'!r117c31</v>
      </c>
    </row>
    <row r="36" spans="1:23" x14ac:dyDescent="0.25">
      <c r="A36" s="28" t="s">
        <v>51</v>
      </c>
      <c r="B36" s="19">
        <v>32</v>
      </c>
      <c r="C36" s="19" t="str">
        <f>$C$31&amp;"r"&amp;$C$2&amp;"c33"</f>
        <v>'Quarter Final Consumption'!r113c33</v>
      </c>
      <c r="D36" s="19" t="str">
        <f>$C$31&amp;"r"&amp;$C$2&amp;"c34"</f>
        <v>'Quarter Final Consumption'!r113c34</v>
      </c>
      <c r="F36" s="19" t="str">
        <f>$C$31&amp;"r"&amp;$C$2&amp;"c35"</f>
        <v>'Quarter Final Consumption'!r113c35</v>
      </c>
      <c r="G36" s="19" t="str">
        <f>$C$31&amp;"r"&amp;$C$2&amp;"c36"</f>
        <v>'Quarter Final Consumption'!r113c36</v>
      </c>
      <c r="H36" s="19" t="str">
        <f>$C$31&amp;"r"&amp;$C$2&amp;"c37"</f>
        <v>'Quarter Final Consumption'!r113c37</v>
      </c>
      <c r="J36" s="19" t="str">
        <f>$C$31&amp;"r"&amp;$C$2&amp;"c38"</f>
        <v>'Quarter Final Consumption'!r113c38</v>
      </c>
      <c r="K36" s="19" t="str">
        <f>$C$31&amp;"r"&amp;$C$2&amp;"c39"</f>
        <v>'Quarter Final Consumption'!r113c39</v>
      </c>
      <c r="M36" s="28" t="s">
        <v>51</v>
      </c>
      <c r="N36" s="19">
        <f t="shared" si="0"/>
        <v>32</v>
      </c>
      <c r="O36" s="19" t="str">
        <f>$O$31&amp;"r"&amp;$O$2&amp;"c33"</f>
        <v>'Quarter Final Consumption'!r117c33</v>
      </c>
      <c r="P36" s="19" t="str">
        <f>$O$31&amp;"r"&amp;$O$2&amp;"c34"</f>
        <v>'Quarter Final Consumption'!r117c34</v>
      </c>
      <c r="R36" s="19" t="str">
        <f>$O$31&amp;"r"&amp;$O$2&amp;"c35"</f>
        <v>'Quarter Final Consumption'!r117c35</v>
      </c>
      <c r="S36" s="19" t="str">
        <f>$O$31&amp;"r"&amp;$O$2&amp;"c36"</f>
        <v>'Quarter Final Consumption'!r117c36</v>
      </c>
      <c r="T36" s="19" t="str">
        <f>$O$31&amp;"r"&amp;$O$2&amp;"c37"</f>
        <v>'Quarter Final Consumption'!r117c37</v>
      </c>
      <c r="V36" s="19" t="str">
        <f>$O$31&amp;"r"&amp;$O$2&amp;"c38"</f>
        <v>'Quarter Final Consumption'!r117c38</v>
      </c>
      <c r="W36" s="19" t="str">
        <f>$O$31&amp;"r"&amp;$O$2&amp;"c39"</f>
        <v>'Quarter Final Consumption'!r117c39</v>
      </c>
    </row>
    <row r="37" spans="1:23" x14ac:dyDescent="0.25">
      <c r="A37" s="28" t="s">
        <v>61</v>
      </c>
      <c r="B37" s="19">
        <v>40</v>
      </c>
      <c r="C37" s="19" t="str">
        <f>$C$31&amp;"r"&amp;$C$2&amp;"c41"</f>
        <v>'Quarter Final Consumption'!r113c41</v>
      </c>
      <c r="D37" s="19" t="str">
        <f>$C$31&amp;"r"&amp;$C$2&amp;"c42"</f>
        <v>'Quarter Final Consumption'!r113c42</v>
      </c>
      <c r="F37" s="19" t="str">
        <f>$C$31&amp;"r"&amp;$C$2&amp;"c43"</f>
        <v>'Quarter Final Consumption'!r113c43</v>
      </c>
      <c r="G37" s="19" t="str">
        <f>$C$31&amp;"r"&amp;$C$2&amp;"c44"</f>
        <v>'Quarter Final Consumption'!r113c44</v>
      </c>
      <c r="H37" s="19" t="str">
        <f>$C$31&amp;"r"&amp;$C$2&amp;"c45"</f>
        <v>'Quarter Final Consumption'!r113c45</v>
      </c>
      <c r="J37" s="19" t="str">
        <f>$C$31&amp;"r"&amp;$C$2&amp;"c46"</f>
        <v>'Quarter Final Consumption'!r113c46</v>
      </c>
      <c r="K37" s="19" t="str">
        <f>$C$31&amp;"r"&amp;$C$2&amp;"c47"</f>
        <v>'Quarter Final Consumption'!r113c47</v>
      </c>
      <c r="M37" s="28" t="s">
        <v>61</v>
      </c>
      <c r="N37" s="19">
        <f t="shared" si="0"/>
        <v>40</v>
      </c>
      <c r="O37" s="19" t="str">
        <f>$O$31&amp;"r"&amp;$O$2&amp;"c41"</f>
        <v>'Quarter Final Consumption'!r117c41</v>
      </c>
      <c r="P37" s="19" t="str">
        <f>$O$31&amp;"r"&amp;$O$2&amp;"c42"</f>
        <v>'Quarter Final Consumption'!r117c42</v>
      </c>
      <c r="R37" s="19" t="str">
        <f>$O$31&amp;"r"&amp;$O$2&amp;"c43"</f>
        <v>'Quarter Final Consumption'!r117c43</v>
      </c>
      <c r="S37" s="19" t="str">
        <f>$O$31&amp;"r"&amp;$O$2&amp;"c44"</f>
        <v>'Quarter Final Consumption'!r117c44</v>
      </c>
      <c r="T37" s="19" t="str">
        <f>$O$31&amp;"r"&amp;$O$2&amp;"c45"</f>
        <v>'Quarter Final Consumption'!r117c45</v>
      </c>
      <c r="V37" s="19" t="str">
        <f>$O$31&amp;"r"&amp;$O$2&amp;"c46"</f>
        <v>'Quarter Final Consumption'!r117c46</v>
      </c>
      <c r="W37" s="19" t="str">
        <f>$O$31&amp;"r"&amp;$O$2&amp;"c47"</f>
        <v>'Quarter Final Consumption'!r117c47</v>
      </c>
    </row>
    <row r="38" spans="1:23" x14ac:dyDescent="0.25">
      <c r="A38" s="28" t="s">
        <v>52</v>
      </c>
      <c r="B38" s="19">
        <v>80</v>
      </c>
      <c r="D38" s="19" t="str">
        <f>$C$31&amp;"r"&amp;$C$2&amp;"c81"</f>
        <v>'Quarter Final Consumption'!r113c81</v>
      </c>
      <c r="F38" s="19" t="str">
        <f>$C$31&amp;"r"&amp;$C$2&amp;"c82"</f>
        <v>'Quarter Final Consumption'!r113c82</v>
      </c>
      <c r="G38" s="19" t="str">
        <f>$C$31&amp;"r"&amp;$C$2&amp;"c83"</f>
        <v>'Quarter Final Consumption'!r113c83</v>
      </c>
      <c r="M38" s="36" t="s">
        <v>52</v>
      </c>
      <c r="N38" s="19">
        <f t="shared" si="0"/>
        <v>80</v>
      </c>
      <c r="P38" s="19" t="str">
        <f>$O$31&amp;"r"&amp;$O$2&amp;"c81"</f>
        <v>'Quarter Final Consumption'!r117c81</v>
      </c>
      <c r="R38" s="19" t="str">
        <f>$O$31&amp;"r"&amp;$O$2&amp;"c82"</f>
        <v>'Quarter Final Consumption'!r117c82</v>
      </c>
      <c r="S38" s="19" t="str">
        <f>$O$31&amp;"r"&amp;$O$2&amp;"c83"</f>
        <v>'Quarter Final Consumption'!r117c83</v>
      </c>
    </row>
  </sheetData>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58F4-67FA-4AF5-A819-F316463C3B7B}">
  <dimension ref="A1:B21"/>
  <sheetViews>
    <sheetView showGridLines="0" zoomScaleNormal="100" zoomScaleSheetLayoutView="100" workbookViewId="0"/>
  </sheetViews>
  <sheetFormatPr defaultColWidth="9.1796875" defaultRowHeight="15" customHeight="1" x14ac:dyDescent="0.25"/>
  <cols>
    <col min="1" max="1" width="119.26953125" style="12" bestFit="1" customWidth="1"/>
    <col min="2" max="2" width="39.726562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130</v>
      </c>
      <c r="B9" s="9" t="s">
        <v>434</v>
      </c>
    </row>
    <row r="10" spans="1:2" ht="20.25" customHeight="1" x14ac:dyDescent="0.25">
      <c r="A10" s="3" t="s">
        <v>436</v>
      </c>
      <c r="B10" s="9" t="s">
        <v>480</v>
      </c>
    </row>
    <row r="11" spans="1:2" ht="20.25" customHeight="1" x14ac:dyDescent="0.25">
      <c r="A11" s="3" t="s">
        <v>131</v>
      </c>
      <c r="B11" s="9" t="s">
        <v>481</v>
      </c>
    </row>
    <row r="12" spans="1:2" ht="20.25" customHeight="1" x14ac:dyDescent="0.25">
      <c r="A12" s="3" t="s">
        <v>132</v>
      </c>
      <c r="B12" s="9" t="s">
        <v>465</v>
      </c>
    </row>
    <row r="13" spans="1:2" ht="20.25" customHeight="1" x14ac:dyDescent="0.25">
      <c r="A13" s="3" t="s">
        <v>133</v>
      </c>
      <c r="B13" s="9" t="s">
        <v>266</v>
      </c>
    </row>
    <row r="14" spans="1:2" ht="20.25" customHeight="1" x14ac:dyDescent="0.25">
      <c r="A14" s="3" t="s">
        <v>134</v>
      </c>
      <c r="B14" s="9" t="s">
        <v>267</v>
      </c>
    </row>
    <row r="15" spans="1:2" ht="20.25" customHeight="1" x14ac:dyDescent="0.25">
      <c r="A15" s="3" t="s">
        <v>135</v>
      </c>
      <c r="B15" s="9" t="s">
        <v>268</v>
      </c>
    </row>
    <row r="16" spans="1:2" ht="20.25" customHeight="1" x14ac:dyDescent="0.25">
      <c r="A16" s="3" t="s">
        <v>136</v>
      </c>
      <c r="B16" s="9" t="s">
        <v>269</v>
      </c>
    </row>
    <row r="17" spans="1:2" ht="20.25" customHeight="1" x14ac:dyDescent="0.25">
      <c r="A17" s="3" t="s">
        <v>137</v>
      </c>
      <c r="B17" s="9" t="s">
        <v>270</v>
      </c>
    </row>
    <row r="18" spans="1:2" ht="20.25" customHeight="1" x14ac:dyDescent="0.25">
      <c r="A18" s="3" t="s">
        <v>437</v>
      </c>
      <c r="B18" s="9" t="s">
        <v>438</v>
      </c>
    </row>
    <row r="19" spans="1:2" ht="20.25" customHeight="1" x14ac:dyDescent="0.25">
      <c r="A19" s="3" t="s">
        <v>138</v>
      </c>
      <c r="B19" s="9" t="s">
        <v>439</v>
      </c>
    </row>
    <row r="20" spans="1:2" ht="20.25" customHeight="1" x14ac:dyDescent="0.25">
      <c r="A20" s="3" t="s">
        <v>139</v>
      </c>
      <c r="B20" s="9" t="s">
        <v>141</v>
      </c>
    </row>
    <row r="21" spans="1:2" ht="20.25" customHeight="1" x14ac:dyDescent="0.25">
      <c r="A21" s="3" t="s">
        <v>140</v>
      </c>
      <c r="B21" s="9" t="s">
        <v>142</v>
      </c>
    </row>
  </sheetData>
  <hyperlinks>
    <hyperlink ref="B5" location="'Cover Sheet'!A1" display="Cover Sheet" xr:uid="{2A7E7B63-39B0-434E-824B-8A401A7FB679}"/>
    <hyperlink ref="B6" location="Contents!A1" display="Contents " xr:uid="{26EF3433-734D-47CD-85D8-2005316F11CC}"/>
    <hyperlink ref="B8" location="Commentary!A1" display="Commentary" xr:uid="{ACDF4DFE-4FE0-4545-8676-210F2BBABD52}"/>
    <hyperlink ref="B14" location="'Quarter supply and use of fuels'!A1" display="Quarter supply and use of fuels" xr:uid="{EF1C845B-BC7F-4CF4-A78B-07ECAB41C89C}"/>
    <hyperlink ref="B9" location="'Table 1.3a'!A1" display="Table 1.3a" xr:uid="{A7EE4D98-6095-4E92-8A5B-71421237C7B8}"/>
    <hyperlink ref="B7" location="Notes!A1" display="Notes" xr:uid="{1C511084-EC22-4F45-B2F2-582E39630D1F}"/>
    <hyperlink ref="B10" location="'Table 1.3b quarterly by fuel'!A1" display="Table 1.3b quarterly by fuel" xr:uid="{25E9503F-6E25-4090-8BC1-25B69FD0A4E6}"/>
    <hyperlink ref="B11" location="'Table 1.3b annual by fuel'!A1" display="Table 1.3b annual by fuel" xr:uid="{9F4383D9-9197-4E24-9F36-93D1035C8AB3}"/>
    <hyperlink ref="B12" location="'Table 1.3c'!A1" display="Table 1.3c" xr:uid="{1AF93CCA-4E31-43FB-88C4-7C9559777E20}"/>
    <hyperlink ref="B13" location="'Annual supply and use of fuels'!A1" display="Annual supply and use of fuels" xr:uid="{07EF5F09-2D35-46B8-A199-E1FEE110EF99}"/>
    <hyperlink ref="B15" location="'Quarter supply'!A1" display="Quarter supply" xr:uid="{0F94CF23-48C9-463E-97AC-37078C8D3777}"/>
    <hyperlink ref="B16" location="'Quarter demand'!A1" display="Quarter demand" xr:uid="{3394FA4F-0DD3-4E93-BFB0-1BEC5EE3D23F}"/>
    <hyperlink ref="B17" location="'Quarter final consumption'!A1" display="Quarter final consumption" xr:uid="{4D3A8F85-CDC0-461A-ACEC-61E2ADEE5144}"/>
    <hyperlink ref="B19" location="'Quarter dependency &amp; low carbon'!A1" display="Quarter dependency and low carbon share" xr:uid="{CABB49A5-FE06-4C9A-8BB8-5CE8C449CE0E}"/>
    <hyperlink ref="B20" location="'Annual SeasTempAdj'!A1" display="Annual SeasTempAdj" xr:uid="{517205F4-AE65-42BD-A39D-C7077D082403}"/>
    <hyperlink ref="B21" location="'Quarter SeasTempAdj'!A1" display="Quarter SeasTempAdj" xr:uid="{5E0A50F5-D230-4430-8763-0EC488BA80B8}"/>
    <hyperlink ref="B18" location="'Annual dependency &amp; low carbon'!A1" display="Annual dependency and low carbon share" xr:uid="{DC43A26A-9F98-4141-BE02-9D3CC3A1B997}"/>
  </hyperlinks>
  <pageMargins left="0.7" right="0.7" top="0.75" bottom="0.75" header="0.3" footer="0.3"/>
  <pageSetup paperSize="9" scale="46" orientation="portrait" verticalDpi="4"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130F-051A-4911-8523-32A64CF673A3}">
  <dimension ref="A1:N48"/>
  <sheetViews>
    <sheetView zoomScale="50" zoomScaleNormal="50" workbookViewId="0">
      <selection activeCell="G8" sqref="G8"/>
    </sheetView>
  </sheetViews>
  <sheetFormatPr defaultRowHeight="12.5" x14ac:dyDescent="0.25"/>
  <cols>
    <col min="1" max="1" width="73.453125" style="19" customWidth="1"/>
    <col min="2" max="2" width="8.7265625" style="19"/>
    <col min="3" max="4" width="26.81640625" style="19" bestFit="1" customWidth="1"/>
    <col min="5" max="5" width="10.1796875" style="19" customWidth="1"/>
    <col min="6" max="6" width="27.453125" style="19" bestFit="1" customWidth="1"/>
    <col min="7" max="7" width="27.1796875" style="19" bestFit="1" customWidth="1"/>
    <col min="8" max="8" width="27.453125" style="19" bestFit="1" customWidth="1"/>
    <col min="9" max="9" width="27.1796875" style="19" bestFit="1" customWidth="1"/>
    <col min="10" max="11" width="27.453125" style="19" bestFit="1" customWidth="1"/>
    <col min="12" max="12" width="27.54296875" style="19" bestFit="1" customWidth="1"/>
    <col min="13" max="13" width="27.1796875" style="19" bestFit="1" customWidth="1"/>
    <col min="14" max="14" width="27.54296875" style="19" bestFit="1" customWidth="1"/>
    <col min="15" max="256" width="8.7265625" style="19"/>
    <col min="257" max="257" width="73.453125" style="19" customWidth="1"/>
    <col min="258" max="258" width="8.7265625" style="19"/>
    <col min="259" max="260" width="26.81640625" style="19" bestFit="1" customWidth="1"/>
    <col min="261" max="261" width="10.1796875" style="19" customWidth="1"/>
    <col min="262" max="262" width="27.453125" style="19" bestFit="1" customWidth="1"/>
    <col min="263" max="263" width="27.1796875" style="19" bestFit="1" customWidth="1"/>
    <col min="264" max="264" width="27.453125" style="19" bestFit="1" customWidth="1"/>
    <col min="265" max="265" width="27.1796875" style="19" bestFit="1" customWidth="1"/>
    <col min="266" max="267" width="27.453125" style="19" bestFit="1" customWidth="1"/>
    <col min="268" max="268" width="27.54296875" style="19" bestFit="1" customWidth="1"/>
    <col min="269" max="269" width="27.1796875" style="19" bestFit="1" customWidth="1"/>
    <col min="270" max="270" width="27.54296875" style="19" bestFit="1" customWidth="1"/>
    <col min="271" max="512" width="8.7265625" style="19"/>
    <col min="513" max="513" width="73.453125" style="19" customWidth="1"/>
    <col min="514" max="514" width="8.7265625" style="19"/>
    <col min="515" max="516" width="26.81640625" style="19" bestFit="1" customWidth="1"/>
    <col min="517" max="517" width="10.1796875" style="19" customWidth="1"/>
    <col min="518" max="518" width="27.453125" style="19" bestFit="1" customWidth="1"/>
    <col min="519" max="519" width="27.1796875" style="19" bestFit="1" customWidth="1"/>
    <col min="520" max="520" width="27.453125" style="19" bestFit="1" customWidth="1"/>
    <col min="521" max="521" width="27.1796875" style="19" bestFit="1" customWidth="1"/>
    <col min="522" max="523" width="27.453125" style="19" bestFit="1" customWidth="1"/>
    <col min="524" max="524" width="27.54296875" style="19" bestFit="1" customWidth="1"/>
    <col min="525" max="525" width="27.1796875" style="19" bestFit="1" customWidth="1"/>
    <col min="526" max="526" width="27.54296875" style="19" bestFit="1" customWidth="1"/>
    <col min="527" max="768" width="8.7265625" style="19"/>
    <col min="769" max="769" width="73.453125" style="19" customWidth="1"/>
    <col min="770" max="770" width="8.7265625" style="19"/>
    <col min="771" max="772" width="26.81640625" style="19" bestFit="1" customWidth="1"/>
    <col min="773" max="773" width="10.1796875" style="19" customWidth="1"/>
    <col min="774" max="774" width="27.453125" style="19" bestFit="1" customWidth="1"/>
    <col min="775" max="775" width="27.1796875" style="19" bestFit="1" customWidth="1"/>
    <col min="776" max="776" width="27.453125" style="19" bestFit="1" customWidth="1"/>
    <col min="777" max="777" width="27.1796875" style="19" bestFit="1" customWidth="1"/>
    <col min="778" max="779" width="27.453125" style="19" bestFit="1" customWidth="1"/>
    <col min="780" max="780" width="27.54296875" style="19" bestFit="1" customWidth="1"/>
    <col min="781" max="781" width="27.1796875" style="19" bestFit="1" customWidth="1"/>
    <col min="782" max="782" width="27.54296875" style="19" bestFit="1" customWidth="1"/>
    <col min="783" max="1024" width="8.7265625" style="19"/>
    <col min="1025" max="1025" width="73.453125" style="19" customWidth="1"/>
    <col min="1026" max="1026" width="8.7265625" style="19"/>
    <col min="1027" max="1028" width="26.81640625" style="19" bestFit="1" customWidth="1"/>
    <col min="1029" max="1029" width="10.1796875" style="19" customWidth="1"/>
    <col min="1030" max="1030" width="27.453125" style="19" bestFit="1" customWidth="1"/>
    <col min="1031" max="1031" width="27.1796875" style="19" bestFit="1" customWidth="1"/>
    <col min="1032" max="1032" width="27.453125" style="19" bestFit="1" customWidth="1"/>
    <col min="1033" max="1033" width="27.1796875" style="19" bestFit="1" customWidth="1"/>
    <col min="1034" max="1035" width="27.453125" style="19" bestFit="1" customWidth="1"/>
    <col min="1036" max="1036" width="27.54296875" style="19" bestFit="1" customWidth="1"/>
    <col min="1037" max="1037" width="27.1796875" style="19" bestFit="1" customWidth="1"/>
    <col min="1038" max="1038" width="27.54296875" style="19" bestFit="1" customWidth="1"/>
    <col min="1039" max="1280" width="8.7265625" style="19"/>
    <col min="1281" max="1281" width="73.453125" style="19" customWidth="1"/>
    <col min="1282" max="1282" width="8.7265625" style="19"/>
    <col min="1283" max="1284" width="26.81640625" style="19" bestFit="1" customWidth="1"/>
    <col min="1285" max="1285" width="10.1796875" style="19" customWidth="1"/>
    <col min="1286" max="1286" width="27.453125" style="19" bestFit="1" customWidth="1"/>
    <col min="1287" max="1287" width="27.1796875" style="19" bestFit="1" customWidth="1"/>
    <col min="1288" max="1288" width="27.453125" style="19" bestFit="1" customWidth="1"/>
    <col min="1289" max="1289" width="27.1796875" style="19" bestFit="1" customWidth="1"/>
    <col min="1290" max="1291" width="27.453125" style="19" bestFit="1" customWidth="1"/>
    <col min="1292" max="1292" width="27.54296875" style="19" bestFit="1" customWidth="1"/>
    <col min="1293" max="1293" width="27.1796875" style="19" bestFit="1" customWidth="1"/>
    <col min="1294" max="1294" width="27.54296875" style="19" bestFit="1" customWidth="1"/>
    <col min="1295" max="1536" width="8.7265625" style="19"/>
    <col min="1537" max="1537" width="73.453125" style="19" customWidth="1"/>
    <col min="1538" max="1538" width="8.7265625" style="19"/>
    <col min="1539" max="1540" width="26.81640625" style="19" bestFit="1" customWidth="1"/>
    <col min="1541" max="1541" width="10.1796875" style="19" customWidth="1"/>
    <col min="1542" max="1542" width="27.453125" style="19" bestFit="1" customWidth="1"/>
    <col min="1543" max="1543" width="27.1796875" style="19" bestFit="1" customWidth="1"/>
    <col min="1544" max="1544" width="27.453125" style="19" bestFit="1" customWidth="1"/>
    <col min="1545" max="1545" width="27.1796875" style="19" bestFit="1" customWidth="1"/>
    <col min="1546" max="1547" width="27.453125" style="19" bestFit="1" customWidth="1"/>
    <col min="1548" max="1548" width="27.54296875" style="19" bestFit="1" customWidth="1"/>
    <col min="1549" max="1549" width="27.1796875" style="19" bestFit="1" customWidth="1"/>
    <col min="1550" max="1550" width="27.54296875" style="19" bestFit="1" customWidth="1"/>
    <col min="1551" max="1792" width="8.7265625" style="19"/>
    <col min="1793" max="1793" width="73.453125" style="19" customWidth="1"/>
    <col min="1794" max="1794" width="8.7265625" style="19"/>
    <col min="1795" max="1796" width="26.81640625" style="19" bestFit="1" customWidth="1"/>
    <col min="1797" max="1797" width="10.1796875" style="19" customWidth="1"/>
    <col min="1798" max="1798" width="27.453125" style="19" bestFit="1" customWidth="1"/>
    <col min="1799" max="1799" width="27.1796875" style="19" bestFit="1" customWidth="1"/>
    <col min="1800" max="1800" width="27.453125" style="19" bestFit="1" customWidth="1"/>
    <col min="1801" max="1801" width="27.1796875" style="19" bestFit="1" customWidth="1"/>
    <col min="1802" max="1803" width="27.453125" style="19" bestFit="1" customWidth="1"/>
    <col min="1804" max="1804" width="27.54296875" style="19" bestFit="1" customWidth="1"/>
    <col min="1805" max="1805" width="27.1796875" style="19" bestFit="1" customWidth="1"/>
    <col min="1806" max="1806" width="27.54296875" style="19" bestFit="1" customWidth="1"/>
    <col min="1807" max="2048" width="8.7265625" style="19"/>
    <col min="2049" max="2049" width="73.453125" style="19" customWidth="1"/>
    <col min="2050" max="2050" width="8.7265625" style="19"/>
    <col min="2051" max="2052" width="26.81640625" style="19" bestFit="1" customWidth="1"/>
    <col min="2053" max="2053" width="10.1796875" style="19" customWidth="1"/>
    <col min="2054" max="2054" width="27.453125" style="19" bestFit="1" customWidth="1"/>
    <col min="2055" max="2055" width="27.1796875" style="19" bestFit="1" customWidth="1"/>
    <col min="2056" max="2056" width="27.453125" style="19" bestFit="1" customWidth="1"/>
    <col min="2057" max="2057" width="27.1796875" style="19" bestFit="1" customWidth="1"/>
    <col min="2058" max="2059" width="27.453125" style="19" bestFit="1" customWidth="1"/>
    <col min="2060" max="2060" width="27.54296875" style="19" bestFit="1" customWidth="1"/>
    <col min="2061" max="2061" width="27.1796875" style="19" bestFit="1" customWidth="1"/>
    <col min="2062" max="2062" width="27.54296875" style="19" bestFit="1" customWidth="1"/>
    <col min="2063" max="2304" width="8.7265625" style="19"/>
    <col min="2305" max="2305" width="73.453125" style="19" customWidth="1"/>
    <col min="2306" max="2306" width="8.7265625" style="19"/>
    <col min="2307" max="2308" width="26.81640625" style="19" bestFit="1" customWidth="1"/>
    <col min="2309" max="2309" width="10.1796875" style="19" customWidth="1"/>
    <col min="2310" max="2310" width="27.453125" style="19" bestFit="1" customWidth="1"/>
    <col min="2311" max="2311" width="27.1796875" style="19" bestFit="1" customWidth="1"/>
    <col min="2312" max="2312" width="27.453125" style="19" bestFit="1" customWidth="1"/>
    <col min="2313" max="2313" width="27.1796875" style="19" bestFit="1" customWidth="1"/>
    <col min="2314" max="2315" width="27.453125" style="19" bestFit="1" customWidth="1"/>
    <col min="2316" max="2316" width="27.54296875" style="19" bestFit="1" customWidth="1"/>
    <col min="2317" max="2317" width="27.1796875" style="19" bestFit="1" customWidth="1"/>
    <col min="2318" max="2318" width="27.54296875" style="19" bestFit="1" customWidth="1"/>
    <col min="2319" max="2560" width="8.7265625" style="19"/>
    <col min="2561" max="2561" width="73.453125" style="19" customWidth="1"/>
    <col min="2562" max="2562" width="8.7265625" style="19"/>
    <col min="2563" max="2564" width="26.81640625" style="19" bestFit="1" customWidth="1"/>
    <col min="2565" max="2565" width="10.1796875" style="19" customWidth="1"/>
    <col min="2566" max="2566" width="27.453125" style="19" bestFit="1" customWidth="1"/>
    <col min="2567" max="2567" width="27.1796875" style="19" bestFit="1" customWidth="1"/>
    <col min="2568" max="2568" width="27.453125" style="19" bestFit="1" customWidth="1"/>
    <col min="2569" max="2569" width="27.1796875" style="19" bestFit="1" customWidth="1"/>
    <col min="2570" max="2571" width="27.453125" style="19" bestFit="1" customWidth="1"/>
    <col min="2572" max="2572" width="27.54296875" style="19" bestFit="1" customWidth="1"/>
    <col min="2573" max="2573" width="27.1796875" style="19" bestFit="1" customWidth="1"/>
    <col min="2574" max="2574" width="27.54296875" style="19" bestFit="1" customWidth="1"/>
    <col min="2575" max="2816" width="8.7265625" style="19"/>
    <col min="2817" max="2817" width="73.453125" style="19" customWidth="1"/>
    <col min="2818" max="2818" width="8.7265625" style="19"/>
    <col min="2819" max="2820" width="26.81640625" style="19" bestFit="1" customWidth="1"/>
    <col min="2821" max="2821" width="10.1796875" style="19" customWidth="1"/>
    <col min="2822" max="2822" width="27.453125" style="19" bestFit="1" customWidth="1"/>
    <col min="2823" max="2823" width="27.1796875" style="19" bestFit="1" customWidth="1"/>
    <col min="2824" max="2824" width="27.453125" style="19" bestFit="1" customWidth="1"/>
    <col min="2825" max="2825" width="27.1796875" style="19" bestFit="1" customWidth="1"/>
    <col min="2826" max="2827" width="27.453125" style="19" bestFit="1" customWidth="1"/>
    <col min="2828" max="2828" width="27.54296875" style="19" bestFit="1" customWidth="1"/>
    <col min="2829" max="2829" width="27.1796875" style="19" bestFit="1" customWidth="1"/>
    <col min="2830" max="2830" width="27.54296875" style="19" bestFit="1" customWidth="1"/>
    <col min="2831" max="3072" width="8.7265625" style="19"/>
    <col min="3073" max="3073" width="73.453125" style="19" customWidth="1"/>
    <col min="3074" max="3074" width="8.7265625" style="19"/>
    <col min="3075" max="3076" width="26.81640625" style="19" bestFit="1" customWidth="1"/>
    <col min="3077" max="3077" width="10.1796875" style="19" customWidth="1"/>
    <col min="3078" max="3078" width="27.453125" style="19" bestFit="1" customWidth="1"/>
    <col min="3079" max="3079" width="27.1796875" style="19" bestFit="1" customWidth="1"/>
    <col min="3080" max="3080" width="27.453125" style="19" bestFit="1" customWidth="1"/>
    <col min="3081" max="3081" width="27.1796875" style="19" bestFit="1" customWidth="1"/>
    <col min="3082" max="3083" width="27.453125" style="19" bestFit="1" customWidth="1"/>
    <col min="3084" max="3084" width="27.54296875" style="19" bestFit="1" customWidth="1"/>
    <col min="3085" max="3085" width="27.1796875" style="19" bestFit="1" customWidth="1"/>
    <col min="3086" max="3086" width="27.54296875" style="19" bestFit="1" customWidth="1"/>
    <col min="3087" max="3328" width="8.7265625" style="19"/>
    <col min="3329" max="3329" width="73.453125" style="19" customWidth="1"/>
    <col min="3330" max="3330" width="8.7265625" style="19"/>
    <col min="3331" max="3332" width="26.81640625" style="19" bestFit="1" customWidth="1"/>
    <col min="3333" max="3333" width="10.1796875" style="19" customWidth="1"/>
    <col min="3334" max="3334" width="27.453125" style="19" bestFit="1" customWidth="1"/>
    <col min="3335" max="3335" width="27.1796875" style="19" bestFit="1" customWidth="1"/>
    <col min="3336" max="3336" width="27.453125" style="19" bestFit="1" customWidth="1"/>
    <col min="3337" max="3337" width="27.1796875" style="19" bestFit="1" customWidth="1"/>
    <col min="3338" max="3339" width="27.453125" style="19" bestFit="1" customWidth="1"/>
    <col min="3340" max="3340" width="27.54296875" style="19" bestFit="1" customWidth="1"/>
    <col min="3341" max="3341" width="27.1796875" style="19" bestFit="1" customWidth="1"/>
    <col min="3342" max="3342" width="27.54296875" style="19" bestFit="1" customWidth="1"/>
    <col min="3343" max="3584" width="8.7265625" style="19"/>
    <col min="3585" max="3585" width="73.453125" style="19" customWidth="1"/>
    <col min="3586" max="3586" width="8.7265625" style="19"/>
    <col min="3587" max="3588" width="26.81640625" style="19" bestFit="1" customWidth="1"/>
    <col min="3589" max="3589" width="10.1796875" style="19" customWidth="1"/>
    <col min="3590" max="3590" width="27.453125" style="19" bestFit="1" customWidth="1"/>
    <col min="3591" max="3591" width="27.1796875" style="19" bestFit="1" customWidth="1"/>
    <col min="3592" max="3592" width="27.453125" style="19" bestFit="1" customWidth="1"/>
    <col min="3593" max="3593" width="27.1796875" style="19" bestFit="1" customWidth="1"/>
    <col min="3594" max="3595" width="27.453125" style="19" bestFit="1" customWidth="1"/>
    <col min="3596" max="3596" width="27.54296875" style="19" bestFit="1" customWidth="1"/>
    <col min="3597" max="3597" width="27.1796875" style="19" bestFit="1" customWidth="1"/>
    <col min="3598" max="3598" width="27.54296875" style="19" bestFit="1" customWidth="1"/>
    <col min="3599" max="3840" width="8.7265625" style="19"/>
    <col min="3841" max="3841" width="73.453125" style="19" customWidth="1"/>
    <col min="3842" max="3842" width="8.7265625" style="19"/>
    <col min="3843" max="3844" width="26.81640625" style="19" bestFit="1" customWidth="1"/>
    <col min="3845" max="3845" width="10.1796875" style="19" customWidth="1"/>
    <col min="3846" max="3846" width="27.453125" style="19" bestFit="1" customWidth="1"/>
    <col min="3847" max="3847" width="27.1796875" style="19" bestFit="1" customWidth="1"/>
    <col min="3848" max="3848" width="27.453125" style="19" bestFit="1" customWidth="1"/>
    <col min="3849" max="3849" width="27.1796875" style="19" bestFit="1" customWidth="1"/>
    <col min="3850" max="3851" width="27.453125" style="19" bestFit="1" customWidth="1"/>
    <col min="3852" max="3852" width="27.54296875" style="19" bestFit="1" customWidth="1"/>
    <col min="3853" max="3853" width="27.1796875" style="19" bestFit="1" customWidth="1"/>
    <col min="3854" max="3854" width="27.54296875" style="19" bestFit="1" customWidth="1"/>
    <col min="3855" max="4096" width="8.7265625" style="19"/>
    <col min="4097" max="4097" width="73.453125" style="19" customWidth="1"/>
    <col min="4098" max="4098" width="8.7265625" style="19"/>
    <col min="4099" max="4100" width="26.81640625" style="19" bestFit="1" customWidth="1"/>
    <col min="4101" max="4101" width="10.1796875" style="19" customWidth="1"/>
    <col min="4102" max="4102" width="27.453125" style="19" bestFit="1" customWidth="1"/>
    <col min="4103" max="4103" width="27.1796875" style="19" bestFit="1" customWidth="1"/>
    <col min="4104" max="4104" width="27.453125" style="19" bestFit="1" customWidth="1"/>
    <col min="4105" max="4105" width="27.1796875" style="19" bestFit="1" customWidth="1"/>
    <col min="4106" max="4107" width="27.453125" style="19" bestFit="1" customWidth="1"/>
    <col min="4108" max="4108" width="27.54296875" style="19" bestFit="1" customWidth="1"/>
    <col min="4109" max="4109" width="27.1796875" style="19" bestFit="1" customWidth="1"/>
    <col min="4110" max="4110" width="27.54296875" style="19" bestFit="1" customWidth="1"/>
    <col min="4111" max="4352" width="8.7265625" style="19"/>
    <col min="4353" max="4353" width="73.453125" style="19" customWidth="1"/>
    <col min="4354" max="4354" width="8.7265625" style="19"/>
    <col min="4355" max="4356" width="26.81640625" style="19" bestFit="1" customWidth="1"/>
    <col min="4357" max="4357" width="10.1796875" style="19" customWidth="1"/>
    <col min="4358" max="4358" width="27.453125" style="19" bestFit="1" customWidth="1"/>
    <col min="4359" max="4359" width="27.1796875" style="19" bestFit="1" customWidth="1"/>
    <col min="4360" max="4360" width="27.453125" style="19" bestFit="1" customWidth="1"/>
    <col min="4361" max="4361" width="27.1796875" style="19" bestFit="1" customWidth="1"/>
    <col min="4362" max="4363" width="27.453125" style="19" bestFit="1" customWidth="1"/>
    <col min="4364" max="4364" width="27.54296875" style="19" bestFit="1" customWidth="1"/>
    <col min="4365" max="4365" width="27.1796875" style="19" bestFit="1" customWidth="1"/>
    <col min="4366" max="4366" width="27.54296875" style="19" bestFit="1" customWidth="1"/>
    <col min="4367" max="4608" width="8.7265625" style="19"/>
    <col min="4609" max="4609" width="73.453125" style="19" customWidth="1"/>
    <col min="4610" max="4610" width="8.7265625" style="19"/>
    <col min="4611" max="4612" width="26.81640625" style="19" bestFit="1" customWidth="1"/>
    <col min="4613" max="4613" width="10.1796875" style="19" customWidth="1"/>
    <col min="4614" max="4614" width="27.453125" style="19" bestFit="1" customWidth="1"/>
    <col min="4615" max="4615" width="27.1796875" style="19" bestFit="1" customWidth="1"/>
    <col min="4616" max="4616" width="27.453125" style="19" bestFit="1" customWidth="1"/>
    <col min="4617" max="4617" width="27.1796875" style="19" bestFit="1" customWidth="1"/>
    <col min="4618" max="4619" width="27.453125" style="19" bestFit="1" customWidth="1"/>
    <col min="4620" max="4620" width="27.54296875" style="19" bestFit="1" customWidth="1"/>
    <col min="4621" max="4621" width="27.1796875" style="19" bestFit="1" customWidth="1"/>
    <col min="4622" max="4622" width="27.54296875" style="19" bestFit="1" customWidth="1"/>
    <col min="4623" max="4864" width="8.7265625" style="19"/>
    <col min="4865" max="4865" width="73.453125" style="19" customWidth="1"/>
    <col min="4866" max="4866" width="8.7265625" style="19"/>
    <col min="4867" max="4868" width="26.81640625" style="19" bestFit="1" customWidth="1"/>
    <col min="4869" max="4869" width="10.1796875" style="19" customWidth="1"/>
    <col min="4870" max="4870" width="27.453125" style="19" bestFit="1" customWidth="1"/>
    <col min="4871" max="4871" width="27.1796875" style="19" bestFit="1" customWidth="1"/>
    <col min="4872" max="4872" width="27.453125" style="19" bestFit="1" customWidth="1"/>
    <col min="4873" max="4873" width="27.1796875" style="19" bestFit="1" customWidth="1"/>
    <col min="4874" max="4875" width="27.453125" style="19" bestFit="1" customWidth="1"/>
    <col min="4876" max="4876" width="27.54296875" style="19" bestFit="1" customWidth="1"/>
    <col min="4877" max="4877" width="27.1796875" style="19" bestFit="1" customWidth="1"/>
    <col min="4878" max="4878" width="27.54296875" style="19" bestFit="1" customWidth="1"/>
    <col min="4879" max="5120" width="8.7265625" style="19"/>
    <col min="5121" max="5121" width="73.453125" style="19" customWidth="1"/>
    <col min="5122" max="5122" width="8.7265625" style="19"/>
    <col min="5123" max="5124" width="26.81640625" style="19" bestFit="1" customWidth="1"/>
    <col min="5125" max="5125" width="10.1796875" style="19" customWidth="1"/>
    <col min="5126" max="5126" width="27.453125" style="19" bestFit="1" customWidth="1"/>
    <col min="5127" max="5127" width="27.1796875" style="19" bestFit="1" customWidth="1"/>
    <col min="5128" max="5128" width="27.453125" style="19" bestFit="1" customWidth="1"/>
    <col min="5129" max="5129" width="27.1796875" style="19" bestFit="1" customWidth="1"/>
    <col min="5130" max="5131" width="27.453125" style="19" bestFit="1" customWidth="1"/>
    <col min="5132" max="5132" width="27.54296875" style="19" bestFit="1" customWidth="1"/>
    <col min="5133" max="5133" width="27.1796875" style="19" bestFit="1" customWidth="1"/>
    <col min="5134" max="5134" width="27.54296875" style="19" bestFit="1" customWidth="1"/>
    <col min="5135" max="5376" width="8.7265625" style="19"/>
    <col min="5377" max="5377" width="73.453125" style="19" customWidth="1"/>
    <col min="5378" max="5378" width="8.7265625" style="19"/>
    <col min="5379" max="5380" width="26.81640625" style="19" bestFit="1" customWidth="1"/>
    <col min="5381" max="5381" width="10.1796875" style="19" customWidth="1"/>
    <col min="5382" max="5382" width="27.453125" style="19" bestFit="1" customWidth="1"/>
    <col min="5383" max="5383" width="27.1796875" style="19" bestFit="1" customWidth="1"/>
    <col min="5384" max="5384" width="27.453125" style="19" bestFit="1" customWidth="1"/>
    <col min="5385" max="5385" width="27.1796875" style="19" bestFit="1" customWidth="1"/>
    <col min="5386" max="5387" width="27.453125" style="19" bestFit="1" customWidth="1"/>
    <col min="5388" max="5388" width="27.54296875" style="19" bestFit="1" customWidth="1"/>
    <col min="5389" max="5389" width="27.1796875" style="19" bestFit="1" customWidth="1"/>
    <col min="5390" max="5390" width="27.54296875" style="19" bestFit="1" customWidth="1"/>
    <col min="5391" max="5632" width="8.7265625" style="19"/>
    <col min="5633" max="5633" width="73.453125" style="19" customWidth="1"/>
    <col min="5634" max="5634" width="8.7265625" style="19"/>
    <col min="5635" max="5636" width="26.81640625" style="19" bestFit="1" customWidth="1"/>
    <col min="5637" max="5637" width="10.1796875" style="19" customWidth="1"/>
    <col min="5638" max="5638" width="27.453125" style="19" bestFit="1" customWidth="1"/>
    <col min="5639" max="5639" width="27.1796875" style="19" bestFit="1" customWidth="1"/>
    <col min="5640" max="5640" width="27.453125" style="19" bestFit="1" customWidth="1"/>
    <col min="5641" max="5641" width="27.1796875" style="19" bestFit="1" customWidth="1"/>
    <col min="5642" max="5643" width="27.453125" style="19" bestFit="1" customWidth="1"/>
    <col min="5644" max="5644" width="27.54296875" style="19" bestFit="1" customWidth="1"/>
    <col min="5645" max="5645" width="27.1796875" style="19" bestFit="1" customWidth="1"/>
    <col min="5646" max="5646" width="27.54296875" style="19" bestFit="1" customWidth="1"/>
    <col min="5647" max="5888" width="8.7265625" style="19"/>
    <col min="5889" max="5889" width="73.453125" style="19" customWidth="1"/>
    <col min="5890" max="5890" width="8.7265625" style="19"/>
    <col min="5891" max="5892" width="26.81640625" style="19" bestFit="1" customWidth="1"/>
    <col min="5893" max="5893" width="10.1796875" style="19" customWidth="1"/>
    <col min="5894" max="5894" width="27.453125" style="19" bestFit="1" customWidth="1"/>
    <col min="5895" max="5895" width="27.1796875" style="19" bestFit="1" customWidth="1"/>
    <col min="5896" max="5896" width="27.453125" style="19" bestFit="1" customWidth="1"/>
    <col min="5897" max="5897" width="27.1796875" style="19" bestFit="1" customWidth="1"/>
    <col min="5898" max="5899" width="27.453125" style="19" bestFit="1" customWidth="1"/>
    <col min="5900" max="5900" width="27.54296875" style="19" bestFit="1" customWidth="1"/>
    <col min="5901" max="5901" width="27.1796875" style="19" bestFit="1" customWidth="1"/>
    <col min="5902" max="5902" width="27.54296875" style="19" bestFit="1" customWidth="1"/>
    <col min="5903" max="6144" width="8.7265625" style="19"/>
    <col min="6145" max="6145" width="73.453125" style="19" customWidth="1"/>
    <col min="6146" max="6146" width="8.7265625" style="19"/>
    <col min="6147" max="6148" width="26.81640625" style="19" bestFit="1" customWidth="1"/>
    <col min="6149" max="6149" width="10.1796875" style="19" customWidth="1"/>
    <col min="6150" max="6150" width="27.453125" style="19" bestFit="1" customWidth="1"/>
    <col min="6151" max="6151" width="27.1796875" style="19" bestFit="1" customWidth="1"/>
    <col min="6152" max="6152" width="27.453125" style="19" bestFit="1" customWidth="1"/>
    <col min="6153" max="6153" width="27.1796875" style="19" bestFit="1" customWidth="1"/>
    <col min="6154" max="6155" width="27.453125" style="19" bestFit="1" customWidth="1"/>
    <col min="6156" max="6156" width="27.54296875" style="19" bestFit="1" customWidth="1"/>
    <col min="6157" max="6157" width="27.1796875" style="19" bestFit="1" customWidth="1"/>
    <col min="6158" max="6158" width="27.54296875" style="19" bestFit="1" customWidth="1"/>
    <col min="6159" max="6400" width="8.7265625" style="19"/>
    <col min="6401" max="6401" width="73.453125" style="19" customWidth="1"/>
    <col min="6402" max="6402" width="8.7265625" style="19"/>
    <col min="6403" max="6404" width="26.81640625" style="19" bestFit="1" customWidth="1"/>
    <col min="6405" max="6405" width="10.1796875" style="19" customWidth="1"/>
    <col min="6406" max="6406" width="27.453125" style="19" bestFit="1" customWidth="1"/>
    <col min="6407" max="6407" width="27.1796875" style="19" bestFit="1" customWidth="1"/>
    <col min="6408" max="6408" width="27.453125" style="19" bestFit="1" customWidth="1"/>
    <col min="6409" max="6409" width="27.1796875" style="19" bestFit="1" customWidth="1"/>
    <col min="6410" max="6411" width="27.453125" style="19" bestFit="1" customWidth="1"/>
    <col min="6412" max="6412" width="27.54296875" style="19" bestFit="1" customWidth="1"/>
    <col min="6413" max="6413" width="27.1796875" style="19" bestFit="1" customWidth="1"/>
    <col min="6414" max="6414" width="27.54296875" style="19" bestFit="1" customWidth="1"/>
    <col min="6415" max="6656" width="8.7265625" style="19"/>
    <col min="6657" max="6657" width="73.453125" style="19" customWidth="1"/>
    <col min="6658" max="6658" width="8.7265625" style="19"/>
    <col min="6659" max="6660" width="26.81640625" style="19" bestFit="1" customWidth="1"/>
    <col min="6661" max="6661" width="10.1796875" style="19" customWidth="1"/>
    <col min="6662" max="6662" width="27.453125" style="19" bestFit="1" customWidth="1"/>
    <col min="6663" max="6663" width="27.1796875" style="19" bestFit="1" customWidth="1"/>
    <col min="6664" max="6664" width="27.453125" style="19" bestFit="1" customWidth="1"/>
    <col min="6665" max="6665" width="27.1796875" style="19" bestFit="1" customWidth="1"/>
    <col min="6666" max="6667" width="27.453125" style="19" bestFit="1" customWidth="1"/>
    <col min="6668" max="6668" width="27.54296875" style="19" bestFit="1" customWidth="1"/>
    <col min="6669" max="6669" width="27.1796875" style="19" bestFit="1" customWidth="1"/>
    <col min="6670" max="6670" width="27.54296875" style="19" bestFit="1" customWidth="1"/>
    <col min="6671" max="6912" width="8.7265625" style="19"/>
    <col min="6913" max="6913" width="73.453125" style="19" customWidth="1"/>
    <col min="6914" max="6914" width="8.7265625" style="19"/>
    <col min="6915" max="6916" width="26.81640625" style="19" bestFit="1" customWidth="1"/>
    <col min="6917" max="6917" width="10.1796875" style="19" customWidth="1"/>
    <col min="6918" max="6918" width="27.453125" style="19" bestFit="1" customWidth="1"/>
    <col min="6919" max="6919" width="27.1796875" style="19" bestFit="1" customWidth="1"/>
    <col min="6920" max="6920" width="27.453125" style="19" bestFit="1" customWidth="1"/>
    <col min="6921" max="6921" width="27.1796875" style="19" bestFit="1" customWidth="1"/>
    <col min="6922" max="6923" width="27.453125" style="19" bestFit="1" customWidth="1"/>
    <col min="6924" max="6924" width="27.54296875" style="19" bestFit="1" customWidth="1"/>
    <col min="6925" max="6925" width="27.1796875" style="19" bestFit="1" customWidth="1"/>
    <col min="6926" max="6926" width="27.54296875" style="19" bestFit="1" customWidth="1"/>
    <col min="6927" max="7168" width="8.7265625" style="19"/>
    <col min="7169" max="7169" width="73.453125" style="19" customWidth="1"/>
    <col min="7170" max="7170" width="8.7265625" style="19"/>
    <col min="7171" max="7172" width="26.81640625" style="19" bestFit="1" customWidth="1"/>
    <col min="7173" max="7173" width="10.1796875" style="19" customWidth="1"/>
    <col min="7174" max="7174" width="27.453125" style="19" bestFit="1" customWidth="1"/>
    <col min="7175" max="7175" width="27.1796875" style="19" bestFit="1" customWidth="1"/>
    <col min="7176" max="7176" width="27.453125" style="19" bestFit="1" customWidth="1"/>
    <col min="7177" max="7177" width="27.1796875" style="19" bestFit="1" customWidth="1"/>
    <col min="7178" max="7179" width="27.453125" style="19" bestFit="1" customWidth="1"/>
    <col min="7180" max="7180" width="27.54296875" style="19" bestFit="1" customWidth="1"/>
    <col min="7181" max="7181" width="27.1796875" style="19" bestFit="1" customWidth="1"/>
    <col min="7182" max="7182" width="27.54296875" style="19" bestFit="1" customWidth="1"/>
    <col min="7183" max="7424" width="8.7265625" style="19"/>
    <col min="7425" max="7425" width="73.453125" style="19" customWidth="1"/>
    <col min="7426" max="7426" width="8.7265625" style="19"/>
    <col min="7427" max="7428" width="26.81640625" style="19" bestFit="1" customWidth="1"/>
    <col min="7429" max="7429" width="10.1796875" style="19" customWidth="1"/>
    <col min="7430" max="7430" width="27.453125" style="19" bestFit="1" customWidth="1"/>
    <col min="7431" max="7431" width="27.1796875" style="19" bestFit="1" customWidth="1"/>
    <col min="7432" max="7432" width="27.453125" style="19" bestFit="1" customWidth="1"/>
    <col min="7433" max="7433" width="27.1796875" style="19" bestFit="1" customWidth="1"/>
    <col min="7434" max="7435" width="27.453125" style="19" bestFit="1" customWidth="1"/>
    <col min="7436" max="7436" width="27.54296875" style="19" bestFit="1" customWidth="1"/>
    <col min="7437" max="7437" width="27.1796875" style="19" bestFit="1" customWidth="1"/>
    <col min="7438" max="7438" width="27.54296875" style="19" bestFit="1" customWidth="1"/>
    <col min="7439" max="7680" width="8.7265625" style="19"/>
    <col min="7681" max="7681" width="73.453125" style="19" customWidth="1"/>
    <col min="7682" max="7682" width="8.7265625" style="19"/>
    <col min="7683" max="7684" width="26.81640625" style="19" bestFit="1" customWidth="1"/>
    <col min="7685" max="7685" width="10.1796875" style="19" customWidth="1"/>
    <col min="7686" max="7686" width="27.453125" style="19" bestFit="1" customWidth="1"/>
    <col min="7687" max="7687" width="27.1796875" style="19" bestFit="1" customWidth="1"/>
    <col min="7688" max="7688" width="27.453125" style="19" bestFit="1" customWidth="1"/>
    <col min="7689" max="7689" width="27.1796875" style="19" bestFit="1" customWidth="1"/>
    <col min="7690" max="7691" width="27.453125" style="19" bestFit="1" customWidth="1"/>
    <col min="7692" max="7692" width="27.54296875" style="19" bestFit="1" customWidth="1"/>
    <col min="7693" max="7693" width="27.1796875" style="19" bestFit="1" customWidth="1"/>
    <col min="7694" max="7694" width="27.54296875" style="19" bestFit="1" customWidth="1"/>
    <col min="7695" max="7936" width="8.7265625" style="19"/>
    <col min="7937" max="7937" width="73.453125" style="19" customWidth="1"/>
    <col min="7938" max="7938" width="8.7265625" style="19"/>
    <col min="7939" max="7940" width="26.81640625" style="19" bestFit="1" customWidth="1"/>
    <col min="7941" max="7941" width="10.1796875" style="19" customWidth="1"/>
    <col min="7942" max="7942" width="27.453125" style="19" bestFit="1" customWidth="1"/>
    <col min="7943" max="7943" width="27.1796875" style="19" bestFit="1" customWidth="1"/>
    <col min="7944" max="7944" width="27.453125" style="19" bestFit="1" customWidth="1"/>
    <col min="7945" max="7945" width="27.1796875" style="19" bestFit="1" customWidth="1"/>
    <col min="7946" max="7947" width="27.453125" style="19" bestFit="1" customWidth="1"/>
    <col min="7948" max="7948" width="27.54296875" style="19" bestFit="1" customWidth="1"/>
    <col min="7949" max="7949" width="27.1796875" style="19" bestFit="1" customWidth="1"/>
    <col min="7950" max="7950" width="27.54296875" style="19" bestFit="1" customWidth="1"/>
    <col min="7951" max="8192" width="8.7265625" style="19"/>
    <col min="8193" max="8193" width="73.453125" style="19" customWidth="1"/>
    <col min="8194" max="8194" width="8.7265625" style="19"/>
    <col min="8195" max="8196" width="26.81640625" style="19" bestFit="1" customWidth="1"/>
    <col min="8197" max="8197" width="10.1796875" style="19" customWidth="1"/>
    <col min="8198" max="8198" width="27.453125" style="19" bestFit="1" customWidth="1"/>
    <col min="8199" max="8199" width="27.1796875" style="19" bestFit="1" customWidth="1"/>
    <col min="8200" max="8200" width="27.453125" style="19" bestFit="1" customWidth="1"/>
    <col min="8201" max="8201" width="27.1796875" style="19" bestFit="1" customWidth="1"/>
    <col min="8202" max="8203" width="27.453125" style="19" bestFit="1" customWidth="1"/>
    <col min="8204" max="8204" width="27.54296875" style="19" bestFit="1" customWidth="1"/>
    <col min="8205" max="8205" width="27.1796875" style="19" bestFit="1" customWidth="1"/>
    <col min="8206" max="8206" width="27.54296875" style="19" bestFit="1" customWidth="1"/>
    <col min="8207" max="8448" width="8.7265625" style="19"/>
    <col min="8449" max="8449" width="73.453125" style="19" customWidth="1"/>
    <col min="8450" max="8450" width="8.7265625" style="19"/>
    <col min="8451" max="8452" width="26.81640625" style="19" bestFit="1" customWidth="1"/>
    <col min="8453" max="8453" width="10.1796875" style="19" customWidth="1"/>
    <col min="8454" max="8454" width="27.453125" style="19" bestFit="1" customWidth="1"/>
    <col min="8455" max="8455" width="27.1796875" style="19" bestFit="1" customWidth="1"/>
    <col min="8456" max="8456" width="27.453125" style="19" bestFit="1" customWidth="1"/>
    <col min="8457" max="8457" width="27.1796875" style="19" bestFit="1" customWidth="1"/>
    <col min="8458" max="8459" width="27.453125" style="19" bestFit="1" customWidth="1"/>
    <col min="8460" max="8460" width="27.54296875" style="19" bestFit="1" customWidth="1"/>
    <col min="8461" max="8461" width="27.1796875" style="19" bestFit="1" customWidth="1"/>
    <col min="8462" max="8462" width="27.54296875" style="19" bestFit="1" customWidth="1"/>
    <col min="8463" max="8704" width="8.7265625" style="19"/>
    <col min="8705" max="8705" width="73.453125" style="19" customWidth="1"/>
    <col min="8706" max="8706" width="8.7265625" style="19"/>
    <col min="8707" max="8708" width="26.81640625" style="19" bestFit="1" customWidth="1"/>
    <col min="8709" max="8709" width="10.1796875" style="19" customWidth="1"/>
    <col min="8710" max="8710" width="27.453125" style="19" bestFit="1" customWidth="1"/>
    <col min="8711" max="8711" width="27.1796875" style="19" bestFit="1" customWidth="1"/>
    <col min="8712" max="8712" width="27.453125" style="19" bestFit="1" customWidth="1"/>
    <col min="8713" max="8713" width="27.1796875" style="19" bestFit="1" customWidth="1"/>
    <col min="8714" max="8715" width="27.453125" style="19" bestFit="1" customWidth="1"/>
    <col min="8716" max="8716" width="27.54296875" style="19" bestFit="1" customWidth="1"/>
    <col min="8717" max="8717" width="27.1796875" style="19" bestFit="1" customWidth="1"/>
    <col min="8718" max="8718" width="27.54296875" style="19" bestFit="1" customWidth="1"/>
    <col min="8719" max="8960" width="8.7265625" style="19"/>
    <col min="8961" max="8961" width="73.453125" style="19" customWidth="1"/>
    <col min="8962" max="8962" width="8.7265625" style="19"/>
    <col min="8963" max="8964" width="26.81640625" style="19" bestFit="1" customWidth="1"/>
    <col min="8965" max="8965" width="10.1796875" style="19" customWidth="1"/>
    <col min="8966" max="8966" width="27.453125" style="19" bestFit="1" customWidth="1"/>
    <col min="8967" max="8967" width="27.1796875" style="19" bestFit="1" customWidth="1"/>
    <col min="8968" max="8968" width="27.453125" style="19" bestFit="1" customWidth="1"/>
    <col min="8969" max="8969" width="27.1796875" style="19" bestFit="1" customWidth="1"/>
    <col min="8970" max="8971" width="27.453125" style="19" bestFit="1" customWidth="1"/>
    <col min="8972" max="8972" width="27.54296875" style="19" bestFit="1" customWidth="1"/>
    <col min="8973" max="8973" width="27.1796875" style="19" bestFit="1" customWidth="1"/>
    <col min="8974" max="8974" width="27.54296875" style="19" bestFit="1" customWidth="1"/>
    <col min="8975" max="9216" width="8.7265625" style="19"/>
    <col min="9217" max="9217" width="73.453125" style="19" customWidth="1"/>
    <col min="9218" max="9218" width="8.7265625" style="19"/>
    <col min="9219" max="9220" width="26.81640625" style="19" bestFit="1" customWidth="1"/>
    <col min="9221" max="9221" width="10.1796875" style="19" customWidth="1"/>
    <col min="9222" max="9222" width="27.453125" style="19" bestFit="1" customWidth="1"/>
    <col min="9223" max="9223" width="27.1796875" style="19" bestFit="1" customWidth="1"/>
    <col min="9224" max="9224" width="27.453125" style="19" bestFit="1" customWidth="1"/>
    <col min="9225" max="9225" width="27.1796875" style="19" bestFit="1" customWidth="1"/>
    <col min="9226" max="9227" width="27.453125" style="19" bestFit="1" customWidth="1"/>
    <col min="9228" max="9228" width="27.54296875" style="19" bestFit="1" customWidth="1"/>
    <col min="9229" max="9229" width="27.1796875" style="19" bestFit="1" customWidth="1"/>
    <col min="9230" max="9230" width="27.54296875" style="19" bestFit="1" customWidth="1"/>
    <col min="9231" max="9472" width="8.7265625" style="19"/>
    <col min="9473" max="9473" width="73.453125" style="19" customWidth="1"/>
    <col min="9474" max="9474" width="8.7265625" style="19"/>
    <col min="9475" max="9476" width="26.81640625" style="19" bestFit="1" customWidth="1"/>
    <col min="9477" max="9477" width="10.1796875" style="19" customWidth="1"/>
    <col min="9478" max="9478" width="27.453125" style="19" bestFit="1" customWidth="1"/>
    <col min="9479" max="9479" width="27.1796875" style="19" bestFit="1" customWidth="1"/>
    <col min="9480" max="9480" width="27.453125" style="19" bestFit="1" customWidth="1"/>
    <col min="9481" max="9481" width="27.1796875" style="19" bestFit="1" customWidth="1"/>
    <col min="9482" max="9483" width="27.453125" style="19" bestFit="1" customWidth="1"/>
    <col min="9484" max="9484" width="27.54296875" style="19" bestFit="1" customWidth="1"/>
    <col min="9485" max="9485" width="27.1796875" style="19" bestFit="1" customWidth="1"/>
    <col min="9486" max="9486" width="27.54296875" style="19" bestFit="1" customWidth="1"/>
    <col min="9487" max="9728" width="8.7265625" style="19"/>
    <col min="9729" max="9729" width="73.453125" style="19" customWidth="1"/>
    <col min="9730" max="9730" width="8.7265625" style="19"/>
    <col min="9731" max="9732" width="26.81640625" style="19" bestFit="1" customWidth="1"/>
    <col min="9733" max="9733" width="10.1796875" style="19" customWidth="1"/>
    <col min="9734" max="9734" width="27.453125" style="19" bestFit="1" customWidth="1"/>
    <col min="9735" max="9735" width="27.1796875" style="19" bestFit="1" customWidth="1"/>
    <col min="9736" max="9736" width="27.453125" style="19" bestFit="1" customWidth="1"/>
    <col min="9737" max="9737" width="27.1796875" style="19" bestFit="1" customWidth="1"/>
    <col min="9738" max="9739" width="27.453125" style="19" bestFit="1" customWidth="1"/>
    <col min="9740" max="9740" width="27.54296875" style="19" bestFit="1" customWidth="1"/>
    <col min="9741" max="9741" width="27.1796875" style="19" bestFit="1" customWidth="1"/>
    <col min="9742" max="9742" width="27.54296875" style="19" bestFit="1" customWidth="1"/>
    <col min="9743" max="9984" width="8.7265625" style="19"/>
    <col min="9985" max="9985" width="73.453125" style="19" customWidth="1"/>
    <col min="9986" max="9986" width="8.7265625" style="19"/>
    <col min="9987" max="9988" width="26.81640625" style="19" bestFit="1" customWidth="1"/>
    <col min="9989" max="9989" width="10.1796875" style="19" customWidth="1"/>
    <col min="9990" max="9990" width="27.453125" style="19" bestFit="1" customWidth="1"/>
    <col min="9991" max="9991" width="27.1796875" style="19" bestFit="1" customWidth="1"/>
    <col min="9992" max="9992" width="27.453125" style="19" bestFit="1" customWidth="1"/>
    <col min="9993" max="9993" width="27.1796875" style="19" bestFit="1" customWidth="1"/>
    <col min="9994" max="9995" width="27.453125" style="19" bestFit="1" customWidth="1"/>
    <col min="9996" max="9996" width="27.54296875" style="19" bestFit="1" customWidth="1"/>
    <col min="9997" max="9997" width="27.1796875" style="19" bestFit="1" customWidth="1"/>
    <col min="9998" max="9998" width="27.54296875" style="19" bestFit="1" customWidth="1"/>
    <col min="9999" max="10240" width="8.7265625" style="19"/>
    <col min="10241" max="10241" width="73.453125" style="19" customWidth="1"/>
    <col min="10242" max="10242" width="8.7265625" style="19"/>
    <col min="10243" max="10244" width="26.81640625" style="19" bestFit="1" customWidth="1"/>
    <col min="10245" max="10245" width="10.1796875" style="19" customWidth="1"/>
    <col min="10246" max="10246" width="27.453125" style="19" bestFit="1" customWidth="1"/>
    <col min="10247" max="10247" width="27.1796875" style="19" bestFit="1" customWidth="1"/>
    <col min="10248" max="10248" width="27.453125" style="19" bestFit="1" customWidth="1"/>
    <col min="10249" max="10249" width="27.1796875" style="19" bestFit="1" customWidth="1"/>
    <col min="10250" max="10251" width="27.453125" style="19" bestFit="1" customWidth="1"/>
    <col min="10252" max="10252" width="27.54296875" style="19" bestFit="1" customWidth="1"/>
    <col min="10253" max="10253" width="27.1796875" style="19" bestFit="1" customWidth="1"/>
    <col min="10254" max="10254" width="27.54296875" style="19" bestFit="1" customWidth="1"/>
    <col min="10255" max="10496" width="8.7265625" style="19"/>
    <col min="10497" max="10497" width="73.453125" style="19" customWidth="1"/>
    <col min="10498" max="10498" width="8.7265625" style="19"/>
    <col min="10499" max="10500" width="26.81640625" style="19" bestFit="1" customWidth="1"/>
    <col min="10501" max="10501" width="10.1796875" style="19" customWidth="1"/>
    <col min="10502" max="10502" width="27.453125" style="19" bestFit="1" customWidth="1"/>
    <col min="10503" max="10503" width="27.1796875" style="19" bestFit="1" customWidth="1"/>
    <col min="10504" max="10504" width="27.453125" style="19" bestFit="1" customWidth="1"/>
    <col min="10505" max="10505" width="27.1796875" style="19" bestFit="1" customWidth="1"/>
    <col min="10506" max="10507" width="27.453125" style="19" bestFit="1" customWidth="1"/>
    <col min="10508" max="10508" width="27.54296875" style="19" bestFit="1" customWidth="1"/>
    <col min="10509" max="10509" width="27.1796875" style="19" bestFit="1" customWidth="1"/>
    <col min="10510" max="10510" width="27.54296875" style="19" bestFit="1" customWidth="1"/>
    <col min="10511" max="10752" width="8.7265625" style="19"/>
    <col min="10753" max="10753" width="73.453125" style="19" customWidth="1"/>
    <col min="10754" max="10754" width="8.7265625" style="19"/>
    <col min="10755" max="10756" width="26.81640625" style="19" bestFit="1" customWidth="1"/>
    <col min="10757" max="10757" width="10.1796875" style="19" customWidth="1"/>
    <col min="10758" max="10758" width="27.453125" style="19" bestFit="1" customWidth="1"/>
    <col min="10759" max="10759" width="27.1796875" style="19" bestFit="1" customWidth="1"/>
    <col min="10760" max="10760" width="27.453125" style="19" bestFit="1" customWidth="1"/>
    <col min="10761" max="10761" width="27.1796875" style="19" bestFit="1" customWidth="1"/>
    <col min="10762" max="10763" width="27.453125" style="19" bestFit="1" customWidth="1"/>
    <col min="10764" max="10764" width="27.54296875" style="19" bestFit="1" customWidth="1"/>
    <col min="10765" max="10765" width="27.1796875" style="19" bestFit="1" customWidth="1"/>
    <col min="10766" max="10766" width="27.54296875" style="19" bestFit="1" customWidth="1"/>
    <col min="10767" max="11008" width="8.7265625" style="19"/>
    <col min="11009" max="11009" width="73.453125" style="19" customWidth="1"/>
    <col min="11010" max="11010" width="8.7265625" style="19"/>
    <col min="11011" max="11012" width="26.81640625" style="19" bestFit="1" customWidth="1"/>
    <col min="11013" max="11013" width="10.1796875" style="19" customWidth="1"/>
    <col min="11014" max="11014" width="27.453125" style="19" bestFit="1" customWidth="1"/>
    <col min="11015" max="11015" width="27.1796875" style="19" bestFit="1" customWidth="1"/>
    <col min="11016" max="11016" width="27.453125" style="19" bestFit="1" customWidth="1"/>
    <col min="11017" max="11017" width="27.1796875" style="19" bestFit="1" customWidth="1"/>
    <col min="11018" max="11019" width="27.453125" style="19" bestFit="1" customWidth="1"/>
    <col min="11020" max="11020" width="27.54296875" style="19" bestFit="1" customWidth="1"/>
    <col min="11021" max="11021" width="27.1796875" style="19" bestFit="1" customWidth="1"/>
    <col min="11022" max="11022" width="27.54296875" style="19" bestFit="1" customWidth="1"/>
    <col min="11023" max="11264" width="8.7265625" style="19"/>
    <col min="11265" max="11265" width="73.453125" style="19" customWidth="1"/>
    <col min="11266" max="11266" width="8.7265625" style="19"/>
    <col min="11267" max="11268" width="26.81640625" style="19" bestFit="1" customWidth="1"/>
    <col min="11269" max="11269" width="10.1796875" style="19" customWidth="1"/>
    <col min="11270" max="11270" width="27.453125" style="19" bestFit="1" customWidth="1"/>
    <col min="11271" max="11271" width="27.1796875" style="19" bestFit="1" customWidth="1"/>
    <col min="11272" max="11272" width="27.453125" style="19" bestFit="1" customWidth="1"/>
    <col min="11273" max="11273" width="27.1796875" style="19" bestFit="1" customWidth="1"/>
    <col min="11274" max="11275" width="27.453125" style="19" bestFit="1" customWidth="1"/>
    <col min="11276" max="11276" width="27.54296875" style="19" bestFit="1" customWidth="1"/>
    <col min="11277" max="11277" width="27.1796875" style="19" bestFit="1" customWidth="1"/>
    <col min="11278" max="11278" width="27.54296875" style="19" bestFit="1" customWidth="1"/>
    <col min="11279" max="11520" width="8.7265625" style="19"/>
    <col min="11521" max="11521" width="73.453125" style="19" customWidth="1"/>
    <col min="11522" max="11522" width="8.7265625" style="19"/>
    <col min="11523" max="11524" width="26.81640625" style="19" bestFit="1" customWidth="1"/>
    <col min="11525" max="11525" width="10.1796875" style="19" customWidth="1"/>
    <col min="11526" max="11526" width="27.453125" style="19" bestFit="1" customWidth="1"/>
    <col min="11527" max="11527" width="27.1796875" style="19" bestFit="1" customWidth="1"/>
    <col min="11528" max="11528" width="27.453125" style="19" bestFit="1" customWidth="1"/>
    <col min="11529" max="11529" width="27.1796875" style="19" bestFit="1" customWidth="1"/>
    <col min="11530" max="11531" width="27.453125" style="19" bestFit="1" customWidth="1"/>
    <col min="11532" max="11532" width="27.54296875" style="19" bestFit="1" customWidth="1"/>
    <col min="11533" max="11533" width="27.1796875" style="19" bestFit="1" customWidth="1"/>
    <col min="11534" max="11534" width="27.54296875" style="19" bestFit="1" customWidth="1"/>
    <col min="11535" max="11776" width="8.7265625" style="19"/>
    <col min="11777" max="11777" width="73.453125" style="19" customWidth="1"/>
    <col min="11778" max="11778" width="8.7265625" style="19"/>
    <col min="11779" max="11780" width="26.81640625" style="19" bestFit="1" customWidth="1"/>
    <col min="11781" max="11781" width="10.1796875" style="19" customWidth="1"/>
    <col min="11782" max="11782" width="27.453125" style="19" bestFit="1" customWidth="1"/>
    <col min="11783" max="11783" width="27.1796875" style="19" bestFit="1" customWidth="1"/>
    <col min="11784" max="11784" width="27.453125" style="19" bestFit="1" customWidth="1"/>
    <col min="11785" max="11785" width="27.1796875" style="19" bestFit="1" customWidth="1"/>
    <col min="11786" max="11787" width="27.453125" style="19" bestFit="1" customWidth="1"/>
    <col min="11788" max="11788" width="27.54296875" style="19" bestFit="1" customWidth="1"/>
    <col min="11789" max="11789" width="27.1796875" style="19" bestFit="1" customWidth="1"/>
    <col min="11790" max="11790" width="27.54296875" style="19" bestFit="1" customWidth="1"/>
    <col min="11791" max="12032" width="8.7265625" style="19"/>
    <col min="12033" max="12033" width="73.453125" style="19" customWidth="1"/>
    <col min="12034" max="12034" width="8.7265625" style="19"/>
    <col min="12035" max="12036" width="26.81640625" style="19" bestFit="1" customWidth="1"/>
    <col min="12037" max="12037" width="10.1796875" style="19" customWidth="1"/>
    <col min="12038" max="12038" width="27.453125" style="19" bestFit="1" customWidth="1"/>
    <col min="12039" max="12039" width="27.1796875" style="19" bestFit="1" customWidth="1"/>
    <col min="12040" max="12040" width="27.453125" style="19" bestFit="1" customWidth="1"/>
    <col min="12041" max="12041" width="27.1796875" style="19" bestFit="1" customWidth="1"/>
    <col min="12042" max="12043" width="27.453125" style="19" bestFit="1" customWidth="1"/>
    <col min="12044" max="12044" width="27.54296875" style="19" bestFit="1" customWidth="1"/>
    <col min="12045" max="12045" width="27.1796875" style="19" bestFit="1" customWidth="1"/>
    <col min="12046" max="12046" width="27.54296875" style="19" bestFit="1" customWidth="1"/>
    <col min="12047" max="12288" width="8.7265625" style="19"/>
    <col min="12289" max="12289" width="73.453125" style="19" customWidth="1"/>
    <col min="12290" max="12290" width="8.7265625" style="19"/>
    <col min="12291" max="12292" width="26.81640625" style="19" bestFit="1" customWidth="1"/>
    <col min="12293" max="12293" width="10.1796875" style="19" customWidth="1"/>
    <col min="12294" max="12294" width="27.453125" style="19" bestFit="1" customWidth="1"/>
    <col min="12295" max="12295" width="27.1796875" style="19" bestFit="1" customWidth="1"/>
    <col min="12296" max="12296" width="27.453125" style="19" bestFit="1" customWidth="1"/>
    <col min="12297" max="12297" width="27.1796875" style="19" bestFit="1" customWidth="1"/>
    <col min="12298" max="12299" width="27.453125" style="19" bestFit="1" customWidth="1"/>
    <col min="12300" max="12300" width="27.54296875" style="19" bestFit="1" customWidth="1"/>
    <col min="12301" max="12301" width="27.1796875" style="19" bestFit="1" customWidth="1"/>
    <col min="12302" max="12302" width="27.54296875" style="19" bestFit="1" customWidth="1"/>
    <col min="12303" max="12544" width="8.7265625" style="19"/>
    <col min="12545" max="12545" width="73.453125" style="19" customWidth="1"/>
    <col min="12546" max="12546" width="8.7265625" style="19"/>
    <col min="12547" max="12548" width="26.81640625" style="19" bestFit="1" customWidth="1"/>
    <col min="12549" max="12549" width="10.1796875" style="19" customWidth="1"/>
    <col min="12550" max="12550" width="27.453125" style="19" bestFit="1" customWidth="1"/>
    <col min="12551" max="12551" width="27.1796875" style="19" bestFit="1" customWidth="1"/>
    <col min="12552" max="12552" width="27.453125" style="19" bestFit="1" customWidth="1"/>
    <col min="12553" max="12553" width="27.1796875" style="19" bestFit="1" customWidth="1"/>
    <col min="12554" max="12555" width="27.453125" style="19" bestFit="1" customWidth="1"/>
    <col min="12556" max="12556" width="27.54296875" style="19" bestFit="1" customWidth="1"/>
    <col min="12557" max="12557" width="27.1796875" style="19" bestFit="1" customWidth="1"/>
    <col min="12558" max="12558" width="27.54296875" style="19" bestFit="1" customWidth="1"/>
    <col min="12559" max="12800" width="8.7265625" style="19"/>
    <col min="12801" max="12801" width="73.453125" style="19" customWidth="1"/>
    <col min="12802" max="12802" width="8.7265625" style="19"/>
    <col min="12803" max="12804" width="26.81640625" style="19" bestFit="1" customWidth="1"/>
    <col min="12805" max="12805" width="10.1796875" style="19" customWidth="1"/>
    <col min="12806" max="12806" width="27.453125" style="19" bestFit="1" customWidth="1"/>
    <col min="12807" max="12807" width="27.1796875" style="19" bestFit="1" customWidth="1"/>
    <col min="12808" max="12808" width="27.453125" style="19" bestFit="1" customWidth="1"/>
    <col min="12809" max="12809" width="27.1796875" style="19" bestFit="1" customWidth="1"/>
    <col min="12810" max="12811" width="27.453125" style="19" bestFit="1" customWidth="1"/>
    <col min="12812" max="12812" width="27.54296875" style="19" bestFit="1" customWidth="1"/>
    <col min="12813" max="12813" width="27.1796875" style="19" bestFit="1" customWidth="1"/>
    <col min="12814" max="12814" width="27.54296875" style="19" bestFit="1" customWidth="1"/>
    <col min="12815" max="13056" width="8.7265625" style="19"/>
    <col min="13057" max="13057" width="73.453125" style="19" customWidth="1"/>
    <col min="13058" max="13058" width="8.7265625" style="19"/>
    <col min="13059" max="13060" width="26.81640625" style="19" bestFit="1" customWidth="1"/>
    <col min="13061" max="13061" width="10.1796875" style="19" customWidth="1"/>
    <col min="13062" max="13062" width="27.453125" style="19" bestFit="1" customWidth="1"/>
    <col min="13063" max="13063" width="27.1796875" style="19" bestFit="1" customWidth="1"/>
    <col min="13064" max="13064" width="27.453125" style="19" bestFit="1" customWidth="1"/>
    <col min="13065" max="13065" width="27.1796875" style="19" bestFit="1" customWidth="1"/>
    <col min="13066" max="13067" width="27.453125" style="19" bestFit="1" customWidth="1"/>
    <col min="13068" max="13068" width="27.54296875" style="19" bestFit="1" customWidth="1"/>
    <col min="13069" max="13069" width="27.1796875" style="19" bestFit="1" customWidth="1"/>
    <col min="13070" max="13070" width="27.54296875" style="19" bestFit="1" customWidth="1"/>
    <col min="13071" max="13312" width="8.7265625" style="19"/>
    <col min="13313" max="13313" width="73.453125" style="19" customWidth="1"/>
    <col min="13314" max="13314" width="8.7265625" style="19"/>
    <col min="13315" max="13316" width="26.81640625" style="19" bestFit="1" customWidth="1"/>
    <col min="13317" max="13317" width="10.1796875" style="19" customWidth="1"/>
    <col min="13318" max="13318" width="27.453125" style="19" bestFit="1" customWidth="1"/>
    <col min="13319" max="13319" width="27.1796875" style="19" bestFit="1" customWidth="1"/>
    <col min="13320" max="13320" width="27.453125" style="19" bestFit="1" customWidth="1"/>
    <col min="13321" max="13321" width="27.1796875" style="19" bestFit="1" customWidth="1"/>
    <col min="13322" max="13323" width="27.453125" style="19" bestFit="1" customWidth="1"/>
    <col min="13324" max="13324" width="27.54296875" style="19" bestFit="1" customWidth="1"/>
    <col min="13325" max="13325" width="27.1796875" style="19" bestFit="1" customWidth="1"/>
    <col min="13326" max="13326" width="27.54296875" style="19" bestFit="1" customWidth="1"/>
    <col min="13327" max="13568" width="8.7265625" style="19"/>
    <col min="13569" max="13569" width="73.453125" style="19" customWidth="1"/>
    <col min="13570" max="13570" width="8.7265625" style="19"/>
    <col min="13571" max="13572" width="26.81640625" style="19" bestFit="1" customWidth="1"/>
    <col min="13573" max="13573" width="10.1796875" style="19" customWidth="1"/>
    <col min="13574" max="13574" width="27.453125" style="19" bestFit="1" customWidth="1"/>
    <col min="13575" max="13575" width="27.1796875" style="19" bestFit="1" customWidth="1"/>
    <col min="13576" max="13576" width="27.453125" style="19" bestFit="1" customWidth="1"/>
    <col min="13577" max="13577" width="27.1796875" style="19" bestFit="1" customWidth="1"/>
    <col min="13578" max="13579" width="27.453125" style="19" bestFit="1" customWidth="1"/>
    <col min="13580" max="13580" width="27.54296875" style="19" bestFit="1" customWidth="1"/>
    <col min="13581" max="13581" width="27.1796875" style="19" bestFit="1" customWidth="1"/>
    <col min="13582" max="13582" width="27.54296875" style="19" bestFit="1" customWidth="1"/>
    <col min="13583" max="13824" width="8.7265625" style="19"/>
    <col min="13825" max="13825" width="73.453125" style="19" customWidth="1"/>
    <col min="13826" max="13826" width="8.7265625" style="19"/>
    <col min="13827" max="13828" width="26.81640625" style="19" bestFit="1" customWidth="1"/>
    <col min="13829" max="13829" width="10.1796875" style="19" customWidth="1"/>
    <col min="13830" max="13830" width="27.453125" style="19" bestFit="1" customWidth="1"/>
    <col min="13831" max="13831" width="27.1796875" style="19" bestFit="1" customWidth="1"/>
    <col min="13832" max="13832" width="27.453125" style="19" bestFit="1" customWidth="1"/>
    <col min="13833" max="13833" width="27.1796875" style="19" bestFit="1" customWidth="1"/>
    <col min="13834" max="13835" width="27.453125" style="19" bestFit="1" customWidth="1"/>
    <col min="13836" max="13836" width="27.54296875" style="19" bestFit="1" customWidth="1"/>
    <col min="13837" max="13837" width="27.1796875" style="19" bestFit="1" customWidth="1"/>
    <col min="13838" max="13838" width="27.54296875" style="19" bestFit="1" customWidth="1"/>
    <col min="13839" max="14080" width="8.7265625" style="19"/>
    <col min="14081" max="14081" width="73.453125" style="19" customWidth="1"/>
    <col min="14082" max="14082" width="8.7265625" style="19"/>
    <col min="14083" max="14084" width="26.81640625" style="19" bestFit="1" customWidth="1"/>
    <col min="14085" max="14085" width="10.1796875" style="19" customWidth="1"/>
    <col min="14086" max="14086" width="27.453125" style="19" bestFit="1" customWidth="1"/>
    <col min="14087" max="14087" width="27.1796875" style="19" bestFit="1" customWidth="1"/>
    <col min="14088" max="14088" width="27.453125" style="19" bestFit="1" customWidth="1"/>
    <col min="14089" max="14089" width="27.1796875" style="19" bestFit="1" customWidth="1"/>
    <col min="14090" max="14091" width="27.453125" style="19" bestFit="1" customWidth="1"/>
    <col min="14092" max="14092" width="27.54296875" style="19" bestFit="1" customWidth="1"/>
    <col min="14093" max="14093" width="27.1796875" style="19" bestFit="1" customWidth="1"/>
    <col min="14094" max="14094" width="27.54296875" style="19" bestFit="1" customWidth="1"/>
    <col min="14095" max="14336" width="8.7265625" style="19"/>
    <col min="14337" max="14337" width="73.453125" style="19" customWidth="1"/>
    <col min="14338" max="14338" width="8.7265625" style="19"/>
    <col min="14339" max="14340" width="26.81640625" style="19" bestFit="1" customWidth="1"/>
    <col min="14341" max="14341" width="10.1796875" style="19" customWidth="1"/>
    <col min="14342" max="14342" width="27.453125" style="19" bestFit="1" customWidth="1"/>
    <col min="14343" max="14343" width="27.1796875" style="19" bestFit="1" customWidth="1"/>
    <col min="14344" max="14344" width="27.453125" style="19" bestFit="1" customWidth="1"/>
    <col min="14345" max="14345" width="27.1796875" style="19" bestFit="1" customWidth="1"/>
    <col min="14346" max="14347" width="27.453125" style="19" bestFit="1" customWidth="1"/>
    <col min="14348" max="14348" width="27.54296875" style="19" bestFit="1" customWidth="1"/>
    <col min="14349" max="14349" width="27.1796875" style="19" bestFit="1" customWidth="1"/>
    <col min="14350" max="14350" width="27.54296875" style="19" bestFit="1" customWidth="1"/>
    <col min="14351" max="14592" width="8.7265625" style="19"/>
    <col min="14593" max="14593" width="73.453125" style="19" customWidth="1"/>
    <col min="14594" max="14594" width="8.7265625" style="19"/>
    <col min="14595" max="14596" width="26.81640625" style="19" bestFit="1" customWidth="1"/>
    <col min="14597" max="14597" width="10.1796875" style="19" customWidth="1"/>
    <col min="14598" max="14598" width="27.453125" style="19" bestFit="1" customWidth="1"/>
    <col min="14599" max="14599" width="27.1796875" style="19" bestFit="1" customWidth="1"/>
    <col min="14600" max="14600" width="27.453125" style="19" bestFit="1" customWidth="1"/>
    <col min="14601" max="14601" width="27.1796875" style="19" bestFit="1" customWidth="1"/>
    <col min="14602" max="14603" width="27.453125" style="19" bestFit="1" customWidth="1"/>
    <col min="14604" max="14604" width="27.54296875" style="19" bestFit="1" customWidth="1"/>
    <col min="14605" max="14605" width="27.1796875" style="19" bestFit="1" customWidth="1"/>
    <col min="14606" max="14606" width="27.54296875" style="19" bestFit="1" customWidth="1"/>
    <col min="14607" max="14848" width="8.7265625" style="19"/>
    <col min="14849" max="14849" width="73.453125" style="19" customWidth="1"/>
    <col min="14850" max="14850" width="8.7265625" style="19"/>
    <col min="14851" max="14852" width="26.81640625" style="19" bestFit="1" customWidth="1"/>
    <col min="14853" max="14853" width="10.1796875" style="19" customWidth="1"/>
    <col min="14854" max="14854" width="27.453125" style="19" bestFit="1" customWidth="1"/>
    <col min="14855" max="14855" width="27.1796875" style="19" bestFit="1" customWidth="1"/>
    <col min="14856" max="14856" width="27.453125" style="19" bestFit="1" customWidth="1"/>
    <col min="14857" max="14857" width="27.1796875" style="19" bestFit="1" customWidth="1"/>
    <col min="14858" max="14859" width="27.453125" style="19" bestFit="1" customWidth="1"/>
    <col min="14860" max="14860" width="27.54296875" style="19" bestFit="1" customWidth="1"/>
    <col min="14861" max="14861" width="27.1796875" style="19" bestFit="1" customWidth="1"/>
    <col min="14862" max="14862" width="27.54296875" style="19" bestFit="1" customWidth="1"/>
    <col min="14863" max="15104" width="8.7265625" style="19"/>
    <col min="15105" max="15105" width="73.453125" style="19" customWidth="1"/>
    <col min="15106" max="15106" width="8.7265625" style="19"/>
    <col min="15107" max="15108" width="26.81640625" style="19" bestFit="1" customWidth="1"/>
    <col min="15109" max="15109" width="10.1796875" style="19" customWidth="1"/>
    <col min="15110" max="15110" width="27.453125" style="19" bestFit="1" customWidth="1"/>
    <col min="15111" max="15111" width="27.1796875" style="19" bestFit="1" customWidth="1"/>
    <col min="15112" max="15112" width="27.453125" style="19" bestFit="1" customWidth="1"/>
    <col min="15113" max="15113" width="27.1796875" style="19" bestFit="1" customWidth="1"/>
    <col min="15114" max="15115" width="27.453125" style="19" bestFit="1" customWidth="1"/>
    <col min="15116" max="15116" width="27.54296875" style="19" bestFit="1" customWidth="1"/>
    <col min="15117" max="15117" width="27.1796875" style="19" bestFit="1" customWidth="1"/>
    <col min="15118" max="15118" width="27.54296875" style="19" bestFit="1" customWidth="1"/>
    <col min="15119" max="15360" width="8.7265625" style="19"/>
    <col min="15361" max="15361" width="73.453125" style="19" customWidth="1"/>
    <col min="15362" max="15362" width="8.7265625" style="19"/>
    <col min="15363" max="15364" width="26.81640625" style="19" bestFit="1" customWidth="1"/>
    <col min="15365" max="15365" width="10.1796875" style="19" customWidth="1"/>
    <col min="15366" max="15366" width="27.453125" style="19" bestFit="1" customWidth="1"/>
    <col min="15367" max="15367" width="27.1796875" style="19" bestFit="1" customWidth="1"/>
    <col min="15368" max="15368" width="27.453125" style="19" bestFit="1" customWidth="1"/>
    <col min="15369" max="15369" width="27.1796875" style="19" bestFit="1" customWidth="1"/>
    <col min="15370" max="15371" width="27.453125" style="19" bestFit="1" customWidth="1"/>
    <col min="15372" max="15372" width="27.54296875" style="19" bestFit="1" customWidth="1"/>
    <col min="15373" max="15373" width="27.1796875" style="19" bestFit="1" customWidth="1"/>
    <col min="15374" max="15374" width="27.54296875" style="19" bestFit="1" customWidth="1"/>
    <col min="15375" max="15616" width="8.7265625" style="19"/>
    <col min="15617" max="15617" width="73.453125" style="19" customWidth="1"/>
    <col min="15618" max="15618" width="8.7265625" style="19"/>
    <col min="15619" max="15620" width="26.81640625" style="19" bestFit="1" customWidth="1"/>
    <col min="15621" max="15621" width="10.1796875" style="19" customWidth="1"/>
    <col min="15622" max="15622" width="27.453125" style="19" bestFit="1" customWidth="1"/>
    <col min="15623" max="15623" width="27.1796875" style="19" bestFit="1" customWidth="1"/>
    <col min="15624" max="15624" width="27.453125" style="19" bestFit="1" customWidth="1"/>
    <col min="15625" max="15625" width="27.1796875" style="19" bestFit="1" customWidth="1"/>
    <col min="15626" max="15627" width="27.453125" style="19" bestFit="1" customWidth="1"/>
    <col min="15628" max="15628" width="27.54296875" style="19" bestFit="1" customWidth="1"/>
    <col min="15629" max="15629" width="27.1796875" style="19" bestFit="1" customWidth="1"/>
    <col min="15630" max="15630" width="27.54296875" style="19" bestFit="1" customWidth="1"/>
    <col min="15631" max="15872" width="8.7265625" style="19"/>
    <col min="15873" max="15873" width="73.453125" style="19" customWidth="1"/>
    <col min="15874" max="15874" width="8.7265625" style="19"/>
    <col min="15875" max="15876" width="26.81640625" style="19" bestFit="1" customWidth="1"/>
    <col min="15877" max="15877" width="10.1796875" style="19" customWidth="1"/>
    <col min="15878" max="15878" width="27.453125" style="19" bestFit="1" customWidth="1"/>
    <col min="15879" max="15879" width="27.1796875" style="19" bestFit="1" customWidth="1"/>
    <col min="15880" max="15880" width="27.453125" style="19" bestFit="1" customWidth="1"/>
    <col min="15881" max="15881" width="27.1796875" style="19" bestFit="1" customWidth="1"/>
    <col min="15882" max="15883" width="27.453125" style="19" bestFit="1" customWidth="1"/>
    <col min="15884" max="15884" width="27.54296875" style="19" bestFit="1" customWidth="1"/>
    <col min="15885" max="15885" width="27.1796875" style="19" bestFit="1" customWidth="1"/>
    <col min="15886" max="15886" width="27.54296875" style="19" bestFit="1" customWidth="1"/>
    <col min="15887" max="16128" width="8.7265625" style="19"/>
    <col min="16129" max="16129" width="73.453125" style="19" customWidth="1"/>
    <col min="16130" max="16130" width="8.7265625" style="19"/>
    <col min="16131" max="16132" width="26.81640625" style="19" bestFit="1" customWidth="1"/>
    <col min="16133" max="16133" width="10.1796875" style="19" customWidth="1"/>
    <col min="16134" max="16134" width="27.453125" style="19" bestFit="1" customWidth="1"/>
    <col min="16135" max="16135" width="27.1796875" style="19" bestFit="1" customWidth="1"/>
    <col min="16136" max="16136" width="27.453125" style="19" bestFit="1" customWidth="1"/>
    <col min="16137" max="16137" width="27.1796875" style="19" bestFit="1" customWidth="1"/>
    <col min="16138" max="16139" width="27.453125" style="19" bestFit="1" customWidth="1"/>
    <col min="16140" max="16140" width="27.54296875" style="19" bestFit="1" customWidth="1"/>
    <col min="16141" max="16141" width="27.1796875" style="19" bestFit="1" customWidth="1"/>
    <col min="16142" max="16142" width="27.54296875" style="19" bestFit="1" customWidth="1"/>
    <col min="16143" max="16384" width="8.7265625" style="19"/>
  </cols>
  <sheetData>
    <row r="1" spans="1:14" ht="18" x14ac:dyDescent="0.4">
      <c r="A1" s="15" t="s">
        <v>465</v>
      </c>
    </row>
    <row r="2" spans="1:14" ht="13" thickBot="1" x14ac:dyDescent="0.3"/>
    <row r="3" spans="1:14" ht="13" x14ac:dyDescent="0.3">
      <c r="A3" s="20"/>
      <c r="C3" s="23" t="s">
        <v>69</v>
      </c>
      <c r="D3" s="24">
        <v>2025</v>
      </c>
    </row>
    <row r="4" spans="1:14" ht="13.5" thickBot="1" x14ac:dyDescent="0.35">
      <c r="A4" s="20"/>
      <c r="C4" s="25" t="s">
        <v>88</v>
      </c>
      <c r="D4" s="26">
        <v>4</v>
      </c>
    </row>
    <row r="5" spans="1:14" ht="13" x14ac:dyDescent="0.3">
      <c r="A5" s="20"/>
    </row>
    <row r="6" spans="1:14" ht="13" x14ac:dyDescent="0.3">
      <c r="A6" s="20"/>
    </row>
    <row r="7" spans="1:14" x14ac:dyDescent="0.25">
      <c r="A7" s="21"/>
      <c r="C7" s="19" t="str">
        <f>"'Annual SeasTempAdj'!"</f>
        <v>'Annual SeasTempAdj'!</v>
      </c>
      <c r="F7" s="19" t="str">
        <f>"'Quarter SeasTempAdj'!"</f>
        <v>'Quarter SeasTempAdj'!</v>
      </c>
    </row>
    <row r="8" spans="1:14" x14ac:dyDescent="0.25">
      <c r="C8" s="75">
        <v>28</v>
      </c>
      <c r="D8" s="19">
        <f>C8+1</f>
        <v>29</v>
      </c>
      <c r="F8" s="75">
        <v>93</v>
      </c>
      <c r="G8" s="19">
        <f>F8+1</f>
        <v>94</v>
      </c>
      <c r="H8" s="19">
        <f t="shared" ref="H8:N8" si="0">G8+1</f>
        <v>95</v>
      </c>
      <c r="I8" s="19">
        <f t="shared" si="0"/>
        <v>96</v>
      </c>
      <c r="J8" s="19">
        <f t="shared" si="0"/>
        <v>97</v>
      </c>
      <c r="K8" s="19">
        <f t="shared" si="0"/>
        <v>98</v>
      </c>
      <c r="L8" s="19">
        <f t="shared" si="0"/>
        <v>99</v>
      </c>
      <c r="M8" s="19">
        <f t="shared" si="0"/>
        <v>100</v>
      </c>
      <c r="N8" s="19">
        <f t="shared" si="0"/>
        <v>101</v>
      </c>
    </row>
    <row r="10" spans="1:14" x14ac:dyDescent="0.25">
      <c r="B10" s="19">
        <v>1</v>
      </c>
      <c r="C10" s="19" t="str">
        <f>$C$7&amp;"r"&amp;C$8&amp;"c"&amp;$B10</f>
        <v>'Annual SeasTempAdj'!r28c1</v>
      </c>
      <c r="D10" s="19" t="str">
        <f>$C$7&amp;"r"&amp;D$8&amp;"c"&amp;$B10</f>
        <v>'Annual SeasTempAdj'!r29c1</v>
      </c>
      <c r="E10" s="19">
        <v>1</v>
      </c>
      <c r="F10" s="19" t="str">
        <f>$F$7&amp;"r"&amp;F$8&amp;"c"&amp;$E10</f>
        <v>'Quarter SeasTempAdj'!r93c1</v>
      </c>
      <c r="G10" s="19" t="str">
        <f t="shared" ref="G10:N10" si="1">$F$7&amp;"r"&amp;G$8&amp;"c"&amp;$E10</f>
        <v>'Quarter SeasTempAdj'!r94c1</v>
      </c>
      <c r="H10" s="19" t="str">
        <f t="shared" si="1"/>
        <v>'Quarter SeasTempAdj'!r95c1</v>
      </c>
      <c r="I10" s="19" t="str">
        <f t="shared" si="1"/>
        <v>'Quarter SeasTempAdj'!r96c1</v>
      </c>
      <c r="J10" s="19" t="str">
        <f t="shared" si="1"/>
        <v>'Quarter SeasTempAdj'!r97c1</v>
      </c>
      <c r="K10" s="19" t="str">
        <f t="shared" si="1"/>
        <v>'Quarter SeasTempAdj'!r98c1</v>
      </c>
      <c r="L10" s="19" t="str">
        <f t="shared" si="1"/>
        <v>'Quarter SeasTempAdj'!r99c1</v>
      </c>
      <c r="M10" s="19" t="str">
        <f t="shared" si="1"/>
        <v>'Quarter SeasTempAdj'!r100c1</v>
      </c>
      <c r="N10" s="19" t="str">
        <f t="shared" si="1"/>
        <v>'Quarter SeasTempAdj'!r101c1</v>
      </c>
    </row>
    <row r="11" spans="1:14" ht="13" x14ac:dyDescent="0.3">
      <c r="A11" s="27"/>
    </row>
    <row r="12" spans="1:14" x14ac:dyDescent="0.25">
      <c r="A12" s="242" t="s">
        <v>100</v>
      </c>
      <c r="B12" s="243"/>
      <c r="C12" s="243"/>
      <c r="D12" s="243"/>
      <c r="E12" s="243"/>
      <c r="F12" s="243"/>
    </row>
    <row r="13" spans="1:14" x14ac:dyDescent="0.25">
      <c r="A13" s="28" t="s">
        <v>63</v>
      </c>
      <c r="B13" s="19">
        <v>3</v>
      </c>
      <c r="C13" s="19" t="str">
        <f t="shared" ref="C13:D17" si="2">$C$7&amp;"r"&amp;C$8&amp;"c"&amp;$B13</f>
        <v>'Annual SeasTempAdj'!r28c3</v>
      </c>
      <c r="D13" s="19" t="str">
        <f t="shared" si="2"/>
        <v>'Annual SeasTempAdj'!r29c3</v>
      </c>
      <c r="E13" s="19">
        <v>3</v>
      </c>
      <c r="F13" s="19" t="str">
        <f t="shared" ref="F13:N17" si="3">$F$7&amp;"r"&amp;F$8&amp;"c"&amp;$E13</f>
        <v>'Quarter SeasTempAdj'!r93c3</v>
      </c>
      <c r="G13" s="19" t="str">
        <f t="shared" si="3"/>
        <v>'Quarter SeasTempAdj'!r94c3</v>
      </c>
      <c r="H13" s="19" t="str">
        <f t="shared" si="3"/>
        <v>'Quarter SeasTempAdj'!r95c3</v>
      </c>
      <c r="I13" s="19" t="str">
        <f t="shared" si="3"/>
        <v>'Quarter SeasTempAdj'!r96c3</v>
      </c>
      <c r="J13" s="19" t="str">
        <f t="shared" si="3"/>
        <v>'Quarter SeasTempAdj'!r97c3</v>
      </c>
      <c r="K13" s="19" t="str">
        <f t="shared" si="3"/>
        <v>'Quarter SeasTempAdj'!r98c3</v>
      </c>
      <c r="L13" s="19" t="str">
        <f t="shared" si="3"/>
        <v>'Quarter SeasTempAdj'!r99c3</v>
      </c>
      <c r="M13" s="19" t="str">
        <f t="shared" si="3"/>
        <v>'Quarter SeasTempAdj'!r100c3</v>
      </c>
      <c r="N13" s="19" t="str">
        <f t="shared" si="3"/>
        <v>'Quarter SeasTempAdj'!r101c3</v>
      </c>
    </row>
    <row r="14" spans="1:14" x14ac:dyDescent="0.25">
      <c r="A14" s="28" t="s">
        <v>64</v>
      </c>
      <c r="B14" s="19">
        <v>4</v>
      </c>
      <c r="C14" s="19" t="str">
        <f t="shared" si="2"/>
        <v>'Annual SeasTempAdj'!r28c4</v>
      </c>
      <c r="D14" s="19" t="str">
        <f t="shared" si="2"/>
        <v>'Annual SeasTempAdj'!r29c4</v>
      </c>
      <c r="E14" s="19">
        <v>4</v>
      </c>
      <c r="F14" s="19" t="str">
        <f t="shared" si="3"/>
        <v>'Quarter SeasTempAdj'!r93c4</v>
      </c>
      <c r="G14" s="19" t="str">
        <f t="shared" si="3"/>
        <v>'Quarter SeasTempAdj'!r94c4</v>
      </c>
      <c r="H14" s="19" t="str">
        <f t="shared" si="3"/>
        <v>'Quarter SeasTempAdj'!r95c4</v>
      </c>
      <c r="I14" s="19" t="str">
        <f t="shared" si="3"/>
        <v>'Quarter SeasTempAdj'!r96c4</v>
      </c>
      <c r="J14" s="19" t="str">
        <f t="shared" si="3"/>
        <v>'Quarter SeasTempAdj'!r97c4</v>
      </c>
      <c r="K14" s="19" t="str">
        <f t="shared" si="3"/>
        <v>'Quarter SeasTempAdj'!r98c4</v>
      </c>
      <c r="L14" s="19" t="str">
        <f t="shared" si="3"/>
        <v>'Quarter SeasTempAdj'!r99c4</v>
      </c>
      <c r="M14" s="19" t="str">
        <f t="shared" si="3"/>
        <v>'Quarter SeasTempAdj'!r100c4</v>
      </c>
      <c r="N14" s="19" t="str">
        <f t="shared" si="3"/>
        <v>'Quarter SeasTempAdj'!r101c4</v>
      </c>
    </row>
    <row r="15" spans="1:14" x14ac:dyDescent="0.25">
      <c r="A15" s="28" t="s">
        <v>65</v>
      </c>
      <c r="B15" s="19">
        <v>5</v>
      </c>
      <c r="C15" s="19" t="str">
        <f t="shared" si="2"/>
        <v>'Annual SeasTempAdj'!r28c5</v>
      </c>
      <c r="D15" s="19" t="str">
        <f t="shared" si="2"/>
        <v>'Annual SeasTempAdj'!r29c5</v>
      </c>
      <c r="E15" s="19">
        <v>5</v>
      </c>
      <c r="F15" s="19" t="str">
        <f t="shared" si="3"/>
        <v>'Quarter SeasTempAdj'!r93c5</v>
      </c>
      <c r="G15" s="19" t="str">
        <f t="shared" si="3"/>
        <v>'Quarter SeasTempAdj'!r94c5</v>
      </c>
      <c r="H15" s="19" t="str">
        <f t="shared" si="3"/>
        <v>'Quarter SeasTempAdj'!r95c5</v>
      </c>
      <c r="I15" s="19" t="str">
        <f t="shared" si="3"/>
        <v>'Quarter SeasTempAdj'!r96c5</v>
      </c>
      <c r="J15" s="19" t="str">
        <f t="shared" si="3"/>
        <v>'Quarter SeasTempAdj'!r97c5</v>
      </c>
      <c r="K15" s="19" t="str">
        <f t="shared" si="3"/>
        <v>'Quarter SeasTempAdj'!r98c5</v>
      </c>
      <c r="L15" s="19" t="str">
        <f t="shared" si="3"/>
        <v>'Quarter SeasTempAdj'!r99c5</v>
      </c>
      <c r="M15" s="19" t="str">
        <f t="shared" si="3"/>
        <v>'Quarter SeasTempAdj'!r100c5</v>
      </c>
      <c r="N15" s="19" t="str">
        <f t="shared" si="3"/>
        <v>'Quarter SeasTempAdj'!r101c5</v>
      </c>
    </row>
    <row r="16" spans="1:14" x14ac:dyDescent="0.25">
      <c r="A16" s="28" t="s">
        <v>66</v>
      </c>
      <c r="B16" s="19">
        <v>6</v>
      </c>
      <c r="C16" s="19" t="str">
        <f t="shared" si="2"/>
        <v>'Annual SeasTempAdj'!r28c6</v>
      </c>
      <c r="D16" s="19" t="str">
        <f t="shared" si="2"/>
        <v>'Annual SeasTempAdj'!r29c6</v>
      </c>
      <c r="E16" s="19">
        <v>6</v>
      </c>
      <c r="F16" s="19" t="str">
        <f t="shared" si="3"/>
        <v>'Quarter SeasTempAdj'!r93c6</v>
      </c>
      <c r="G16" s="19" t="str">
        <f t="shared" si="3"/>
        <v>'Quarter SeasTempAdj'!r94c6</v>
      </c>
      <c r="H16" s="19" t="str">
        <f t="shared" si="3"/>
        <v>'Quarter SeasTempAdj'!r95c6</v>
      </c>
      <c r="I16" s="19" t="str">
        <f t="shared" si="3"/>
        <v>'Quarter SeasTempAdj'!r96c6</v>
      </c>
      <c r="J16" s="19" t="str">
        <f t="shared" si="3"/>
        <v>'Quarter SeasTempAdj'!r97c6</v>
      </c>
      <c r="K16" s="19" t="str">
        <f t="shared" si="3"/>
        <v>'Quarter SeasTempAdj'!r98c6</v>
      </c>
      <c r="L16" s="19" t="str">
        <f t="shared" si="3"/>
        <v>'Quarter SeasTempAdj'!r99c6</v>
      </c>
      <c r="M16" s="19" t="str">
        <f t="shared" si="3"/>
        <v>'Quarter SeasTempAdj'!r100c6</v>
      </c>
      <c r="N16" s="19" t="str">
        <f t="shared" si="3"/>
        <v>'Quarter SeasTempAdj'!r101c6</v>
      </c>
    </row>
    <row r="17" spans="1:14" x14ac:dyDescent="0.25">
      <c r="A17" s="28" t="s">
        <v>62</v>
      </c>
      <c r="B17" s="19">
        <v>2</v>
      </c>
      <c r="C17" s="19" t="str">
        <f t="shared" si="2"/>
        <v>'Annual SeasTempAdj'!r28c2</v>
      </c>
      <c r="D17" s="19" t="str">
        <f t="shared" si="2"/>
        <v>'Annual SeasTempAdj'!r29c2</v>
      </c>
      <c r="E17" s="19">
        <v>2</v>
      </c>
      <c r="F17" s="19" t="str">
        <f t="shared" si="3"/>
        <v>'Quarter SeasTempAdj'!r93c2</v>
      </c>
      <c r="G17" s="19" t="str">
        <f t="shared" si="3"/>
        <v>'Quarter SeasTempAdj'!r94c2</v>
      </c>
      <c r="H17" s="19" t="str">
        <f t="shared" si="3"/>
        <v>'Quarter SeasTempAdj'!r95c2</v>
      </c>
      <c r="I17" s="19" t="str">
        <f t="shared" si="3"/>
        <v>'Quarter SeasTempAdj'!r96c2</v>
      </c>
      <c r="J17" s="19" t="str">
        <f t="shared" si="3"/>
        <v>'Quarter SeasTempAdj'!r97c2</v>
      </c>
      <c r="K17" s="19" t="str">
        <f t="shared" si="3"/>
        <v>'Quarter SeasTempAdj'!r98c2</v>
      </c>
      <c r="L17" s="19" t="str">
        <f t="shared" si="3"/>
        <v>'Quarter SeasTempAdj'!r99c2</v>
      </c>
      <c r="M17" s="19" t="str">
        <f t="shared" si="3"/>
        <v>'Quarter SeasTempAdj'!r100c2</v>
      </c>
      <c r="N17" s="19" t="str">
        <f t="shared" si="3"/>
        <v>'Quarter SeasTempAdj'!r101c2</v>
      </c>
    </row>
    <row r="18" spans="1:14" x14ac:dyDescent="0.25">
      <c r="A18" s="28"/>
    </row>
    <row r="19" spans="1:14" ht="13" x14ac:dyDescent="0.3">
      <c r="A19" s="37" t="s">
        <v>101</v>
      </c>
      <c r="B19" s="22"/>
      <c r="C19" s="22"/>
      <c r="D19" s="22"/>
      <c r="E19" s="22"/>
    </row>
    <row r="20" spans="1:14" x14ac:dyDescent="0.25">
      <c r="A20" s="28" t="s">
        <v>63</v>
      </c>
      <c r="B20" s="19">
        <v>8</v>
      </c>
      <c r="C20" s="19" t="str">
        <f t="shared" ref="C20:D24" si="4">$C$7&amp;"r"&amp;C$8&amp;"c"&amp;$B20</f>
        <v>'Annual SeasTempAdj'!r28c8</v>
      </c>
      <c r="D20" s="19" t="str">
        <f t="shared" si="4"/>
        <v>'Annual SeasTempAdj'!r29c8</v>
      </c>
      <c r="E20" s="19">
        <v>8</v>
      </c>
      <c r="F20" s="19" t="str">
        <f t="shared" ref="F20:N24" si="5">$F$7&amp;"r"&amp;F$8&amp;"c"&amp;$E20</f>
        <v>'Quarter SeasTempAdj'!r93c8</v>
      </c>
      <c r="G20" s="19" t="str">
        <f t="shared" si="5"/>
        <v>'Quarter SeasTempAdj'!r94c8</v>
      </c>
      <c r="H20" s="19" t="str">
        <f t="shared" si="5"/>
        <v>'Quarter SeasTempAdj'!r95c8</v>
      </c>
      <c r="I20" s="19" t="str">
        <f t="shared" si="5"/>
        <v>'Quarter SeasTempAdj'!r96c8</v>
      </c>
      <c r="J20" s="19" t="str">
        <f t="shared" si="5"/>
        <v>'Quarter SeasTempAdj'!r97c8</v>
      </c>
      <c r="K20" s="19" t="str">
        <f t="shared" si="5"/>
        <v>'Quarter SeasTempAdj'!r98c8</v>
      </c>
      <c r="L20" s="19" t="str">
        <f t="shared" si="5"/>
        <v>'Quarter SeasTempAdj'!r99c8</v>
      </c>
      <c r="M20" s="19" t="str">
        <f t="shared" si="5"/>
        <v>'Quarter SeasTempAdj'!r100c8</v>
      </c>
      <c r="N20" s="19" t="str">
        <f t="shared" si="5"/>
        <v>'Quarter SeasTempAdj'!r101c8</v>
      </c>
    </row>
    <row r="21" spans="1:14" x14ac:dyDescent="0.25">
      <c r="A21" s="28" t="s">
        <v>64</v>
      </c>
      <c r="B21" s="19">
        <v>9</v>
      </c>
      <c r="C21" s="19" t="str">
        <f t="shared" si="4"/>
        <v>'Annual SeasTempAdj'!r28c9</v>
      </c>
      <c r="D21" s="19" t="str">
        <f t="shared" si="4"/>
        <v>'Annual SeasTempAdj'!r29c9</v>
      </c>
      <c r="E21" s="19">
        <v>9</v>
      </c>
      <c r="F21" s="19" t="str">
        <f t="shared" si="5"/>
        <v>'Quarter SeasTempAdj'!r93c9</v>
      </c>
      <c r="G21" s="19" t="str">
        <f t="shared" si="5"/>
        <v>'Quarter SeasTempAdj'!r94c9</v>
      </c>
      <c r="H21" s="19" t="str">
        <f t="shared" si="5"/>
        <v>'Quarter SeasTempAdj'!r95c9</v>
      </c>
      <c r="I21" s="19" t="str">
        <f t="shared" si="5"/>
        <v>'Quarter SeasTempAdj'!r96c9</v>
      </c>
      <c r="J21" s="19" t="str">
        <f t="shared" si="5"/>
        <v>'Quarter SeasTempAdj'!r97c9</v>
      </c>
      <c r="K21" s="19" t="str">
        <f t="shared" si="5"/>
        <v>'Quarter SeasTempAdj'!r98c9</v>
      </c>
      <c r="L21" s="19" t="str">
        <f t="shared" si="5"/>
        <v>'Quarter SeasTempAdj'!r99c9</v>
      </c>
      <c r="M21" s="19" t="str">
        <f t="shared" si="5"/>
        <v>'Quarter SeasTempAdj'!r100c9</v>
      </c>
      <c r="N21" s="19" t="str">
        <f t="shared" si="5"/>
        <v>'Quarter SeasTempAdj'!r101c9</v>
      </c>
    </row>
    <row r="22" spans="1:14" x14ac:dyDescent="0.25">
      <c r="A22" s="28" t="s">
        <v>65</v>
      </c>
      <c r="B22" s="19">
        <v>10</v>
      </c>
      <c r="C22" s="19" t="str">
        <f t="shared" si="4"/>
        <v>'Annual SeasTempAdj'!r28c10</v>
      </c>
      <c r="D22" s="19" t="str">
        <f t="shared" si="4"/>
        <v>'Annual SeasTempAdj'!r29c10</v>
      </c>
      <c r="E22" s="19">
        <v>10</v>
      </c>
      <c r="F22" s="19" t="str">
        <f t="shared" si="5"/>
        <v>'Quarter SeasTempAdj'!r93c10</v>
      </c>
      <c r="G22" s="19" t="str">
        <f t="shared" si="5"/>
        <v>'Quarter SeasTempAdj'!r94c10</v>
      </c>
      <c r="H22" s="19" t="str">
        <f t="shared" si="5"/>
        <v>'Quarter SeasTempAdj'!r95c10</v>
      </c>
      <c r="I22" s="19" t="str">
        <f t="shared" si="5"/>
        <v>'Quarter SeasTempAdj'!r96c10</v>
      </c>
      <c r="J22" s="19" t="str">
        <f t="shared" si="5"/>
        <v>'Quarter SeasTempAdj'!r97c10</v>
      </c>
      <c r="K22" s="19" t="str">
        <f t="shared" si="5"/>
        <v>'Quarter SeasTempAdj'!r98c10</v>
      </c>
      <c r="L22" s="19" t="str">
        <f t="shared" si="5"/>
        <v>'Quarter SeasTempAdj'!r99c10</v>
      </c>
      <c r="M22" s="19" t="str">
        <f t="shared" si="5"/>
        <v>'Quarter SeasTempAdj'!r100c10</v>
      </c>
      <c r="N22" s="19" t="str">
        <f t="shared" si="5"/>
        <v>'Quarter SeasTempAdj'!r101c10</v>
      </c>
    </row>
    <row r="23" spans="1:14" x14ac:dyDescent="0.25">
      <c r="A23" s="28" t="s">
        <v>66</v>
      </c>
      <c r="B23" s="19">
        <v>11</v>
      </c>
      <c r="C23" s="19" t="str">
        <f t="shared" si="4"/>
        <v>'Annual SeasTempAdj'!r28c11</v>
      </c>
      <c r="D23" s="19" t="str">
        <f t="shared" si="4"/>
        <v>'Annual SeasTempAdj'!r29c11</v>
      </c>
      <c r="E23" s="19">
        <v>11</v>
      </c>
      <c r="F23" s="19" t="str">
        <f t="shared" si="5"/>
        <v>'Quarter SeasTempAdj'!r93c11</v>
      </c>
      <c r="G23" s="19" t="str">
        <f t="shared" si="5"/>
        <v>'Quarter SeasTempAdj'!r94c11</v>
      </c>
      <c r="H23" s="19" t="str">
        <f t="shared" si="5"/>
        <v>'Quarter SeasTempAdj'!r95c11</v>
      </c>
      <c r="I23" s="19" t="str">
        <f t="shared" si="5"/>
        <v>'Quarter SeasTempAdj'!r96c11</v>
      </c>
      <c r="J23" s="19" t="str">
        <f t="shared" si="5"/>
        <v>'Quarter SeasTempAdj'!r97c11</v>
      </c>
      <c r="K23" s="19" t="str">
        <f t="shared" si="5"/>
        <v>'Quarter SeasTempAdj'!r98c11</v>
      </c>
      <c r="L23" s="19" t="str">
        <f t="shared" si="5"/>
        <v>'Quarter SeasTempAdj'!r99c11</v>
      </c>
      <c r="M23" s="19" t="str">
        <f t="shared" si="5"/>
        <v>'Quarter SeasTempAdj'!r100c11</v>
      </c>
      <c r="N23" s="19" t="str">
        <f t="shared" si="5"/>
        <v>'Quarter SeasTempAdj'!r101c11</v>
      </c>
    </row>
    <row r="24" spans="1:14" x14ac:dyDescent="0.25">
      <c r="A24" s="28" t="s">
        <v>62</v>
      </c>
      <c r="B24" s="19">
        <v>7</v>
      </c>
      <c r="C24" s="19" t="str">
        <f t="shared" si="4"/>
        <v>'Annual SeasTempAdj'!r28c7</v>
      </c>
      <c r="D24" s="19" t="str">
        <f t="shared" si="4"/>
        <v>'Annual SeasTempAdj'!r29c7</v>
      </c>
      <c r="E24" s="19">
        <v>7</v>
      </c>
      <c r="F24" s="19" t="str">
        <f t="shared" si="5"/>
        <v>'Quarter SeasTempAdj'!r93c7</v>
      </c>
      <c r="G24" s="19" t="str">
        <f t="shared" si="5"/>
        <v>'Quarter SeasTempAdj'!r94c7</v>
      </c>
      <c r="H24" s="19" t="str">
        <f t="shared" si="5"/>
        <v>'Quarter SeasTempAdj'!r95c7</v>
      </c>
      <c r="I24" s="19" t="str">
        <f t="shared" si="5"/>
        <v>'Quarter SeasTempAdj'!r96c7</v>
      </c>
      <c r="J24" s="19" t="str">
        <f t="shared" si="5"/>
        <v>'Quarter SeasTempAdj'!r97c7</v>
      </c>
      <c r="K24" s="19" t="str">
        <f t="shared" si="5"/>
        <v>'Quarter SeasTempAdj'!r98c7</v>
      </c>
      <c r="L24" s="19" t="str">
        <f t="shared" si="5"/>
        <v>'Quarter SeasTempAdj'!r99c7</v>
      </c>
      <c r="M24" s="19" t="str">
        <f t="shared" si="5"/>
        <v>'Quarter SeasTempAdj'!r100c7</v>
      </c>
      <c r="N24" s="19" t="str">
        <f t="shared" si="5"/>
        <v>'Quarter SeasTempAdj'!r101c7</v>
      </c>
    </row>
    <row r="25" spans="1:14" x14ac:dyDescent="0.25">
      <c r="A25" s="28"/>
    </row>
    <row r="26" spans="1:14" x14ac:dyDescent="0.25">
      <c r="A26" s="242" t="s">
        <v>102</v>
      </c>
      <c r="B26" s="243"/>
      <c r="C26" s="243"/>
      <c r="D26" s="243"/>
    </row>
    <row r="27" spans="1:14" x14ac:dyDescent="0.25">
      <c r="A27" s="28" t="s">
        <v>67</v>
      </c>
      <c r="B27" s="19">
        <v>13</v>
      </c>
      <c r="C27" s="19" t="str">
        <f t="shared" ref="C27:D30" si="6">$C$7&amp;"r"&amp;C$8&amp;"c"&amp;$B27</f>
        <v>'Annual SeasTempAdj'!r28c13</v>
      </c>
      <c r="D27" s="19" t="str">
        <f t="shared" si="6"/>
        <v>'Annual SeasTempAdj'!r29c13</v>
      </c>
      <c r="E27" s="19">
        <v>13</v>
      </c>
      <c r="F27" s="19" t="str">
        <f t="shared" ref="F27:N30" si="7">$F$7&amp;"r"&amp;F$8&amp;"c"&amp;$E27</f>
        <v>'Quarter SeasTempAdj'!r93c13</v>
      </c>
      <c r="G27" s="19" t="str">
        <f t="shared" si="7"/>
        <v>'Quarter SeasTempAdj'!r94c13</v>
      </c>
      <c r="H27" s="19" t="str">
        <f t="shared" si="7"/>
        <v>'Quarter SeasTempAdj'!r95c13</v>
      </c>
      <c r="I27" s="19" t="str">
        <f t="shared" si="7"/>
        <v>'Quarter SeasTempAdj'!r96c13</v>
      </c>
      <c r="J27" s="19" t="str">
        <f t="shared" si="7"/>
        <v>'Quarter SeasTempAdj'!r97c13</v>
      </c>
      <c r="K27" s="19" t="str">
        <f t="shared" si="7"/>
        <v>'Quarter SeasTempAdj'!r98c13</v>
      </c>
      <c r="L27" s="19" t="str">
        <f t="shared" si="7"/>
        <v>'Quarter SeasTempAdj'!r99c13</v>
      </c>
      <c r="M27" s="19" t="str">
        <f t="shared" si="7"/>
        <v>'Quarter SeasTempAdj'!r100c13</v>
      </c>
      <c r="N27" s="19" t="str">
        <f t="shared" si="7"/>
        <v>'Quarter SeasTempAdj'!r101c13</v>
      </c>
    </row>
    <row r="28" spans="1:14" x14ac:dyDescent="0.25">
      <c r="A28" s="28" t="s">
        <v>59</v>
      </c>
      <c r="B28" s="19">
        <v>14</v>
      </c>
      <c r="C28" s="19" t="str">
        <f t="shared" si="6"/>
        <v>'Annual SeasTempAdj'!r28c14</v>
      </c>
      <c r="D28" s="19" t="str">
        <f t="shared" si="6"/>
        <v>'Annual SeasTempAdj'!r29c14</v>
      </c>
      <c r="E28" s="19">
        <v>14</v>
      </c>
      <c r="F28" s="19" t="str">
        <f t="shared" si="7"/>
        <v>'Quarter SeasTempAdj'!r93c14</v>
      </c>
      <c r="G28" s="19" t="str">
        <f t="shared" si="7"/>
        <v>'Quarter SeasTempAdj'!r94c14</v>
      </c>
      <c r="H28" s="19" t="str">
        <f t="shared" si="7"/>
        <v>'Quarter SeasTempAdj'!r95c14</v>
      </c>
      <c r="I28" s="19" t="str">
        <f t="shared" si="7"/>
        <v>'Quarter SeasTempAdj'!r96c14</v>
      </c>
      <c r="J28" s="19" t="str">
        <f t="shared" si="7"/>
        <v>'Quarter SeasTempAdj'!r97c14</v>
      </c>
      <c r="K28" s="19" t="str">
        <f t="shared" si="7"/>
        <v>'Quarter SeasTempAdj'!r98c14</v>
      </c>
      <c r="L28" s="19" t="str">
        <f t="shared" si="7"/>
        <v>'Quarter SeasTempAdj'!r99c14</v>
      </c>
      <c r="M28" s="19" t="str">
        <f t="shared" si="7"/>
        <v>'Quarter SeasTempAdj'!r100c14</v>
      </c>
      <c r="N28" s="19" t="str">
        <f t="shared" si="7"/>
        <v>'Quarter SeasTempAdj'!r101c14</v>
      </c>
    </row>
    <row r="29" spans="1:14" x14ac:dyDescent="0.25">
      <c r="A29" s="28" t="s">
        <v>79</v>
      </c>
      <c r="B29" s="19">
        <v>15</v>
      </c>
      <c r="C29" s="19" t="str">
        <f t="shared" si="6"/>
        <v>'Annual SeasTempAdj'!r28c15</v>
      </c>
      <c r="D29" s="19" t="str">
        <f t="shared" si="6"/>
        <v>'Annual SeasTempAdj'!r29c15</v>
      </c>
      <c r="E29" s="19">
        <v>15</v>
      </c>
      <c r="F29" s="19" t="str">
        <f t="shared" si="7"/>
        <v>'Quarter SeasTempAdj'!r93c15</v>
      </c>
      <c r="G29" s="19" t="str">
        <f t="shared" si="7"/>
        <v>'Quarter SeasTempAdj'!r94c15</v>
      </c>
      <c r="H29" s="19" t="str">
        <f t="shared" si="7"/>
        <v>'Quarter SeasTempAdj'!r95c15</v>
      </c>
      <c r="I29" s="19" t="str">
        <f t="shared" si="7"/>
        <v>'Quarter SeasTempAdj'!r96c15</v>
      </c>
      <c r="J29" s="19" t="str">
        <f t="shared" si="7"/>
        <v>'Quarter SeasTempAdj'!r97c15</v>
      </c>
      <c r="K29" s="19" t="str">
        <f t="shared" si="7"/>
        <v>'Quarter SeasTempAdj'!r98c15</v>
      </c>
      <c r="L29" s="19" t="str">
        <f t="shared" si="7"/>
        <v>'Quarter SeasTempAdj'!r99c15</v>
      </c>
      <c r="M29" s="19" t="str">
        <f t="shared" si="7"/>
        <v>'Quarter SeasTempAdj'!r100c15</v>
      </c>
      <c r="N29" s="19" t="str">
        <f t="shared" si="7"/>
        <v>'Quarter SeasTempAdj'!r101c15</v>
      </c>
    </row>
    <row r="30" spans="1:14" x14ac:dyDescent="0.25">
      <c r="A30" s="28" t="s">
        <v>62</v>
      </c>
      <c r="B30" s="19">
        <v>12</v>
      </c>
      <c r="C30" s="19" t="str">
        <f t="shared" si="6"/>
        <v>'Annual SeasTempAdj'!r28c12</v>
      </c>
      <c r="D30" s="19" t="str">
        <f t="shared" si="6"/>
        <v>'Annual SeasTempAdj'!r29c12</v>
      </c>
      <c r="E30" s="19">
        <v>12</v>
      </c>
      <c r="F30" s="19" t="str">
        <f t="shared" si="7"/>
        <v>'Quarter SeasTempAdj'!r93c12</v>
      </c>
      <c r="G30" s="19" t="str">
        <f t="shared" si="7"/>
        <v>'Quarter SeasTempAdj'!r94c12</v>
      </c>
      <c r="H30" s="19" t="str">
        <f t="shared" si="7"/>
        <v>'Quarter SeasTempAdj'!r95c12</v>
      </c>
      <c r="I30" s="19" t="str">
        <f t="shared" si="7"/>
        <v>'Quarter SeasTempAdj'!r96c12</v>
      </c>
      <c r="J30" s="19" t="str">
        <f t="shared" si="7"/>
        <v>'Quarter SeasTempAdj'!r97c12</v>
      </c>
      <c r="K30" s="19" t="str">
        <f t="shared" si="7"/>
        <v>'Quarter SeasTempAdj'!r98c12</v>
      </c>
      <c r="L30" s="19" t="str">
        <f t="shared" si="7"/>
        <v>'Quarter SeasTempAdj'!r99c12</v>
      </c>
      <c r="M30" s="19" t="str">
        <f t="shared" si="7"/>
        <v>'Quarter SeasTempAdj'!r100c12</v>
      </c>
      <c r="N30" s="19" t="str">
        <f t="shared" si="7"/>
        <v>'Quarter SeasTempAdj'!r101c12</v>
      </c>
    </row>
    <row r="31" spans="1:14" x14ac:dyDescent="0.25">
      <c r="A31" s="28"/>
    </row>
    <row r="32" spans="1:14" ht="13" x14ac:dyDescent="0.3">
      <c r="A32" s="37" t="s">
        <v>103</v>
      </c>
      <c r="B32" s="37"/>
      <c r="C32" s="37"/>
      <c r="D32" s="37"/>
      <c r="E32" s="37"/>
    </row>
    <row r="33" spans="1:14" x14ac:dyDescent="0.25">
      <c r="A33" s="28" t="s">
        <v>67</v>
      </c>
      <c r="B33" s="19">
        <v>17</v>
      </c>
      <c r="C33" s="19" t="str">
        <f t="shared" ref="C33:D36" si="8">$C$7&amp;"r"&amp;C$8&amp;"c"&amp;$B33</f>
        <v>'Annual SeasTempAdj'!r28c17</v>
      </c>
      <c r="D33" s="19" t="str">
        <f t="shared" si="8"/>
        <v>'Annual SeasTempAdj'!r29c17</v>
      </c>
      <c r="E33" s="19">
        <v>17</v>
      </c>
      <c r="F33" s="19" t="str">
        <f t="shared" ref="F33:N36" si="9">$F$7&amp;"r"&amp;F$8&amp;"c"&amp;$E33</f>
        <v>'Quarter SeasTempAdj'!r93c17</v>
      </c>
      <c r="G33" s="19" t="str">
        <f t="shared" si="9"/>
        <v>'Quarter SeasTempAdj'!r94c17</v>
      </c>
      <c r="H33" s="19" t="str">
        <f t="shared" si="9"/>
        <v>'Quarter SeasTempAdj'!r95c17</v>
      </c>
      <c r="I33" s="19" t="str">
        <f t="shared" si="9"/>
        <v>'Quarter SeasTempAdj'!r96c17</v>
      </c>
      <c r="J33" s="19" t="str">
        <f t="shared" si="9"/>
        <v>'Quarter SeasTempAdj'!r97c17</v>
      </c>
      <c r="K33" s="19" t="str">
        <f t="shared" si="9"/>
        <v>'Quarter SeasTempAdj'!r98c17</v>
      </c>
      <c r="L33" s="19" t="str">
        <f t="shared" si="9"/>
        <v>'Quarter SeasTempAdj'!r99c17</v>
      </c>
      <c r="M33" s="19" t="str">
        <f t="shared" si="9"/>
        <v>'Quarter SeasTempAdj'!r100c17</v>
      </c>
      <c r="N33" s="19" t="str">
        <f t="shared" si="9"/>
        <v>'Quarter SeasTempAdj'!r101c17</v>
      </c>
    </row>
    <row r="34" spans="1:14" x14ac:dyDescent="0.25">
      <c r="A34" s="28" t="s">
        <v>59</v>
      </c>
      <c r="B34" s="19">
        <v>18</v>
      </c>
      <c r="C34" s="19" t="str">
        <f t="shared" si="8"/>
        <v>'Annual SeasTempAdj'!r28c18</v>
      </c>
      <c r="D34" s="19" t="str">
        <f t="shared" si="8"/>
        <v>'Annual SeasTempAdj'!r29c18</v>
      </c>
      <c r="E34" s="19">
        <v>18</v>
      </c>
      <c r="F34" s="19" t="str">
        <f t="shared" si="9"/>
        <v>'Quarter SeasTempAdj'!r93c18</v>
      </c>
      <c r="G34" s="19" t="str">
        <f t="shared" si="9"/>
        <v>'Quarter SeasTempAdj'!r94c18</v>
      </c>
      <c r="H34" s="19" t="str">
        <f t="shared" si="9"/>
        <v>'Quarter SeasTempAdj'!r95c18</v>
      </c>
      <c r="I34" s="19" t="str">
        <f t="shared" si="9"/>
        <v>'Quarter SeasTempAdj'!r96c18</v>
      </c>
      <c r="J34" s="19" t="str">
        <f t="shared" si="9"/>
        <v>'Quarter SeasTempAdj'!r97c18</v>
      </c>
      <c r="K34" s="19" t="str">
        <f t="shared" si="9"/>
        <v>'Quarter SeasTempAdj'!r98c18</v>
      </c>
      <c r="L34" s="19" t="str">
        <f t="shared" si="9"/>
        <v>'Quarter SeasTempAdj'!r99c18</v>
      </c>
      <c r="M34" s="19" t="str">
        <f t="shared" si="9"/>
        <v>'Quarter SeasTempAdj'!r100c18</v>
      </c>
      <c r="N34" s="19" t="str">
        <f t="shared" si="9"/>
        <v>'Quarter SeasTempAdj'!r101c18</v>
      </c>
    </row>
    <row r="35" spans="1:14" x14ac:dyDescent="0.25">
      <c r="A35" s="28" t="s">
        <v>79</v>
      </c>
      <c r="B35" s="19">
        <v>19</v>
      </c>
      <c r="C35" s="19" t="str">
        <f t="shared" si="8"/>
        <v>'Annual SeasTempAdj'!r28c19</v>
      </c>
      <c r="D35" s="19" t="str">
        <f t="shared" si="8"/>
        <v>'Annual SeasTempAdj'!r29c19</v>
      </c>
      <c r="E35" s="19">
        <v>19</v>
      </c>
      <c r="F35" s="19" t="str">
        <f t="shared" si="9"/>
        <v>'Quarter SeasTempAdj'!r93c19</v>
      </c>
      <c r="G35" s="19" t="str">
        <f t="shared" si="9"/>
        <v>'Quarter SeasTempAdj'!r94c19</v>
      </c>
      <c r="H35" s="19" t="str">
        <f t="shared" si="9"/>
        <v>'Quarter SeasTempAdj'!r95c19</v>
      </c>
      <c r="I35" s="19" t="str">
        <f t="shared" si="9"/>
        <v>'Quarter SeasTempAdj'!r96c19</v>
      </c>
      <c r="J35" s="19" t="str">
        <f t="shared" si="9"/>
        <v>'Quarter SeasTempAdj'!r97c19</v>
      </c>
      <c r="K35" s="19" t="str">
        <f t="shared" si="9"/>
        <v>'Quarter SeasTempAdj'!r98c19</v>
      </c>
      <c r="L35" s="19" t="str">
        <f t="shared" si="9"/>
        <v>'Quarter SeasTempAdj'!r99c19</v>
      </c>
      <c r="M35" s="19" t="str">
        <f t="shared" si="9"/>
        <v>'Quarter SeasTempAdj'!r100c19</v>
      </c>
      <c r="N35" s="19" t="str">
        <f t="shared" si="9"/>
        <v>'Quarter SeasTempAdj'!r101c19</v>
      </c>
    </row>
    <row r="36" spans="1:14" x14ac:dyDescent="0.25">
      <c r="A36" s="28" t="s">
        <v>62</v>
      </c>
      <c r="B36" s="19">
        <v>16</v>
      </c>
      <c r="C36" s="19" t="str">
        <f t="shared" si="8"/>
        <v>'Annual SeasTempAdj'!r28c16</v>
      </c>
      <c r="D36" s="19" t="str">
        <f t="shared" si="8"/>
        <v>'Annual SeasTempAdj'!r29c16</v>
      </c>
      <c r="E36" s="19">
        <v>16</v>
      </c>
      <c r="F36" s="19" t="str">
        <f t="shared" si="9"/>
        <v>'Quarter SeasTempAdj'!r93c16</v>
      </c>
      <c r="G36" s="19" t="str">
        <f t="shared" si="9"/>
        <v>'Quarter SeasTempAdj'!r94c16</v>
      </c>
      <c r="H36" s="19" t="str">
        <f t="shared" si="9"/>
        <v>'Quarter SeasTempAdj'!r95c16</v>
      </c>
      <c r="I36" s="19" t="str">
        <f t="shared" si="9"/>
        <v>'Quarter SeasTempAdj'!r96c16</v>
      </c>
      <c r="J36" s="19" t="str">
        <f t="shared" si="9"/>
        <v>'Quarter SeasTempAdj'!r97c16</v>
      </c>
      <c r="K36" s="19" t="str">
        <f t="shared" si="9"/>
        <v>'Quarter SeasTempAdj'!r98c16</v>
      </c>
      <c r="L36" s="19" t="str">
        <f t="shared" si="9"/>
        <v>'Quarter SeasTempAdj'!r99c16</v>
      </c>
      <c r="M36" s="19" t="str">
        <f t="shared" si="9"/>
        <v>'Quarter SeasTempAdj'!r100c16</v>
      </c>
      <c r="N36" s="19" t="str">
        <f t="shared" si="9"/>
        <v>'Quarter SeasTempAdj'!r101c16</v>
      </c>
    </row>
    <row r="37" spans="1:14" x14ac:dyDescent="0.25">
      <c r="A37" s="28"/>
    </row>
    <row r="38" spans="1:14" x14ac:dyDescent="0.25">
      <c r="A38" s="28"/>
    </row>
    <row r="39" spans="1:14" x14ac:dyDescent="0.25">
      <c r="A39" s="28"/>
    </row>
    <row r="40" spans="1:14" x14ac:dyDescent="0.25">
      <c r="A40" s="28"/>
    </row>
    <row r="41" spans="1:14" x14ac:dyDescent="0.25">
      <c r="A41" s="28"/>
    </row>
    <row r="42" spans="1:14" x14ac:dyDescent="0.25">
      <c r="A42" s="28"/>
    </row>
    <row r="43" spans="1:14" x14ac:dyDescent="0.25">
      <c r="A43" s="28"/>
    </row>
    <row r="44" spans="1:14" x14ac:dyDescent="0.25">
      <c r="A44" s="28"/>
    </row>
    <row r="46" spans="1:14" ht="13" x14ac:dyDescent="0.3">
      <c r="A46" s="29"/>
    </row>
    <row r="47" spans="1:14" x14ac:dyDescent="0.25">
      <c r="A47" s="28"/>
    </row>
    <row r="48" spans="1:14" x14ac:dyDescent="0.25">
      <c r="A48" s="28"/>
    </row>
  </sheetData>
  <mergeCells count="2">
    <mergeCell ref="A12:F12"/>
    <mergeCell ref="A26:D26"/>
  </mergeCells>
  <dataValidations count="2">
    <dataValidation type="whole" allowBlank="1" showInputMessage="1" showErrorMessage="1" error="Data available from 1999 Quarter 4"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A83937F1-F018-4385-B081-94A59DDAD897}">
      <formula1>B50</formula1>
      <formula2>4</formula2>
    </dataValidation>
    <dataValidation type="whole" operator="greaterThan" allowBlank="1" showInputMessage="1" showErrorMessage="1" error="Data available from 1999 Quarter 4"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0A3A2077-61DF-4C42-9D79-E9C5D62DF77F}">
      <formula1>1998</formula1>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2109-0C0C-402A-8AF9-028085EF9845}">
  <dimension ref="A1:B15"/>
  <sheetViews>
    <sheetView showGridLines="0" zoomScaleNormal="100" workbookViewId="0"/>
  </sheetViews>
  <sheetFormatPr defaultColWidth="9.1796875" defaultRowHeight="15.5" x14ac:dyDescent="0.35"/>
  <cols>
    <col min="1" max="1" width="10" style="2" customWidth="1"/>
    <col min="2" max="2" width="148" style="2" bestFit="1" customWidth="1"/>
    <col min="3" max="16384" width="9.1796875" style="2"/>
  </cols>
  <sheetData>
    <row r="1" spans="1:2" ht="45" customHeight="1" x14ac:dyDescent="0.35">
      <c r="A1" s="11" t="s">
        <v>21</v>
      </c>
    </row>
    <row r="2" spans="1:2" s="3" customFormat="1" ht="20.25" customHeight="1" x14ac:dyDescent="0.35">
      <c r="A2" s="3" t="s">
        <v>24</v>
      </c>
    </row>
    <row r="3" spans="1:2" s="3" customFormat="1" ht="34" customHeight="1" x14ac:dyDescent="0.35">
      <c r="A3" s="3" t="s">
        <v>143</v>
      </c>
    </row>
    <row r="4" spans="1:2" s="3" customFormat="1" ht="30" customHeight="1" x14ac:dyDescent="0.55000000000000004">
      <c r="A4" s="6" t="s">
        <v>25</v>
      </c>
      <c r="B4" s="6" t="s">
        <v>26</v>
      </c>
    </row>
    <row r="5" spans="1:2" ht="31" x14ac:dyDescent="0.35">
      <c r="A5" s="2" t="s">
        <v>27</v>
      </c>
      <c r="B5" s="2" t="s">
        <v>519</v>
      </c>
    </row>
    <row r="6" spans="1:2" ht="20.25" customHeight="1" x14ac:dyDescent="0.35">
      <c r="A6" s="2" t="s">
        <v>28</v>
      </c>
      <c r="B6" s="2" t="s">
        <v>165</v>
      </c>
    </row>
    <row r="7" spans="1:2" ht="20.25" customHeight="1" x14ac:dyDescent="0.35">
      <c r="A7" s="2" t="s">
        <v>29</v>
      </c>
      <c r="B7" s="2" t="s">
        <v>147</v>
      </c>
    </row>
    <row r="8" spans="1:2" ht="31" x14ac:dyDescent="0.35">
      <c r="A8" s="2" t="s">
        <v>30</v>
      </c>
      <c r="B8" s="2" t="s">
        <v>148</v>
      </c>
    </row>
    <row r="9" spans="1:2" ht="20.25" customHeight="1" x14ac:dyDescent="0.35">
      <c r="A9" s="2" t="s">
        <v>144</v>
      </c>
      <c r="B9" s="7" t="s">
        <v>149</v>
      </c>
    </row>
    <row r="10" spans="1:2" ht="20.25" customHeight="1" x14ac:dyDescent="0.35">
      <c r="A10" s="2" t="s">
        <v>145</v>
      </c>
      <c r="B10" s="7" t="s">
        <v>155</v>
      </c>
    </row>
    <row r="11" spans="1:2" ht="20.25" customHeight="1" x14ac:dyDescent="0.35">
      <c r="A11" s="2" t="s">
        <v>146</v>
      </c>
      <c r="B11" s="2" t="s">
        <v>153</v>
      </c>
    </row>
    <row r="12" spans="1:2" ht="20.25" customHeight="1" x14ac:dyDescent="0.35">
      <c r="A12" s="2" t="s">
        <v>150</v>
      </c>
      <c r="B12" s="2" t="s">
        <v>265</v>
      </c>
    </row>
    <row r="13" spans="1:2" ht="20.25" customHeight="1" x14ac:dyDescent="0.35">
      <c r="A13" s="2" t="s">
        <v>151</v>
      </c>
      <c r="B13" s="2" t="s">
        <v>154</v>
      </c>
    </row>
    <row r="14" spans="1:2" ht="20.25" customHeight="1" x14ac:dyDescent="0.35">
      <c r="A14" s="2" t="s">
        <v>152</v>
      </c>
      <c r="B14" s="2" t="s">
        <v>495</v>
      </c>
    </row>
    <row r="15" spans="1:2" x14ac:dyDescent="0.35">
      <c r="A15" s="2" t="s">
        <v>482</v>
      </c>
      <c r="B15" s="218" t="s">
        <v>515</v>
      </c>
    </row>
  </sheetData>
  <phoneticPr fontId="17" type="noConversion"/>
  <hyperlinks>
    <hyperlink ref="B9" r:id="rId1" xr:uid="{E59F7F33-8DFD-4C25-80BE-83A589EF4169}"/>
    <hyperlink ref="B10" r:id="rId2" display="For an explanation of dependency rations and low carbon share see article in the December 2010 edition of Energy Trends (opens in a new window)." xr:uid="{182A7142-C115-4DDD-8CBC-7B9104ADEDE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2F36-1B0C-4A83-AAE9-D4AA9BFA976A}">
  <dimension ref="A1:A20"/>
  <sheetViews>
    <sheetView showGridLines="0" zoomScaleNormal="100" workbookViewId="0"/>
  </sheetViews>
  <sheetFormatPr defaultColWidth="9.1796875" defaultRowHeight="15.5" x14ac:dyDescent="0.35"/>
  <cols>
    <col min="1" max="1" width="164.81640625" style="216" customWidth="1"/>
    <col min="2" max="16384" width="9.1796875" style="216"/>
  </cols>
  <sheetData>
    <row r="1" spans="1:1" ht="45" customHeight="1" x14ac:dyDescent="0.35">
      <c r="A1" s="1" t="s">
        <v>22</v>
      </c>
    </row>
    <row r="2" spans="1:1" ht="23.5" x14ac:dyDescent="0.55000000000000004">
      <c r="A2" s="237" t="s">
        <v>521</v>
      </c>
    </row>
    <row r="3" spans="1:1" ht="18.5" x14ac:dyDescent="0.45">
      <c r="A3" s="239" t="s">
        <v>528</v>
      </c>
    </row>
    <row r="4" spans="1:1" ht="61.5" customHeight="1" x14ac:dyDescent="0.35">
      <c r="A4" s="240" t="s">
        <v>533</v>
      </c>
    </row>
    <row r="5" spans="1:1" ht="18.5" x14ac:dyDescent="0.45">
      <c r="A5" s="239" t="s">
        <v>529</v>
      </c>
    </row>
    <row r="6" spans="1:1" ht="58.5" customHeight="1" x14ac:dyDescent="0.35">
      <c r="A6" s="240" t="s">
        <v>536</v>
      </c>
    </row>
    <row r="7" spans="1:1" ht="18.5" x14ac:dyDescent="0.45">
      <c r="A7" s="239" t="s">
        <v>531</v>
      </c>
    </row>
    <row r="8" spans="1:1" ht="44.15" customHeight="1" x14ac:dyDescent="0.35">
      <c r="A8" s="240" t="s">
        <v>534</v>
      </c>
    </row>
    <row r="9" spans="1:1" ht="18.5" x14ac:dyDescent="0.45">
      <c r="A9" s="239" t="s">
        <v>530</v>
      </c>
    </row>
    <row r="10" spans="1:1" ht="45" customHeight="1" x14ac:dyDescent="0.35">
      <c r="A10" s="240" t="s">
        <v>535</v>
      </c>
    </row>
    <row r="11" spans="1:1" ht="23.5" customHeight="1" x14ac:dyDescent="0.35">
      <c r="A11" s="238"/>
    </row>
    <row r="12" spans="1:1" ht="23.5" x14ac:dyDescent="0.55000000000000004">
      <c r="A12" s="6" t="s">
        <v>31</v>
      </c>
    </row>
    <row r="13" spans="1:1" ht="31.5" customHeight="1" x14ac:dyDescent="0.45">
      <c r="A13" s="217" t="s">
        <v>156</v>
      </c>
    </row>
    <row r="14" spans="1:1" ht="31" x14ac:dyDescent="0.35">
      <c r="A14" s="218" t="s">
        <v>537</v>
      </c>
    </row>
    <row r="15" spans="1:1" ht="31.5" customHeight="1" x14ac:dyDescent="0.45">
      <c r="A15" s="217" t="s">
        <v>164</v>
      </c>
    </row>
    <row r="16" spans="1:1" ht="46.5" x14ac:dyDescent="0.35">
      <c r="A16" s="218" t="s">
        <v>538</v>
      </c>
    </row>
    <row r="17" spans="1:1" ht="31.5" customHeight="1" x14ac:dyDescent="0.45">
      <c r="A17" s="217" t="s">
        <v>157</v>
      </c>
    </row>
    <row r="18" spans="1:1" ht="31" x14ac:dyDescent="0.35">
      <c r="A18" s="218" t="s">
        <v>539</v>
      </c>
    </row>
    <row r="19" spans="1:1" ht="31.5" customHeight="1" x14ac:dyDescent="0.45">
      <c r="A19" s="217" t="s">
        <v>505</v>
      </c>
    </row>
    <row r="20" spans="1:1" ht="46.5" x14ac:dyDescent="0.35">
      <c r="A20" s="218" t="s">
        <v>540</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1B75-CA51-4468-BBB2-590B31C3F1F0}">
  <sheetPr>
    <pageSetUpPr fitToPage="1"/>
  </sheetPr>
  <dimension ref="A1:Q74"/>
  <sheetViews>
    <sheetView showGridLines="0" zoomScaleNormal="100" zoomScaleSheetLayoutView="100" workbookViewId="0"/>
  </sheetViews>
  <sheetFormatPr defaultColWidth="9.1796875" defaultRowHeight="15.5" x14ac:dyDescent="0.35"/>
  <cols>
    <col min="1" max="1" width="41.81640625" style="123" bestFit="1" customWidth="1"/>
    <col min="2" max="2" width="8.81640625" style="123" bestFit="1" customWidth="1"/>
    <col min="3" max="3" width="12.26953125" style="123" customWidth="1"/>
    <col min="4" max="4" width="14.26953125" style="123" customWidth="1"/>
    <col min="5" max="12" width="16.7265625" style="123" customWidth="1"/>
    <col min="13" max="13" width="14.54296875" style="123" customWidth="1"/>
    <col min="14" max="14" width="16.54296875" style="123" bestFit="1" customWidth="1"/>
    <col min="15" max="15" width="5.453125" style="123" bestFit="1" customWidth="1"/>
    <col min="16" max="18" width="9.1796875" style="123"/>
    <col min="19" max="19" width="10.7265625" style="123" bestFit="1" customWidth="1"/>
    <col min="20" max="254" width="9.1796875" style="123"/>
    <col min="255" max="255" width="0" style="123" hidden="1" customWidth="1"/>
    <col min="256" max="256" width="25.1796875" style="123" customWidth="1"/>
    <col min="257" max="258" width="8.81640625" style="123" customWidth="1"/>
    <col min="259" max="259" width="9.26953125" style="123" customWidth="1"/>
    <col min="260" max="260" width="1.1796875" style="123" customWidth="1"/>
    <col min="261" max="266" width="7.81640625" style="123" customWidth="1"/>
    <col min="267" max="267" width="8.26953125" style="123" customWidth="1"/>
    <col min="268" max="268" width="8" style="123" customWidth="1"/>
    <col min="269" max="269" width="8.81640625" style="123" customWidth="1"/>
    <col min="270" max="270" width="9.81640625" style="123" customWidth="1"/>
    <col min="271" max="271" width="5.453125" style="123" bestFit="1" customWidth="1"/>
    <col min="272" max="274" width="9.1796875" style="123"/>
    <col min="275" max="275" width="10.7265625" style="123" bestFit="1" customWidth="1"/>
    <col min="276" max="510" width="9.1796875" style="123"/>
    <col min="511" max="511" width="0" style="123" hidden="1" customWidth="1"/>
    <col min="512" max="512" width="25.1796875" style="123" customWidth="1"/>
    <col min="513" max="514" width="8.81640625" style="123" customWidth="1"/>
    <col min="515" max="515" width="9.26953125" style="123" customWidth="1"/>
    <col min="516" max="516" width="1.1796875" style="123" customWidth="1"/>
    <col min="517" max="522" width="7.81640625" style="123" customWidth="1"/>
    <col min="523" max="523" width="8.26953125" style="123" customWidth="1"/>
    <col min="524" max="524" width="8" style="123" customWidth="1"/>
    <col min="525" max="525" width="8.81640625" style="123" customWidth="1"/>
    <col min="526" max="526" width="9.81640625" style="123" customWidth="1"/>
    <col min="527" max="527" width="5.453125" style="123" bestFit="1" customWidth="1"/>
    <col min="528" max="530" width="9.1796875" style="123"/>
    <col min="531" max="531" width="10.7265625" style="123" bestFit="1" customWidth="1"/>
    <col min="532" max="766" width="9.1796875" style="123"/>
    <col min="767" max="767" width="0" style="123" hidden="1" customWidth="1"/>
    <col min="768" max="768" width="25.1796875" style="123" customWidth="1"/>
    <col min="769" max="770" width="8.81640625" style="123" customWidth="1"/>
    <col min="771" max="771" width="9.26953125" style="123" customWidth="1"/>
    <col min="772" max="772" width="1.1796875" style="123" customWidth="1"/>
    <col min="773" max="778" width="7.81640625" style="123" customWidth="1"/>
    <col min="779" max="779" width="8.26953125" style="123" customWidth="1"/>
    <col min="780" max="780" width="8" style="123" customWidth="1"/>
    <col min="781" max="781" width="8.81640625" style="123" customWidth="1"/>
    <col min="782" max="782" width="9.81640625" style="123" customWidth="1"/>
    <col min="783" max="783" width="5.453125" style="123" bestFit="1" customWidth="1"/>
    <col min="784" max="786" width="9.1796875" style="123"/>
    <col min="787" max="787" width="10.7265625" style="123" bestFit="1" customWidth="1"/>
    <col min="788" max="1022" width="9.1796875" style="123"/>
    <col min="1023" max="1023" width="0" style="123" hidden="1" customWidth="1"/>
    <col min="1024" max="1024" width="25.1796875" style="123" customWidth="1"/>
    <col min="1025" max="1026" width="8.81640625" style="123" customWidth="1"/>
    <col min="1027" max="1027" width="9.26953125" style="123" customWidth="1"/>
    <col min="1028" max="1028" width="1.1796875" style="123" customWidth="1"/>
    <col min="1029" max="1034" width="7.81640625" style="123" customWidth="1"/>
    <col min="1035" max="1035" width="8.26953125" style="123" customWidth="1"/>
    <col min="1036" max="1036" width="8" style="123" customWidth="1"/>
    <col min="1037" max="1037" width="8.81640625" style="123" customWidth="1"/>
    <col min="1038" max="1038" width="9.81640625" style="123" customWidth="1"/>
    <col min="1039" max="1039" width="5.453125" style="123" bestFit="1" customWidth="1"/>
    <col min="1040" max="1042" width="9.1796875" style="123"/>
    <col min="1043" max="1043" width="10.7265625" style="123" bestFit="1" customWidth="1"/>
    <col min="1044" max="1278" width="9.1796875" style="123"/>
    <col min="1279" max="1279" width="0" style="123" hidden="1" customWidth="1"/>
    <col min="1280" max="1280" width="25.1796875" style="123" customWidth="1"/>
    <col min="1281" max="1282" width="8.81640625" style="123" customWidth="1"/>
    <col min="1283" max="1283" width="9.26953125" style="123" customWidth="1"/>
    <col min="1284" max="1284" width="1.1796875" style="123" customWidth="1"/>
    <col min="1285" max="1290" width="7.81640625" style="123" customWidth="1"/>
    <col min="1291" max="1291" width="8.26953125" style="123" customWidth="1"/>
    <col min="1292" max="1292" width="8" style="123" customWidth="1"/>
    <col min="1293" max="1293" width="8.81640625" style="123" customWidth="1"/>
    <col min="1294" max="1294" width="9.81640625" style="123" customWidth="1"/>
    <col min="1295" max="1295" width="5.453125" style="123" bestFit="1" customWidth="1"/>
    <col min="1296" max="1298" width="9.1796875" style="123"/>
    <col min="1299" max="1299" width="10.7265625" style="123" bestFit="1" customWidth="1"/>
    <col min="1300" max="1534" width="9.1796875" style="123"/>
    <col min="1535" max="1535" width="0" style="123" hidden="1" customWidth="1"/>
    <col min="1536" max="1536" width="25.1796875" style="123" customWidth="1"/>
    <col min="1537" max="1538" width="8.81640625" style="123" customWidth="1"/>
    <col min="1539" max="1539" width="9.26953125" style="123" customWidth="1"/>
    <col min="1540" max="1540" width="1.1796875" style="123" customWidth="1"/>
    <col min="1541" max="1546" width="7.81640625" style="123" customWidth="1"/>
    <col min="1547" max="1547" width="8.26953125" style="123" customWidth="1"/>
    <col min="1548" max="1548" width="8" style="123" customWidth="1"/>
    <col min="1549" max="1549" width="8.81640625" style="123" customWidth="1"/>
    <col min="1550" max="1550" width="9.81640625" style="123" customWidth="1"/>
    <col min="1551" max="1551" width="5.453125" style="123" bestFit="1" customWidth="1"/>
    <col min="1552" max="1554" width="9.1796875" style="123"/>
    <col min="1555" max="1555" width="10.7265625" style="123" bestFit="1" customWidth="1"/>
    <col min="1556" max="1790" width="9.1796875" style="123"/>
    <col min="1791" max="1791" width="0" style="123" hidden="1" customWidth="1"/>
    <col min="1792" max="1792" width="25.1796875" style="123" customWidth="1"/>
    <col min="1793" max="1794" width="8.81640625" style="123" customWidth="1"/>
    <col min="1795" max="1795" width="9.26953125" style="123" customWidth="1"/>
    <col min="1796" max="1796" width="1.1796875" style="123" customWidth="1"/>
    <col min="1797" max="1802" width="7.81640625" style="123" customWidth="1"/>
    <col min="1803" max="1803" width="8.26953125" style="123" customWidth="1"/>
    <col min="1804" max="1804" width="8" style="123" customWidth="1"/>
    <col min="1805" max="1805" width="8.81640625" style="123" customWidth="1"/>
    <col min="1806" max="1806" width="9.81640625" style="123" customWidth="1"/>
    <col min="1807" max="1807" width="5.453125" style="123" bestFit="1" customWidth="1"/>
    <col min="1808" max="1810" width="9.1796875" style="123"/>
    <col min="1811" max="1811" width="10.7265625" style="123" bestFit="1" customWidth="1"/>
    <col min="1812" max="2046" width="9.1796875" style="123"/>
    <col min="2047" max="2047" width="0" style="123" hidden="1" customWidth="1"/>
    <col min="2048" max="2048" width="25.1796875" style="123" customWidth="1"/>
    <col min="2049" max="2050" width="8.81640625" style="123" customWidth="1"/>
    <col min="2051" max="2051" width="9.26953125" style="123" customWidth="1"/>
    <col min="2052" max="2052" width="1.1796875" style="123" customWidth="1"/>
    <col min="2053" max="2058" width="7.81640625" style="123" customWidth="1"/>
    <col min="2059" max="2059" width="8.26953125" style="123" customWidth="1"/>
    <col min="2060" max="2060" width="8" style="123" customWidth="1"/>
    <col min="2061" max="2061" width="8.81640625" style="123" customWidth="1"/>
    <col min="2062" max="2062" width="9.81640625" style="123" customWidth="1"/>
    <col min="2063" max="2063" width="5.453125" style="123" bestFit="1" customWidth="1"/>
    <col min="2064" max="2066" width="9.1796875" style="123"/>
    <col min="2067" max="2067" width="10.7265625" style="123" bestFit="1" customWidth="1"/>
    <col min="2068" max="2302" width="9.1796875" style="123"/>
    <col min="2303" max="2303" width="0" style="123" hidden="1" customWidth="1"/>
    <col min="2304" max="2304" width="25.1796875" style="123" customWidth="1"/>
    <col min="2305" max="2306" width="8.81640625" style="123" customWidth="1"/>
    <col min="2307" max="2307" width="9.26953125" style="123" customWidth="1"/>
    <col min="2308" max="2308" width="1.1796875" style="123" customWidth="1"/>
    <col min="2309" max="2314" width="7.81640625" style="123" customWidth="1"/>
    <col min="2315" max="2315" width="8.26953125" style="123" customWidth="1"/>
    <col min="2316" max="2316" width="8" style="123" customWidth="1"/>
    <col min="2317" max="2317" width="8.81640625" style="123" customWidth="1"/>
    <col min="2318" max="2318" width="9.81640625" style="123" customWidth="1"/>
    <col min="2319" max="2319" width="5.453125" style="123" bestFit="1" customWidth="1"/>
    <col min="2320" max="2322" width="9.1796875" style="123"/>
    <col min="2323" max="2323" width="10.7265625" style="123" bestFit="1" customWidth="1"/>
    <col min="2324" max="2558" width="9.1796875" style="123"/>
    <col min="2559" max="2559" width="0" style="123" hidden="1" customWidth="1"/>
    <col min="2560" max="2560" width="25.1796875" style="123" customWidth="1"/>
    <col min="2561" max="2562" width="8.81640625" style="123" customWidth="1"/>
    <col min="2563" max="2563" width="9.26953125" style="123" customWidth="1"/>
    <col min="2564" max="2564" width="1.1796875" style="123" customWidth="1"/>
    <col min="2565" max="2570" width="7.81640625" style="123" customWidth="1"/>
    <col min="2571" max="2571" width="8.26953125" style="123" customWidth="1"/>
    <col min="2572" max="2572" width="8" style="123" customWidth="1"/>
    <col min="2573" max="2573" width="8.81640625" style="123" customWidth="1"/>
    <col min="2574" max="2574" width="9.81640625" style="123" customWidth="1"/>
    <col min="2575" max="2575" width="5.453125" style="123" bestFit="1" customWidth="1"/>
    <col min="2576" max="2578" width="9.1796875" style="123"/>
    <col min="2579" max="2579" width="10.7265625" style="123" bestFit="1" customWidth="1"/>
    <col min="2580" max="2814" width="9.1796875" style="123"/>
    <col min="2815" max="2815" width="0" style="123" hidden="1" customWidth="1"/>
    <col min="2816" max="2816" width="25.1796875" style="123" customWidth="1"/>
    <col min="2817" max="2818" width="8.81640625" style="123" customWidth="1"/>
    <col min="2819" max="2819" width="9.26953125" style="123" customWidth="1"/>
    <col min="2820" max="2820" width="1.1796875" style="123" customWidth="1"/>
    <col min="2821" max="2826" width="7.81640625" style="123" customWidth="1"/>
    <col min="2827" max="2827" width="8.26953125" style="123" customWidth="1"/>
    <col min="2828" max="2828" width="8" style="123" customWidth="1"/>
    <col min="2829" max="2829" width="8.81640625" style="123" customWidth="1"/>
    <col min="2830" max="2830" width="9.81640625" style="123" customWidth="1"/>
    <col min="2831" max="2831" width="5.453125" style="123" bestFit="1" customWidth="1"/>
    <col min="2832" max="2834" width="9.1796875" style="123"/>
    <col min="2835" max="2835" width="10.7265625" style="123" bestFit="1" customWidth="1"/>
    <col min="2836" max="3070" width="9.1796875" style="123"/>
    <col min="3071" max="3071" width="0" style="123" hidden="1" customWidth="1"/>
    <col min="3072" max="3072" width="25.1796875" style="123" customWidth="1"/>
    <col min="3073" max="3074" width="8.81640625" style="123" customWidth="1"/>
    <col min="3075" max="3075" width="9.26953125" style="123" customWidth="1"/>
    <col min="3076" max="3076" width="1.1796875" style="123" customWidth="1"/>
    <col min="3077" max="3082" width="7.81640625" style="123" customWidth="1"/>
    <col min="3083" max="3083" width="8.26953125" style="123" customWidth="1"/>
    <col min="3084" max="3084" width="8" style="123" customWidth="1"/>
    <col min="3085" max="3085" width="8.81640625" style="123" customWidth="1"/>
    <col min="3086" max="3086" width="9.81640625" style="123" customWidth="1"/>
    <col min="3087" max="3087" width="5.453125" style="123" bestFit="1" customWidth="1"/>
    <col min="3088" max="3090" width="9.1796875" style="123"/>
    <col min="3091" max="3091" width="10.7265625" style="123" bestFit="1" customWidth="1"/>
    <col min="3092" max="3326" width="9.1796875" style="123"/>
    <col min="3327" max="3327" width="0" style="123" hidden="1" customWidth="1"/>
    <col min="3328" max="3328" width="25.1796875" style="123" customWidth="1"/>
    <col min="3329" max="3330" width="8.81640625" style="123" customWidth="1"/>
    <col min="3331" max="3331" width="9.26953125" style="123" customWidth="1"/>
    <col min="3332" max="3332" width="1.1796875" style="123" customWidth="1"/>
    <col min="3333" max="3338" width="7.81640625" style="123" customWidth="1"/>
    <col min="3339" max="3339" width="8.26953125" style="123" customWidth="1"/>
    <col min="3340" max="3340" width="8" style="123" customWidth="1"/>
    <col min="3341" max="3341" width="8.81640625" style="123" customWidth="1"/>
    <col min="3342" max="3342" width="9.81640625" style="123" customWidth="1"/>
    <col min="3343" max="3343" width="5.453125" style="123" bestFit="1" customWidth="1"/>
    <col min="3344" max="3346" width="9.1796875" style="123"/>
    <col min="3347" max="3347" width="10.7265625" style="123" bestFit="1" customWidth="1"/>
    <col min="3348" max="3582" width="9.1796875" style="123"/>
    <col min="3583" max="3583" width="0" style="123" hidden="1" customWidth="1"/>
    <col min="3584" max="3584" width="25.1796875" style="123" customWidth="1"/>
    <col min="3585" max="3586" width="8.81640625" style="123" customWidth="1"/>
    <col min="3587" max="3587" width="9.26953125" style="123" customWidth="1"/>
    <col min="3588" max="3588" width="1.1796875" style="123" customWidth="1"/>
    <col min="3589" max="3594" width="7.81640625" style="123" customWidth="1"/>
    <col min="3595" max="3595" width="8.26953125" style="123" customWidth="1"/>
    <col min="3596" max="3596" width="8" style="123" customWidth="1"/>
    <col min="3597" max="3597" width="8.81640625" style="123" customWidth="1"/>
    <col min="3598" max="3598" width="9.81640625" style="123" customWidth="1"/>
    <col min="3599" max="3599" width="5.453125" style="123" bestFit="1" customWidth="1"/>
    <col min="3600" max="3602" width="9.1796875" style="123"/>
    <col min="3603" max="3603" width="10.7265625" style="123" bestFit="1" customWidth="1"/>
    <col min="3604" max="3838" width="9.1796875" style="123"/>
    <col min="3839" max="3839" width="0" style="123" hidden="1" customWidth="1"/>
    <col min="3840" max="3840" width="25.1796875" style="123" customWidth="1"/>
    <col min="3841" max="3842" width="8.81640625" style="123" customWidth="1"/>
    <col min="3843" max="3843" width="9.26953125" style="123" customWidth="1"/>
    <col min="3844" max="3844" width="1.1796875" style="123" customWidth="1"/>
    <col min="3845" max="3850" width="7.81640625" style="123" customWidth="1"/>
    <col min="3851" max="3851" width="8.26953125" style="123" customWidth="1"/>
    <col min="3852" max="3852" width="8" style="123" customWidth="1"/>
    <col min="3853" max="3853" width="8.81640625" style="123" customWidth="1"/>
    <col min="3854" max="3854" width="9.81640625" style="123" customWidth="1"/>
    <col min="3855" max="3855" width="5.453125" style="123" bestFit="1" customWidth="1"/>
    <col min="3856" max="3858" width="9.1796875" style="123"/>
    <col min="3859" max="3859" width="10.7265625" style="123" bestFit="1" customWidth="1"/>
    <col min="3860" max="4094" width="9.1796875" style="123"/>
    <col min="4095" max="4095" width="0" style="123" hidden="1" customWidth="1"/>
    <col min="4096" max="4096" width="25.1796875" style="123" customWidth="1"/>
    <col min="4097" max="4098" width="8.81640625" style="123" customWidth="1"/>
    <col min="4099" max="4099" width="9.26953125" style="123" customWidth="1"/>
    <col min="4100" max="4100" width="1.1796875" style="123" customWidth="1"/>
    <col min="4101" max="4106" width="7.81640625" style="123" customWidth="1"/>
    <col min="4107" max="4107" width="8.26953125" style="123" customWidth="1"/>
    <col min="4108" max="4108" width="8" style="123" customWidth="1"/>
    <col min="4109" max="4109" width="8.81640625" style="123" customWidth="1"/>
    <col min="4110" max="4110" width="9.81640625" style="123" customWidth="1"/>
    <col min="4111" max="4111" width="5.453125" style="123" bestFit="1" customWidth="1"/>
    <col min="4112" max="4114" width="9.1796875" style="123"/>
    <col min="4115" max="4115" width="10.7265625" style="123" bestFit="1" customWidth="1"/>
    <col min="4116" max="4350" width="9.1796875" style="123"/>
    <col min="4351" max="4351" width="0" style="123" hidden="1" customWidth="1"/>
    <col min="4352" max="4352" width="25.1796875" style="123" customWidth="1"/>
    <col min="4353" max="4354" width="8.81640625" style="123" customWidth="1"/>
    <col min="4355" max="4355" width="9.26953125" style="123" customWidth="1"/>
    <col min="4356" max="4356" width="1.1796875" style="123" customWidth="1"/>
    <col min="4357" max="4362" width="7.81640625" style="123" customWidth="1"/>
    <col min="4363" max="4363" width="8.26953125" style="123" customWidth="1"/>
    <col min="4364" max="4364" width="8" style="123" customWidth="1"/>
    <col min="4365" max="4365" width="8.81640625" style="123" customWidth="1"/>
    <col min="4366" max="4366" width="9.81640625" style="123" customWidth="1"/>
    <col min="4367" max="4367" width="5.453125" style="123" bestFit="1" customWidth="1"/>
    <col min="4368" max="4370" width="9.1796875" style="123"/>
    <col min="4371" max="4371" width="10.7265625" style="123" bestFit="1" customWidth="1"/>
    <col min="4372" max="4606" width="9.1796875" style="123"/>
    <col min="4607" max="4607" width="0" style="123" hidden="1" customWidth="1"/>
    <col min="4608" max="4608" width="25.1796875" style="123" customWidth="1"/>
    <col min="4609" max="4610" width="8.81640625" style="123" customWidth="1"/>
    <col min="4611" max="4611" width="9.26953125" style="123" customWidth="1"/>
    <col min="4612" max="4612" width="1.1796875" style="123" customWidth="1"/>
    <col min="4613" max="4618" width="7.81640625" style="123" customWidth="1"/>
    <col min="4619" max="4619" width="8.26953125" style="123" customWidth="1"/>
    <col min="4620" max="4620" width="8" style="123" customWidth="1"/>
    <col min="4621" max="4621" width="8.81640625" style="123" customWidth="1"/>
    <col min="4622" max="4622" width="9.81640625" style="123" customWidth="1"/>
    <col min="4623" max="4623" width="5.453125" style="123" bestFit="1" customWidth="1"/>
    <col min="4624" max="4626" width="9.1796875" style="123"/>
    <col min="4627" max="4627" width="10.7265625" style="123" bestFit="1" customWidth="1"/>
    <col min="4628" max="4862" width="9.1796875" style="123"/>
    <col min="4863" max="4863" width="0" style="123" hidden="1" customWidth="1"/>
    <col min="4864" max="4864" width="25.1796875" style="123" customWidth="1"/>
    <col min="4865" max="4866" width="8.81640625" style="123" customWidth="1"/>
    <col min="4867" max="4867" width="9.26953125" style="123" customWidth="1"/>
    <col min="4868" max="4868" width="1.1796875" style="123" customWidth="1"/>
    <col min="4869" max="4874" width="7.81640625" style="123" customWidth="1"/>
    <col min="4875" max="4875" width="8.26953125" style="123" customWidth="1"/>
    <col min="4876" max="4876" width="8" style="123" customWidth="1"/>
    <col min="4877" max="4877" width="8.81640625" style="123" customWidth="1"/>
    <col min="4878" max="4878" width="9.81640625" style="123" customWidth="1"/>
    <col min="4879" max="4879" width="5.453125" style="123" bestFit="1" customWidth="1"/>
    <col min="4880" max="4882" width="9.1796875" style="123"/>
    <col min="4883" max="4883" width="10.7265625" style="123" bestFit="1" customWidth="1"/>
    <col min="4884" max="5118" width="9.1796875" style="123"/>
    <col min="5119" max="5119" width="0" style="123" hidden="1" customWidth="1"/>
    <col min="5120" max="5120" width="25.1796875" style="123" customWidth="1"/>
    <col min="5121" max="5122" width="8.81640625" style="123" customWidth="1"/>
    <col min="5123" max="5123" width="9.26953125" style="123" customWidth="1"/>
    <col min="5124" max="5124" width="1.1796875" style="123" customWidth="1"/>
    <col min="5125" max="5130" width="7.81640625" style="123" customWidth="1"/>
    <col min="5131" max="5131" width="8.26953125" style="123" customWidth="1"/>
    <col min="5132" max="5132" width="8" style="123" customWidth="1"/>
    <col min="5133" max="5133" width="8.81640625" style="123" customWidth="1"/>
    <col min="5134" max="5134" width="9.81640625" style="123" customWidth="1"/>
    <col min="5135" max="5135" width="5.453125" style="123" bestFit="1" customWidth="1"/>
    <col min="5136" max="5138" width="9.1796875" style="123"/>
    <col min="5139" max="5139" width="10.7265625" style="123" bestFit="1" customWidth="1"/>
    <col min="5140" max="5374" width="9.1796875" style="123"/>
    <col min="5375" max="5375" width="0" style="123" hidden="1" customWidth="1"/>
    <col min="5376" max="5376" width="25.1796875" style="123" customWidth="1"/>
    <col min="5377" max="5378" width="8.81640625" style="123" customWidth="1"/>
    <col min="5379" max="5379" width="9.26953125" style="123" customWidth="1"/>
    <col min="5380" max="5380" width="1.1796875" style="123" customWidth="1"/>
    <col min="5381" max="5386" width="7.81640625" style="123" customWidth="1"/>
    <col min="5387" max="5387" width="8.26953125" style="123" customWidth="1"/>
    <col min="5388" max="5388" width="8" style="123" customWidth="1"/>
    <col min="5389" max="5389" width="8.81640625" style="123" customWidth="1"/>
    <col min="5390" max="5390" width="9.81640625" style="123" customWidth="1"/>
    <col min="5391" max="5391" width="5.453125" style="123" bestFit="1" customWidth="1"/>
    <col min="5392" max="5394" width="9.1796875" style="123"/>
    <col min="5395" max="5395" width="10.7265625" style="123" bestFit="1" customWidth="1"/>
    <col min="5396" max="5630" width="9.1796875" style="123"/>
    <col min="5631" max="5631" width="0" style="123" hidden="1" customWidth="1"/>
    <col min="5632" max="5632" width="25.1796875" style="123" customWidth="1"/>
    <col min="5633" max="5634" width="8.81640625" style="123" customWidth="1"/>
    <col min="5635" max="5635" width="9.26953125" style="123" customWidth="1"/>
    <col min="5636" max="5636" width="1.1796875" style="123" customWidth="1"/>
    <col min="5637" max="5642" width="7.81640625" style="123" customWidth="1"/>
    <col min="5643" max="5643" width="8.26953125" style="123" customWidth="1"/>
    <col min="5644" max="5644" width="8" style="123" customWidth="1"/>
    <col min="5645" max="5645" width="8.81640625" style="123" customWidth="1"/>
    <col min="5646" max="5646" width="9.81640625" style="123" customWidth="1"/>
    <col min="5647" max="5647" width="5.453125" style="123" bestFit="1" customWidth="1"/>
    <col min="5648" max="5650" width="9.1796875" style="123"/>
    <col min="5651" max="5651" width="10.7265625" style="123" bestFit="1" customWidth="1"/>
    <col min="5652" max="5886" width="9.1796875" style="123"/>
    <col min="5887" max="5887" width="0" style="123" hidden="1" customWidth="1"/>
    <col min="5888" max="5888" width="25.1796875" style="123" customWidth="1"/>
    <col min="5889" max="5890" width="8.81640625" style="123" customWidth="1"/>
    <col min="5891" max="5891" width="9.26953125" style="123" customWidth="1"/>
    <col min="5892" max="5892" width="1.1796875" style="123" customWidth="1"/>
    <col min="5893" max="5898" width="7.81640625" style="123" customWidth="1"/>
    <col min="5899" max="5899" width="8.26953125" style="123" customWidth="1"/>
    <col min="5900" max="5900" width="8" style="123" customWidth="1"/>
    <col min="5901" max="5901" width="8.81640625" style="123" customWidth="1"/>
    <col min="5902" max="5902" width="9.81640625" style="123" customWidth="1"/>
    <col min="5903" max="5903" width="5.453125" style="123" bestFit="1" customWidth="1"/>
    <col min="5904" max="5906" width="9.1796875" style="123"/>
    <col min="5907" max="5907" width="10.7265625" style="123" bestFit="1" customWidth="1"/>
    <col min="5908" max="6142" width="9.1796875" style="123"/>
    <col min="6143" max="6143" width="0" style="123" hidden="1" customWidth="1"/>
    <col min="6144" max="6144" width="25.1796875" style="123" customWidth="1"/>
    <col min="6145" max="6146" width="8.81640625" style="123" customWidth="1"/>
    <col min="6147" max="6147" width="9.26953125" style="123" customWidth="1"/>
    <col min="6148" max="6148" width="1.1796875" style="123" customWidth="1"/>
    <col min="6149" max="6154" width="7.81640625" style="123" customWidth="1"/>
    <col min="6155" max="6155" width="8.26953125" style="123" customWidth="1"/>
    <col min="6156" max="6156" width="8" style="123" customWidth="1"/>
    <col min="6157" max="6157" width="8.81640625" style="123" customWidth="1"/>
    <col min="6158" max="6158" width="9.81640625" style="123" customWidth="1"/>
    <col min="6159" max="6159" width="5.453125" style="123" bestFit="1" customWidth="1"/>
    <col min="6160" max="6162" width="9.1796875" style="123"/>
    <col min="6163" max="6163" width="10.7265625" style="123" bestFit="1" customWidth="1"/>
    <col min="6164" max="6398" width="9.1796875" style="123"/>
    <col min="6399" max="6399" width="0" style="123" hidden="1" customWidth="1"/>
    <col min="6400" max="6400" width="25.1796875" style="123" customWidth="1"/>
    <col min="6401" max="6402" width="8.81640625" style="123" customWidth="1"/>
    <col min="6403" max="6403" width="9.26953125" style="123" customWidth="1"/>
    <col min="6404" max="6404" width="1.1796875" style="123" customWidth="1"/>
    <col min="6405" max="6410" width="7.81640625" style="123" customWidth="1"/>
    <col min="6411" max="6411" width="8.26953125" style="123" customWidth="1"/>
    <col min="6412" max="6412" width="8" style="123" customWidth="1"/>
    <col min="6413" max="6413" width="8.81640625" style="123" customWidth="1"/>
    <col min="6414" max="6414" width="9.81640625" style="123" customWidth="1"/>
    <col min="6415" max="6415" width="5.453125" style="123" bestFit="1" customWidth="1"/>
    <col min="6416" max="6418" width="9.1796875" style="123"/>
    <col min="6419" max="6419" width="10.7265625" style="123" bestFit="1" customWidth="1"/>
    <col min="6420" max="6654" width="9.1796875" style="123"/>
    <col min="6655" max="6655" width="0" style="123" hidden="1" customWidth="1"/>
    <col min="6656" max="6656" width="25.1796875" style="123" customWidth="1"/>
    <col min="6657" max="6658" width="8.81640625" style="123" customWidth="1"/>
    <col min="6659" max="6659" width="9.26953125" style="123" customWidth="1"/>
    <col min="6660" max="6660" width="1.1796875" style="123" customWidth="1"/>
    <col min="6661" max="6666" width="7.81640625" style="123" customWidth="1"/>
    <col min="6667" max="6667" width="8.26953125" style="123" customWidth="1"/>
    <col min="6668" max="6668" width="8" style="123" customWidth="1"/>
    <col min="6669" max="6669" width="8.81640625" style="123" customWidth="1"/>
    <col min="6670" max="6670" width="9.81640625" style="123" customWidth="1"/>
    <col min="6671" max="6671" width="5.453125" style="123" bestFit="1" customWidth="1"/>
    <col min="6672" max="6674" width="9.1796875" style="123"/>
    <col min="6675" max="6675" width="10.7265625" style="123" bestFit="1" customWidth="1"/>
    <col min="6676" max="6910" width="9.1796875" style="123"/>
    <col min="6911" max="6911" width="0" style="123" hidden="1" customWidth="1"/>
    <col min="6912" max="6912" width="25.1796875" style="123" customWidth="1"/>
    <col min="6913" max="6914" width="8.81640625" style="123" customWidth="1"/>
    <col min="6915" max="6915" width="9.26953125" style="123" customWidth="1"/>
    <col min="6916" max="6916" width="1.1796875" style="123" customWidth="1"/>
    <col min="6917" max="6922" width="7.81640625" style="123" customWidth="1"/>
    <col min="6923" max="6923" width="8.26953125" style="123" customWidth="1"/>
    <col min="6924" max="6924" width="8" style="123" customWidth="1"/>
    <col min="6925" max="6925" width="8.81640625" style="123" customWidth="1"/>
    <col min="6926" max="6926" width="9.81640625" style="123" customWidth="1"/>
    <col min="6927" max="6927" width="5.453125" style="123" bestFit="1" customWidth="1"/>
    <col min="6928" max="6930" width="9.1796875" style="123"/>
    <col min="6931" max="6931" width="10.7265625" style="123" bestFit="1" customWidth="1"/>
    <col min="6932" max="7166" width="9.1796875" style="123"/>
    <col min="7167" max="7167" width="0" style="123" hidden="1" customWidth="1"/>
    <col min="7168" max="7168" width="25.1796875" style="123" customWidth="1"/>
    <col min="7169" max="7170" width="8.81640625" style="123" customWidth="1"/>
    <col min="7171" max="7171" width="9.26953125" style="123" customWidth="1"/>
    <col min="7172" max="7172" width="1.1796875" style="123" customWidth="1"/>
    <col min="7173" max="7178" width="7.81640625" style="123" customWidth="1"/>
    <col min="7179" max="7179" width="8.26953125" style="123" customWidth="1"/>
    <col min="7180" max="7180" width="8" style="123" customWidth="1"/>
    <col min="7181" max="7181" width="8.81640625" style="123" customWidth="1"/>
    <col min="7182" max="7182" width="9.81640625" style="123" customWidth="1"/>
    <col min="7183" max="7183" width="5.453125" style="123" bestFit="1" customWidth="1"/>
    <col min="7184" max="7186" width="9.1796875" style="123"/>
    <col min="7187" max="7187" width="10.7265625" style="123" bestFit="1" customWidth="1"/>
    <col min="7188" max="7422" width="9.1796875" style="123"/>
    <col min="7423" max="7423" width="0" style="123" hidden="1" customWidth="1"/>
    <col min="7424" max="7424" width="25.1796875" style="123" customWidth="1"/>
    <col min="7425" max="7426" width="8.81640625" style="123" customWidth="1"/>
    <col min="7427" max="7427" width="9.26953125" style="123" customWidth="1"/>
    <col min="7428" max="7428" width="1.1796875" style="123" customWidth="1"/>
    <col min="7429" max="7434" width="7.81640625" style="123" customWidth="1"/>
    <col min="7435" max="7435" width="8.26953125" style="123" customWidth="1"/>
    <col min="7436" max="7436" width="8" style="123" customWidth="1"/>
    <col min="7437" max="7437" width="8.81640625" style="123" customWidth="1"/>
    <col min="7438" max="7438" width="9.81640625" style="123" customWidth="1"/>
    <col min="7439" max="7439" width="5.453125" style="123" bestFit="1" customWidth="1"/>
    <col min="7440" max="7442" width="9.1796875" style="123"/>
    <col min="7443" max="7443" width="10.7265625" style="123" bestFit="1" customWidth="1"/>
    <col min="7444" max="7678" width="9.1796875" style="123"/>
    <col min="7679" max="7679" width="0" style="123" hidden="1" customWidth="1"/>
    <col min="7680" max="7680" width="25.1796875" style="123" customWidth="1"/>
    <col min="7681" max="7682" width="8.81640625" style="123" customWidth="1"/>
    <col min="7683" max="7683" width="9.26953125" style="123" customWidth="1"/>
    <col min="7684" max="7684" width="1.1796875" style="123" customWidth="1"/>
    <col min="7685" max="7690" width="7.81640625" style="123" customWidth="1"/>
    <col min="7691" max="7691" width="8.26953125" style="123" customWidth="1"/>
    <col min="7692" max="7692" width="8" style="123" customWidth="1"/>
    <col min="7693" max="7693" width="8.81640625" style="123" customWidth="1"/>
    <col min="7694" max="7694" width="9.81640625" style="123" customWidth="1"/>
    <col min="7695" max="7695" width="5.453125" style="123" bestFit="1" customWidth="1"/>
    <col min="7696" max="7698" width="9.1796875" style="123"/>
    <col min="7699" max="7699" width="10.7265625" style="123" bestFit="1" customWidth="1"/>
    <col min="7700" max="7934" width="9.1796875" style="123"/>
    <col min="7935" max="7935" width="0" style="123" hidden="1" customWidth="1"/>
    <col min="7936" max="7936" width="25.1796875" style="123" customWidth="1"/>
    <col min="7937" max="7938" width="8.81640625" style="123" customWidth="1"/>
    <col min="7939" max="7939" width="9.26953125" style="123" customWidth="1"/>
    <col min="7940" max="7940" width="1.1796875" style="123" customWidth="1"/>
    <col min="7941" max="7946" width="7.81640625" style="123" customWidth="1"/>
    <col min="7947" max="7947" width="8.26953125" style="123" customWidth="1"/>
    <col min="7948" max="7948" width="8" style="123" customWidth="1"/>
    <col min="7949" max="7949" width="8.81640625" style="123" customWidth="1"/>
    <col min="7950" max="7950" width="9.81640625" style="123" customWidth="1"/>
    <col min="7951" max="7951" width="5.453125" style="123" bestFit="1" customWidth="1"/>
    <col min="7952" max="7954" width="9.1796875" style="123"/>
    <col min="7955" max="7955" width="10.7265625" style="123" bestFit="1" customWidth="1"/>
    <col min="7956" max="8190" width="9.1796875" style="123"/>
    <col min="8191" max="8191" width="0" style="123" hidden="1" customWidth="1"/>
    <col min="8192" max="8192" width="25.1796875" style="123" customWidth="1"/>
    <col min="8193" max="8194" width="8.81640625" style="123" customWidth="1"/>
    <col min="8195" max="8195" width="9.26953125" style="123" customWidth="1"/>
    <col min="8196" max="8196" width="1.1796875" style="123" customWidth="1"/>
    <col min="8197" max="8202" width="7.81640625" style="123" customWidth="1"/>
    <col min="8203" max="8203" width="8.26953125" style="123" customWidth="1"/>
    <col min="8204" max="8204" width="8" style="123" customWidth="1"/>
    <col min="8205" max="8205" width="8.81640625" style="123" customWidth="1"/>
    <col min="8206" max="8206" width="9.81640625" style="123" customWidth="1"/>
    <col min="8207" max="8207" width="5.453125" style="123" bestFit="1" customWidth="1"/>
    <col min="8208" max="8210" width="9.1796875" style="123"/>
    <col min="8211" max="8211" width="10.7265625" style="123" bestFit="1" customWidth="1"/>
    <col min="8212" max="8446" width="9.1796875" style="123"/>
    <col min="8447" max="8447" width="0" style="123" hidden="1" customWidth="1"/>
    <col min="8448" max="8448" width="25.1796875" style="123" customWidth="1"/>
    <col min="8449" max="8450" width="8.81640625" style="123" customWidth="1"/>
    <col min="8451" max="8451" width="9.26953125" style="123" customWidth="1"/>
    <col min="8452" max="8452" width="1.1796875" style="123" customWidth="1"/>
    <col min="8453" max="8458" width="7.81640625" style="123" customWidth="1"/>
    <col min="8459" max="8459" width="8.26953125" style="123" customWidth="1"/>
    <col min="8460" max="8460" width="8" style="123" customWidth="1"/>
    <col min="8461" max="8461" width="8.81640625" style="123" customWidth="1"/>
    <col min="8462" max="8462" width="9.81640625" style="123" customWidth="1"/>
    <col min="8463" max="8463" width="5.453125" style="123" bestFit="1" customWidth="1"/>
    <col min="8464" max="8466" width="9.1796875" style="123"/>
    <col min="8467" max="8467" width="10.7265625" style="123" bestFit="1" customWidth="1"/>
    <col min="8468" max="8702" width="9.1796875" style="123"/>
    <col min="8703" max="8703" width="0" style="123" hidden="1" customWidth="1"/>
    <col min="8704" max="8704" width="25.1796875" style="123" customWidth="1"/>
    <col min="8705" max="8706" width="8.81640625" style="123" customWidth="1"/>
    <col min="8707" max="8707" width="9.26953125" style="123" customWidth="1"/>
    <col min="8708" max="8708" width="1.1796875" style="123" customWidth="1"/>
    <col min="8709" max="8714" width="7.81640625" style="123" customWidth="1"/>
    <col min="8715" max="8715" width="8.26953125" style="123" customWidth="1"/>
    <col min="8716" max="8716" width="8" style="123" customWidth="1"/>
    <col min="8717" max="8717" width="8.81640625" style="123" customWidth="1"/>
    <col min="8718" max="8718" width="9.81640625" style="123" customWidth="1"/>
    <col min="8719" max="8719" width="5.453125" style="123" bestFit="1" customWidth="1"/>
    <col min="8720" max="8722" width="9.1796875" style="123"/>
    <col min="8723" max="8723" width="10.7265625" style="123" bestFit="1" customWidth="1"/>
    <col min="8724" max="8958" width="9.1796875" style="123"/>
    <col min="8959" max="8959" width="0" style="123" hidden="1" customWidth="1"/>
    <col min="8960" max="8960" width="25.1796875" style="123" customWidth="1"/>
    <col min="8961" max="8962" width="8.81640625" style="123" customWidth="1"/>
    <col min="8963" max="8963" width="9.26953125" style="123" customWidth="1"/>
    <col min="8964" max="8964" width="1.1796875" style="123" customWidth="1"/>
    <col min="8965" max="8970" width="7.81640625" style="123" customWidth="1"/>
    <col min="8971" max="8971" width="8.26953125" style="123" customWidth="1"/>
    <col min="8972" max="8972" width="8" style="123" customWidth="1"/>
    <col min="8973" max="8973" width="8.81640625" style="123" customWidth="1"/>
    <col min="8974" max="8974" width="9.81640625" style="123" customWidth="1"/>
    <col min="8975" max="8975" width="5.453125" style="123" bestFit="1" customWidth="1"/>
    <col min="8976" max="8978" width="9.1796875" style="123"/>
    <col min="8979" max="8979" width="10.7265625" style="123" bestFit="1" customWidth="1"/>
    <col min="8980" max="9214" width="9.1796875" style="123"/>
    <col min="9215" max="9215" width="0" style="123" hidden="1" customWidth="1"/>
    <col min="9216" max="9216" width="25.1796875" style="123" customWidth="1"/>
    <col min="9217" max="9218" width="8.81640625" style="123" customWidth="1"/>
    <col min="9219" max="9219" width="9.26953125" style="123" customWidth="1"/>
    <col min="9220" max="9220" width="1.1796875" style="123" customWidth="1"/>
    <col min="9221" max="9226" width="7.81640625" style="123" customWidth="1"/>
    <col min="9227" max="9227" width="8.26953125" style="123" customWidth="1"/>
    <col min="9228" max="9228" width="8" style="123" customWidth="1"/>
    <col min="9229" max="9229" width="8.81640625" style="123" customWidth="1"/>
    <col min="9230" max="9230" width="9.81640625" style="123" customWidth="1"/>
    <col min="9231" max="9231" width="5.453125" style="123" bestFit="1" customWidth="1"/>
    <col min="9232" max="9234" width="9.1796875" style="123"/>
    <col min="9235" max="9235" width="10.7265625" style="123" bestFit="1" customWidth="1"/>
    <col min="9236" max="9470" width="9.1796875" style="123"/>
    <col min="9471" max="9471" width="0" style="123" hidden="1" customWidth="1"/>
    <col min="9472" max="9472" width="25.1796875" style="123" customWidth="1"/>
    <col min="9473" max="9474" width="8.81640625" style="123" customWidth="1"/>
    <col min="9475" max="9475" width="9.26953125" style="123" customWidth="1"/>
    <col min="9476" max="9476" width="1.1796875" style="123" customWidth="1"/>
    <col min="9477" max="9482" width="7.81640625" style="123" customWidth="1"/>
    <col min="9483" max="9483" width="8.26953125" style="123" customWidth="1"/>
    <col min="9484" max="9484" width="8" style="123" customWidth="1"/>
    <col min="9485" max="9485" width="8.81640625" style="123" customWidth="1"/>
    <col min="9486" max="9486" width="9.81640625" style="123" customWidth="1"/>
    <col min="9487" max="9487" width="5.453125" style="123" bestFit="1" customWidth="1"/>
    <col min="9488" max="9490" width="9.1796875" style="123"/>
    <col min="9491" max="9491" width="10.7265625" style="123" bestFit="1" customWidth="1"/>
    <col min="9492" max="9726" width="9.1796875" style="123"/>
    <col min="9727" max="9727" width="0" style="123" hidden="1" customWidth="1"/>
    <col min="9728" max="9728" width="25.1796875" style="123" customWidth="1"/>
    <col min="9729" max="9730" width="8.81640625" style="123" customWidth="1"/>
    <col min="9731" max="9731" width="9.26953125" style="123" customWidth="1"/>
    <col min="9732" max="9732" width="1.1796875" style="123" customWidth="1"/>
    <col min="9733" max="9738" width="7.81640625" style="123" customWidth="1"/>
    <col min="9739" max="9739" width="8.26953125" style="123" customWidth="1"/>
    <col min="9740" max="9740" width="8" style="123" customWidth="1"/>
    <col min="9741" max="9741" width="8.81640625" style="123" customWidth="1"/>
    <col min="9742" max="9742" width="9.81640625" style="123" customWidth="1"/>
    <col min="9743" max="9743" width="5.453125" style="123" bestFit="1" customWidth="1"/>
    <col min="9744" max="9746" width="9.1796875" style="123"/>
    <col min="9747" max="9747" width="10.7265625" style="123" bestFit="1" customWidth="1"/>
    <col min="9748" max="9982" width="9.1796875" style="123"/>
    <col min="9983" max="9983" width="0" style="123" hidden="1" customWidth="1"/>
    <col min="9984" max="9984" width="25.1796875" style="123" customWidth="1"/>
    <col min="9985" max="9986" width="8.81640625" style="123" customWidth="1"/>
    <col min="9987" max="9987" width="9.26953125" style="123" customWidth="1"/>
    <col min="9988" max="9988" width="1.1796875" style="123" customWidth="1"/>
    <col min="9989" max="9994" width="7.81640625" style="123" customWidth="1"/>
    <col min="9995" max="9995" width="8.26953125" style="123" customWidth="1"/>
    <col min="9996" max="9996" width="8" style="123" customWidth="1"/>
    <col min="9997" max="9997" width="8.81640625" style="123" customWidth="1"/>
    <col min="9998" max="9998" width="9.81640625" style="123" customWidth="1"/>
    <col min="9999" max="9999" width="5.453125" style="123" bestFit="1" customWidth="1"/>
    <col min="10000" max="10002" width="9.1796875" style="123"/>
    <col min="10003" max="10003" width="10.7265625" style="123" bestFit="1" customWidth="1"/>
    <col min="10004" max="10238" width="9.1796875" style="123"/>
    <col min="10239" max="10239" width="0" style="123" hidden="1" customWidth="1"/>
    <col min="10240" max="10240" width="25.1796875" style="123" customWidth="1"/>
    <col min="10241" max="10242" width="8.81640625" style="123" customWidth="1"/>
    <col min="10243" max="10243" width="9.26953125" style="123" customWidth="1"/>
    <col min="10244" max="10244" width="1.1796875" style="123" customWidth="1"/>
    <col min="10245" max="10250" width="7.81640625" style="123" customWidth="1"/>
    <col min="10251" max="10251" width="8.26953125" style="123" customWidth="1"/>
    <col min="10252" max="10252" width="8" style="123" customWidth="1"/>
    <col min="10253" max="10253" width="8.81640625" style="123" customWidth="1"/>
    <col min="10254" max="10254" width="9.81640625" style="123" customWidth="1"/>
    <col min="10255" max="10255" width="5.453125" style="123" bestFit="1" customWidth="1"/>
    <col min="10256" max="10258" width="9.1796875" style="123"/>
    <col min="10259" max="10259" width="10.7265625" style="123" bestFit="1" customWidth="1"/>
    <col min="10260" max="10494" width="9.1796875" style="123"/>
    <col min="10495" max="10495" width="0" style="123" hidden="1" customWidth="1"/>
    <col min="10496" max="10496" width="25.1796875" style="123" customWidth="1"/>
    <col min="10497" max="10498" width="8.81640625" style="123" customWidth="1"/>
    <col min="10499" max="10499" width="9.26953125" style="123" customWidth="1"/>
    <col min="10500" max="10500" width="1.1796875" style="123" customWidth="1"/>
    <col min="10501" max="10506" width="7.81640625" style="123" customWidth="1"/>
    <col min="10507" max="10507" width="8.26953125" style="123" customWidth="1"/>
    <col min="10508" max="10508" width="8" style="123" customWidth="1"/>
    <col min="10509" max="10509" width="8.81640625" style="123" customWidth="1"/>
    <col min="10510" max="10510" width="9.81640625" style="123" customWidth="1"/>
    <col min="10511" max="10511" width="5.453125" style="123" bestFit="1" customWidth="1"/>
    <col min="10512" max="10514" width="9.1796875" style="123"/>
    <col min="10515" max="10515" width="10.7265625" style="123" bestFit="1" customWidth="1"/>
    <col min="10516" max="10750" width="9.1796875" style="123"/>
    <col min="10751" max="10751" width="0" style="123" hidden="1" customWidth="1"/>
    <col min="10752" max="10752" width="25.1796875" style="123" customWidth="1"/>
    <col min="10753" max="10754" width="8.81640625" style="123" customWidth="1"/>
    <col min="10755" max="10755" width="9.26953125" style="123" customWidth="1"/>
    <col min="10756" max="10756" width="1.1796875" style="123" customWidth="1"/>
    <col min="10757" max="10762" width="7.81640625" style="123" customWidth="1"/>
    <col min="10763" max="10763" width="8.26953125" style="123" customWidth="1"/>
    <col min="10764" max="10764" width="8" style="123" customWidth="1"/>
    <col min="10765" max="10765" width="8.81640625" style="123" customWidth="1"/>
    <col min="10766" max="10766" width="9.81640625" style="123" customWidth="1"/>
    <col min="10767" max="10767" width="5.453125" style="123" bestFit="1" customWidth="1"/>
    <col min="10768" max="10770" width="9.1796875" style="123"/>
    <col min="10771" max="10771" width="10.7265625" style="123" bestFit="1" customWidth="1"/>
    <col min="10772" max="11006" width="9.1796875" style="123"/>
    <col min="11007" max="11007" width="0" style="123" hidden="1" customWidth="1"/>
    <col min="11008" max="11008" width="25.1796875" style="123" customWidth="1"/>
    <col min="11009" max="11010" width="8.81640625" style="123" customWidth="1"/>
    <col min="11011" max="11011" width="9.26953125" style="123" customWidth="1"/>
    <col min="11012" max="11012" width="1.1796875" style="123" customWidth="1"/>
    <col min="11013" max="11018" width="7.81640625" style="123" customWidth="1"/>
    <col min="11019" max="11019" width="8.26953125" style="123" customWidth="1"/>
    <col min="11020" max="11020" width="8" style="123" customWidth="1"/>
    <col min="11021" max="11021" width="8.81640625" style="123" customWidth="1"/>
    <col min="11022" max="11022" width="9.81640625" style="123" customWidth="1"/>
    <col min="11023" max="11023" width="5.453125" style="123" bestFit="1" customWidth="1"/>
    <col min="11024" max="11026" width="9.1796875" style="123"/>
    <col min="11027" max="11027" width="10.7265625" style="123" bestFit="1" customWidth="1"/>
    <col min="11028" max="11262" width="9.1796875" style="123"/>
    <col min="11263" max="11263" width="0" style="123" hidden="1" customWidth="1"/>
    <col min="11264" max="11264" width="25.1796875" style="123" customWidth="1"/>
    <col min="11265" max="11266" width="8.81640625" style="123" customWidth="1"/>
    <col min="11267" max="11267" width="9.26953125" style="123" customWidth="1"/>
    <col min="11268" max="11268" width="1.1796875" style="123" customWidth="1"/>
    <col min="11269" max="11274" width="7.81640625" style="123" customWidth="1"/>
    <col min="11275" max="11275" width="8.26953125" style="123" customWidth="1"/>
    <col min="11276" max="11276" width="8" style="123" customWidth="1"/>
    <col min="11277" max="11277" width="8.81640625" style="123" customWidth="1"/>
    <col min="11278" max="11278" width="9.81640625" style="123" customWidth="1"/>
    <col min="11279" max="11279" width="5.453125" style="123" bestFit="1" customWidth="1"/>
    <col min="11280" max="11282" width="9.1796875" style="123"/>
    <col min="11283" max="11283" width="10.7265625" style="123" bestFit="1" customWidth="1"/>
    <col min="11284" max="11518" width="9.1796875" style="123"/>
    <col min="11519" max="11519" width="0" style="123" hidden="1" customWidth="1"/>
    <col min="11520" max="11520" width="25.1796875" style="123" customWidth="1"/>
    <col min="11521" max="11522" width="8.81640625" style="123" customWidth="1"/>
    <col min="11523" max="11523" width="9.26953125" style="123" customWidth="1"/>
    <col min="11524" max="11524" width="1.1796875" style="123" customWidth="1"/>
    <col min="11525" max="11530" width="7.81640625" style="123" customWidth="1"/>
    <col min="11531" max="11531" width="8.26953125" style="123" customWidth="1"/>
    <col min="11532" max="11532" width="8" style="123" customWidth="1"/>
    <col min="11533" max="11533" width="8.81640625" style="123" customWidth="1"/>
    <col min="11534" max="11534" width="9.81640625" style="123" customWidth="1"/>
    <col min="11535" max="11535" width="5.453125" style="123" bestFit="1" customWidth="1"/>
    <col min="11536" max="11538" width="9.1796875" style="123"/>
    <col min="11539" max="11539" width="10.7265625" style="123" bestFit="1" customWidth="1"/>
    <col min="11540" max="11774" width="9.1796875" style="123"/>
    <col min="11775" max="11775" width="0" style="123" hidden="1" customWidth="1"/>
    <col min="11776" max="11776" width="25.1796875" style="123" customWidth="1"/>
    <col min="11777" max="11778" width="8.81640625" style="123" customWidth="1"/>
    <col min="11779" max="11779" width="9.26953125" style="123" customWidth="1"/>
    <col min="11780" max="11780" width="1.1796875" style="123" customWidth="1"/>
    <col min="11781" max="11786" width="7.81640625" style="123" customWidth="1"/>
    <col min="11787" max="11787" width="8.26953125" style="123" customWidth="1"/>
    <col min="11788" max="11788" width="8" style="123" customWidth="1"/>
    <col min="11789" max="11789" width="8.81640625" style="123" customWidth="1"/>
    <col min="11790" max="11790" width="9.81640625" style="123" customWidth="1"/>
    <col min="11791" max="11791" width="5.453125" style="123" bestFit="1" customWidth="1"/>
    <col min="11792" max="11794" width="9.1796875" style="123"/>
    <col min="11795" max="11795" width="10.7265625" style="123" bestFit="1" customWidth="1"/>
    <col min="11796" max="12030" width="9.1796875" style="123"/>
    <col min="12031" max="12031" width="0" style="123" hidden="1" customWidth="1"/>
    <col min="12032" max="12032" width="25.1796875" style="123" customWidth="1"/>
    <col min="12033" max="12034" width="8.81640625" style="123" customWidth="1"/>
    <col min="12035" max="12035" width="9.26953125" style="123" customWidth="1"/>
    <col min="12036" max="12036" width="1.1796875" style="123" customWidth="1"/>
    <col min="12037" max="12042" width="7.81640625" style="123" customWidth="1"/>
    <col min="12043" max="12043" width="8.26953125" style="123" customWidth="1"/>
    <col min="12044" max="12044" width="8" style="123" customWidth="1"/>
    <col min="12045" max="12045" width="8.81640625" style="123" customWidth="1"/>
    <col min="12046" max="12046" width="9.81640625" style="123" customWidth="1"/>
    <col min="12047" max="12047" width="5.453125" style="123" bestFit="1" customWidth="1"/>
    <col min="12048" max="12050" width="9.1796875" style="123"/>
    <col min="12051" max="12051" width="10.7265625" style="123" bestFit="1" customWidth="1"/>
    <col min="12052" max="12286" width="9.1796875" style="123"/>
    <col min="12287" max="12287" width="0" style="123" hidden="1" customWidth="1"/>
    <col min="12288" max="12288" width="25.1796875" style="123" customWidth="1"/>
    <col min="12289" max="12290" width="8.81640625" style="123" customWidth="1"/>
    <col min="12291" max="12291" width="9.26953125" style="123" customWidth="1"/>
    <col min="12292" max="12292" width="1.1796875" style="123" customWidth="1"/>
    <col min="12293" max="12298" width="7.81640625" style="123" customWidth="1"/>
    <col min="12299" max="12299" width="8.26953125" style="123" customWidth="1"/>
    <col min="12300" max="12300" width="8" style="123" customWidth="1"/>
    <col min="12301" max="12301" width="8.81640625" style="123" customWidth="1"/>
    <col min="12302" max="12302" width="9.81640625" style="123" customWidth="1"/>
    <col min="12303" max="12303" width="5.453125" style="123" bestFit="1" customWidth="1"/>
    <col min="12304" max="12306" width="9.1796875" style="123"/>
    <col min="12307" max="12307" width="10.7265625" style="123" bestFit="1" customWidth="1"/>
    <col min="12308" max="12542" width="9.1796875" style="123"/>
    <col min="12543" max="12543" width="0" style="123" hidden="1" customWidth="1"/>
    <col min="12544" max="12544" width="25.1796875" style="123" customWidth="1"/>
    <col min="12545" max="12546" width="8.81640625" style="123" customWidth="1"/>
    <col min="12547" max="12547" width="9.26953125" style="123" customWidth="1"/>
    <col min="12548" max="12548" width="1.1796875" style="123" customWidth="1"/>
    <col min="12549" max="12554" width="7.81640625" style="123" customWidth="1"/>
    <col min="12555" max="12555" width="8.26953125" style="123" customWidth="1"/>
    <col min="12556" max="12556" width="8" style="123" customWidth="1"/>
    <col min="12557" max="12557" width="8.81640625" style="123" customWidth="1"/>
    <col min="12558" max="12558" width="9.81640625" style="123" customWidth="1"/>
    <col min="12559" max="12559" width="5.453125" style="123" bestFit="1" customWidth="1"/>
    <col min="12560" max="12562" width="9.1796875" style="123"/>
    <col min="12563" max="12563" width="10.7265625" style="123" bestFit="1" customWidth="1"/>
    <col min="12564" max="12798" width="9.1796875" style="123"/>
    <col min="12799" max="12799" width="0" style="123" hidden="1" customWidth="1"/>
    <col min="12800" max="12800" width="25.1796875" style="123" customWidth="1"/>
    <col min="12801" max="12802" width="8.81640625" style="123" customWidth="1"/>
    <col min="12803" max="12803" width="9.26953125" style="123" customWidth="1"/>
    <col min="12804" max="12804" width="1.1796875" style="123" customWidth="1"/>
    <col min="12805" max="12810" width="7.81640625" style="123" customWidth="1"/>
    <col min="12811" max="12811" width="8.26953125" style="123" customWidth="1"/>
    <col min="12812" max="12812" width="8" style="123" customWidth="1"/>
    <col min="12813" max="12813" width="8.81640625" style="123" customWidth="1"/>
    <col min="12814" max="12814" width="9.81640625" style="123" customWidth="1"/>
    <col min="12815" max="12815" width="5.453125" style="123" bestFit="1" customWidth="1"/>
    <col min="12816" max="12818" width="9.1796875" style="123"/>
    <col min="12819" max="12819" width="10.7265625" style="123" bestFit="1" customWidth="1"/>
    <col min="12820" max="13054" width="9.1796875" style="123"/>
    <col min="13055" max="13055" width="0" style="123" hidden="1" customWidth="1"/>
    <col min="13056" max="13056" width="25.1796875" style="123" customWidth="1"/>
    <col min="13057" max="13058" width="8.81640625" style="123" customWidth="1"/>
    <col min="13059" max="13059" width="9.26953125" style="123" customWidth="1"/>
    <col min="13060" max="13060" width="1.1796875" style="123" customWidth="1"/>
    <col min="13061" max="13066" width="7.81640625" style="123" customWidth="1"/>
    <col min="13067" max="13067" width="8.26953125" style="123" customWidth="1"/>
    <col min="13068" max="13068" width="8" style="123" customWidth="1"/>
    <col min="13069" max="13069" width="8.81640625" style="123" customWidth="1"/>
    <col min="13070" max="13070" width="9.81640625" style="123" customWidth="1"/>
    <col min="13071" max="13071" width="5.453125" style="123" bestFit="1" customWidth="1"/>
    <col min="13072" max="13074" width="9.1796875" style="123"/>
    <col min="13075" max="13075" width="10.7265625" style="123" bestFit="1" customWidth="1"/>
    <col min="13076" max="13310" width="9.1796875" style="123"/>
    <col min="13311" max="13311" width="0" style="123" hidden="1" customWidth="1"/>
    <col min="13312" max="13312" width="25.1796875" style="123" customWidth="1"/>
    <col min="13313" max="13314" width="8.81640625" style="123" customWidth="1"/>
    <col min="13315" max="13315" width="9.26953125" style="123" customWidth="1"/>
    <col min="13316" max="13316" width="1.1796875" style="123" customWidth="1"/>
    <col min="13317" max="13322" width="7.81640625" style="123" customWidth="1"/>
    <col min="13323" max="13323" width="8.26953125" style="123" customWidth="1"/>
    <col min="13324" max="13324" width="8" style="123" customWidth="1"/>
    <col min="13325" max="13325" width="8.81640625" style="123" customWidth="1"/>
    <col min="13326" max="13326" width="9.81640625" style="123" customWidth="1"/>
    <col min="13327" max="13327" width="5.453125" style="123" bestFit="1" customWidth="1"/>
    <col min="13328" max="13330" width="9.1796875" style="123"/>
    <col min="13331" max="13331" width="10.7265625" style="123" bestFit="1" customWidth="1"/>
    <col min="13332" max="13566" width="9.1796875" style="123"/>
    <col min="13567" max="13567" width="0" style="123" hidden="1" customWidth="1"/>
    <col min="13568" max="13568" width="25.1796875" style="123" customWidth="1"/>
    <col min="13569" max="13570" width="8.81640625" style="123" customWidth="1"/>
    <col min="13571" max="13571" width="9.26953125" style="123" customWidth="1"/>
    <col min="13572" max="13572" width="1.1796875" style="123" customWidth="1"/>
    <col min="13573" max="13578" width="7.81640625" style="123" customWidth="1"/>
    <col min="13579" max="13579" width="8.26953125" style="123" customWidth="1"/>
    <col min="13580" max="13580" width="8" style="123" customWidth="1"/>
    <col min="13581" max="13581" width="8.81640625" style="123" customWidth="1"/>
    <col min="13582" max="13582" width="9.81640625" style="123" customWidth="1"/>
    <col min="13583" max="13583" width="5.453125" style="123" bestFit="1" customWidth="1"/>
    <col min="13584" max="13586" width="9.1796875" style="123"/>
    <col min="13587" max="13587" width="10.7265625" style="123" bestFit="1" customWidth="1"/>
    <col min="13588" max="13822" width="9.1796875" style="123"/>
    <col min="13823" max="13823" width="0" style="123" hidden="1" customWidth="1"/>
    <col min="13824" max="13824" width="25.1796875" style="123" customWidth="1"/>
    <col min="13825" max="13826" width="8.81640625" style="123" customWidth="1"/>
    <col min="13827" max="13827" width="9.26953125" style="123" customWidth="1"/>
    <col min="13828" max="13828" width="1.1796875" style="123" customWidth="1"/>
    <col min="13829" max="13834" width="7.81640625" style="123" customWidth="1"/>
    <col min="13835" max="13835" width="8.26953125" style="123" customWidth="1"/>
    <col min="13836" max="13836" width="8" style="123" customWidth="1"/>
    <col min="13837" max="13837" width="8.81640625" style="123" customWidth="1"/>
    <col min="13838" max="13838" width="9.81640625" style="123" customWidth="1"/>
    <col min="13839" max="13839" width="5.453125" style="123" bestFit="1" customWidth="1"/>
    <col min="13840" max="13842" width="9.1796875" style="123"/>
    <col min="13843" max="13843" width="10.7265625" style="123" bestFit="1" customWidth="1"/>
    <col min="13844" max="14078" width="9.1796875" style="123"/>
    <col min="14079" max="14079" width="0" style="123" hidden="1" customWidth="1"/>
    <col min="14080" max="14080" width="25.1796875" style="123" customWidth="1"/>
    <col min="14081" max="14082" width="8.81640625" style="123" customWidth="1"/>
    <col min="14083" max="14083" width="9.26953125" style="123" customWidth="1"/>
    <col min="14084" max="14084" width="1.1796875" style="123" customWidth="1"/>
    <col min="14085" max="14090" width="7.81640625" style="123" customWidth="1"/>
    <col min="14091" max="14091" width="8.26953125" style="123" customWidth="1"/>
    <col min="14092" max="14092" width="8" style="123" customWidth="1"/>
    <col min="14093" max="14093" width="8.81640625" style="123" customWidth="1"/>
    <col min="14094" max="14094" width="9.81640625" style="123" customWidth="1"/>
    <col min="14095" max="14095" width="5.453125" style="123" bestFit="1" customWidth="1"/>
    <col min="14096" max="14098" width="9.1796875" style="123"/>
    <col min="14099" max="14099" width="10.7265625" style="123" bestFit="1" customWidth="1"/>
    <col min="14100" max="14334" width="9.1796875" style="123"/>
    <col min="14335" max="14335" width="0" style="123" hidden="1" customWidth="1"/>
    <col min="14336" max="14336" width="25.1796875" style="123" customWidth="1"/>
    <col min="14337" max="14338" width="8.81640625" style="123" customWidth="1"/>
    <col min="14339" max="14339" width="9.26953125" style="123" customWidth="1"/>
    <col min="14340" max="14340" width="1.1796875" style="123" customWidth="1"/>
    <col min="14341" max="14346" width="7.81640625" style="123" customWidth="1"/>
    <col min="14347" max="14347" width="8.26953125" style="123" customWidth="1"/>
    <col min="14348" max="14348" width="8" style="123" customWidth="1"/>
    <col min="14349" max="14349" width="8.81640625" style="123" customWidth="1"/>
    <col min="14350" max="14350" width="9.81640625" style="123" customWidth="1"/>
    <col min="14351" max="14351" width="5.453125" style="123" bestFit="1" customWidth="1"/>
    <col min="14352" max="14354" width="9.1796875" style="123"/>
    <col min="14355" max="14355" width="10.7265625" style="123" bestFit="1" customWidth="1"/>
    <col min="14356" max="14590" width="9.1796875" style="123"/>
    <col min="14591" max="14591" width="0" style="123" hidden="1" customWidth="1"/>
    <col min="14592" max="14592" width="25.1796875" style="123" customWidth="1"/>
    <col min="14593" max="14594" width="8.81640625" style="123" customWidth="1"/>
    <col min="14595" max="14595" width="9.26953125" style="123" customWidth="1"/>
    <col min="14596" max="14596" width="1.1796875" style="123" customWidth="1"/>
    <col min="14597" max="14602" width="7.81640625" style="123" customWidth="1"/>
    <col min="14603" max="14603" width="8.26953125" style="123" customWidth="1"/>
    <col min="14604" max="14604" width="8" style="123" customWidth="1"/>
    <col min="14605" max="14605" width="8.81640625" style="123" customWidth="1"/>
    <col min="14606" max="14606" width="9.81640625" style="123" customWidth="1"/>
    <col min="14607" max="14607" width="5.453125" style="123" bestFit="1" customWidth="1"/>
    <col min="14608" max="14610" width="9.1796875" style="123"/>
    <col min="14611" max="14611" width="10.7265625" style="123" bestFit="1" customWidth="1"/>
    <col min="14612" max="14846" width="9.1796875" style="123"/>
    <col min="14847" max="14847" width="0" style="123" hidden="1" customWidth="1"/>
    <col min="14848" max="14848" width="25.1796875" style="123" customWidth="1"/>
    <col min="14849" max="14850" width="8.81640625" style="123" customWidth="1"/>
    <col min="14851" max="14851" width="9.26953125" style="123" customWidth="1"/>
    <col min="14852" max="14852" width="1.1796875" style="123" customWidth="1"/>
    <col min="14853" max="14858" width="7.81640625" style="123" customWidth="1"/>
    <col min="14859" max="14859" width="8.26953125" style="123" customWidth="1"/>
    <col min="14860" max="14860" width="8" style="123" customWidth="1"/>
    <col min="14861" max="14861" width="8.81640625" style="123" customWidth="1"/>
    <col min="14862" max="14862" width="9.81640625" style="123" customWidth="1"/>
    <col min="14863" max="14863" width="5.453125" style="123" bestFit="1" customWidth="1"/>
    <col min="14864" max="14866" width="9.1796875" style="123"/>
    <col min="14867" max="14867" width="10.7265625" style="123" bestFit="1" customWidth="1"/>
    <col min="14868" max="15102" width="9.1796875" style="123"/>
    <col min="15103" max="15103" width="0" style="123" hidden="1" customWidth="1"/>
    <col min="15104" max="15104" width="25.1796875" style="123" customWidth="1"/>
    <col min="15105" max="15106" width="8.81640625" style="123" customWidth="1"/>
    <col min="15107" max="15107" width="9.26953125" style="123" customWidth="1"/>
    <col min="15108" max="15108" width="1.1796875" style="123" customWidth="1"/>
    <col min="15109" max="15114" width="7.81640625" style="123" customWidth="1"/>
    <col min="15115" max="15115" width="8.26953125" style="123" customWidth="1"/>
    <col min="15116" max="15116" width="8" style="123" customWidth="1"/>
    <col min="15117" max="15117" width="8.81640625" style="123" customWidth="1"/>
    <col min="15118" max="15118" width="9.81640625" style="123" customWidth="1"/>
    <col min="15119" max="15119" width="5.453125" style="123" bestFit="1" customWidth="1"/>
    <col min="15120" max="15122" width="9.1796875" style="123"/>
    <col min="15123" max="15123" width="10.7265625" style="123" bestFit="1" customWidth="1"/>
    <col min="15124" max="15358" width="9.1796875" style="123"/>
    <col min="15359" max="15359" width="0" style="123" hidden="1" customWidth="1"/>
    <col min="15360" max="15360" width="25.1796875" style="123" customWidth="1"/>
    <col min="15361" max="15362" width="8.81640625" style="123" customWidth="1"/>
    <col min="15363" max="15363" width="9.26953125" style="123" customWidth="1"/>
    <col min="15364" max="15364" width="1.1796875" style="123" customWidth="1"/>
    <col min="15365" max="15370" width="7.81640625" style="123" customWidth="1"/>
    <col min="15371" max="15371" width="8.26953125" style="123" customWidth="1"/>
    <col min="15372" max="15372" width="8" style="123" customWidth="1"/>
    <col min="15373" max="15373" width="8.81640625" style="123" customWidth="1"/>
    <col min="15374" max="15374" width="9.81640625" style="123" customWidth="1"/>
    <col min="15375" max="15375" width="5.453125" style="123" bestFit="1" customWidth="1"/>
    <col min="15376" max="15378" width="9.1796875" style="123"/>
    <col min="15379" max="15379" width="10.7265625" style="123" bestFit="1" customWidth="1"/>
    <col min="15380" max="15614" width="9.1796875" style="123"/>
    <col min="15615" max="15615" width="0" style="123" hidden="1" customWidth="1"/>
    <col min="15616" max="15616" width="25.1796875" style="123" customWidth="1"/>
    <col min="15617" max="15618" width="8.81640625" style="123" customWidth="1"/>
    <col min="15619" max="15619" width="9.26953125" style="123" customWidth="1"/>
    <col min="15620" max="15620" width="1.1796875" style="123" customWidth="1"/>
    <col min="15621" max="15626" width="7.81640625" style="123" customWidth="1"/>
    <col min="15627" max="15627" width="8.26953125" style="123" customWidth="1"/>
    <col min="15628" max="15628" width="8" style="123" customWidth="1"/>
    <col min="15629" max="15629" width="8.81640625" style="123" customWidth="1"/>
    <col min="15630" max="15630" width="9.81640625" style="123" customWidth="1"/>
    <col min="15631" max="15631" width="5.453125" style="123" bestFit="1" customWidth="1"/>
    <col min="15632" max="15634" width="9.1796875" style="123"/>
    <col min="15635" max="15635" width="10.7265625" style="123" bestFit="1" customWidth="1"/>
    <col min="15636" max="15870" width="9.1796875" style="123"/>
    <col min="15871" max="15871" width="0" style="123" hidden="1" customWidth="1"/>
    <col min="15872" max="15872" width="25.1796875" style="123" customWidth="1"/>
    <col min="15873" max="15874" width="8.81640625" style="123" customWidth="1"/>
    <col min="15875" max="15875" width="9.26953125" style="123" customWidth="1"/>
    <col min="15876" max="15876" width="1.1796875" style="123" customWidth="1"/>
    <col min="15877" max="15882" width="7.81640625" style="123" customWidth="1"/>
    <col min="15883" max="15883" width="8.26953125" style="123" customWidth="1"/>
    <col min="15884" max="15884" width="8" style="123" customWidth="1"/>
    <col min="15885" max="15885" width="8.81640625" style="123" customWidth="1"/>
    <col min="15886" max="15886" width="9.81640625" style="123" customWidth="1"/>
    <col min="15887" max="15887" width="5.453125" style="123" bestFit="1" customWidth="1"/>
    <col min="15888" max="15890" width="9.1796875" style="123"/>
    <col min="15891" max="15891" width="10.7265625" style="123" bestFit="1" customWidth="1"/>
    <col min="15892" max="16126" width="9.1796875" style="123"/>
    <col min="16127" max="16127" width="0" style="123" hidden="1" customWidth="1"/>
    <col min="16128" max="16128" width="25.1796875" style="123" customWidth="1"/>
    <col min="16129" max="16130" width="8.81640625" style="123" customWidth="1"/>
    <col min="16131" max="16131" width="9.26953125" style="123" customWidth="1"/>
    <col min="16132" max="16132" width="1.1796875" style="123" customWidth="1"/>
    <col min="16133" max="16138" width="7.81640625" style="123" customWidth="1"/>
    <col min="16139" max="16139" width="8.26953125" style="123" customWidth="1"/>
    <col min="16140" max="16140" width="8" style="123" customWidth="1"/>
    <col min="16141" max="16141" width="8.81640625" style="123" customWidth="1"/>
    <col min="16142" max="16142" width="9.81640625" style="123" customWidth="1"/>
    <col min="16143" max="16143" width="5.453125" style="123" bestFit="1" customWidth="1"/>
    <col min="16144" max="16146" width="9.1796875" style="123"/>
    <col min="16147" max="16147" width="10.7265625" style="123" bestFit="1" customWidth="1"/>
    <col min="16148" max="16384" width="9.1796875" style="123"/>
  </cols>
  <sheetData>
    <row r="1" spans="1:16" s="12" customFormat="1" ht="28.5" x14ac:dyDescent="0.25">
      <c r="A1" s="38" t="s">
        <v>476</v>
      </c>
      <c r="B1" s="105"/>
      <c r="C1" s="105"/>
      <c r="D1" s="106"/>
      <c r="E1" s="106"/>
      <c r="F1" s="106"/>
      <c r="G1" s="106"/>
      <c r="H1" s="106"/>
      <c r="I1" s="106"/>
      <c r="J1" s="106"/>
      <c r="K1" s="106"/>
      <c r="L1" s="106"/>
      <c r="M1" s="106"/>
      <c r="N1" s="106"/>
    </row>
    <row r="2" spans="1:16" s="12" customFormat="1" x14ac:dyDescent="0.25">
      <c r="A2" s="3" t="s">
        <v>15</v>
      </c>
      <c r="B2" s="105"/>
      <c r="C2" s="105"/>
      <c r="D2" s="106"/>
      <c r="E2" s="226"/>
      <c r="F2" s="106"/>
      <c r="G2" s="106"/>
      <c r="H2" s="106"/>
      <c r="I2" s="106"/>
      <c r="J2" s="106"/>
      <c r="K2" s="106"/>
      <c r="L2" s="106"/>
      <c r="M2" s="106"/>
      <c r="N2" s="106"/>
    </row>
    <row r="3" spans="1:16" s="12" customFormat="1" x14ac:dyDescent="0.25">
      <c r="A3" s="44" t="s">
        <v>158</v>
      </c>
      <c r="B3" s="105"/>
      <c r="C3" s="215"/>
      <c r="D3" s="106"/>
      <c r="E3" s="106"/>
      <c r="F3" s="106"/>
      <c r="G3" s="106"/>
      <c r="H3" s="106"/>
      <c r="I3" s="106"/>
      <c r="J3" s="106"/>
      <c r="K3" s="106"/>
      <c r="L3" s="106"/>
      <c r="M3" s="106"/>
      <c r="N3" s="106"/>
    </row>
    <row r="4" spans="1:16" ht="46.5" x14ac:dyDescent="0.35">
      <c r="A4" s="175" t="s">
        <v>470</v>
      </c>
      <c r="B4" s="229" t="s">
        <v>516</v>
      </c>
      <c r="C4" s="229" t="s">
        <v>525</v>
      </c>
      <c r="D4" s="198" t="s">
        <v>478</v>
      </c>
      <c r="E4" s="195" t="s">
        <v>508</v>
      </c>
      <c r="F4" s="195" t="s">
        <v>509</v>
      </c>
      <c r="G4" s="195" t="s">
        <v>511</v>
      </c>
      <c r="H4" s="195" t="s">
        <v>512</v>
      </c>
      <c r="I4" s="195" t="s">
        <v>514</v>
      </c>
      <c r="J4" s="195" t="s">
        <v>517</v>
      </c>
      <c r="K4" s="195" t="s">
        <v>520</v>
      </c>
      <c r="L4" s="195" t="s">
        <v>522</v>
      </c>
      <c r="M4" s="195" t="s">
        <v>523</v>
      </c>
      <c r="N4" s="196" t="s">
        <v>479</v>
      </c>
    </row>
    <row r="5" spans="1:16" x14ac:dyDescent="0.35">
      <c r="A5" s="140" t="s">
        <v>161</v>
      </c>
      <c r="B5" s="162">
        <f ca="1">INDIRECT(calculation3a_hide!C10,FALSE)</f>
        <v>94899.97</v>
      </c>
      <c r="C5" s="125">
        <f ca="1">INDIRECT(calculation3a_hide!D10,FALSE)</f>
        <v>93996.650000000009</v>
      </c>
      <c r="D5" s="232" t="str">
        <f ca="1">IF(((C5-B5)/B5*100)&gt;100,"(+) ",IF(((C5-B5)/B5*100)&lt;-100,"(-) ",IF(ROUND(((C5-B5)/B5*100),1)=0,"- ",IF(((C5-B5)/B5*100)&gt;0,TEXT(((C5-B5)/B5*100),"+0.0 "),TEXT(((C5-B5)/B5*100),"0.0 ")))))</f>
        <v xml:space="preserve">-1.0 </v>
      </c>
      <c r="E5" s="162">
        <f ca="1">INDIRECT(calculation3a_hide!F10,FALSE)</f>
        <v>25727.25</v>
      </c>
      <c r="F5" s="125">
        <f ca="1">INDIRECT(calculation3a_hide!G10,FALSE)</f>
        <v>25442.13</v>
      </c>
      <c r="G5" s="125">
        <f ca="1">INDIRECT(calculation3a_hide!H10,FALSE)</f>
        <v>22910</v>
      </c>
      <c r="H5" s="125">
        <f ca="1">INDIRECT(calculation3a_hide!I10,FALSE)</f>
        <v>21739.98</v>
      </c>
      <c r="I5" s="125">
        <f ca="1">INDIRECT(calculation3a_hide!J10,FALSE)</f>
        <v>24807.86</v>
      </c>
      <c r="J5" s="125">
        <f ca="1">INDIRECT(calculation3a_hide!K10,FALSE)</f>
        <v>25203.09</v>
      </c>
      <c r="K5" s="125">
        <f ca="1">INDIRECT(calculation3a_hide!L10,FALSE)</f>
        <v>23287.09</v>
      </c>
      <c r="L5" s="125">
        <f ca="1">INDIRECT(calculation3a_hide!M10,FALSE)</f>
        <v>21269.360000000001</v>
      </c>
      <c r="M5" s="125">
        <f ca="1">INDIRECT(calculation3a_hide!N10,FALSE)</f>
        <v>24237.11</v>
      </c>
      <c r="N5" s="180" t="str">
        <f t="shared" ref="N5:N6" ca="1" si="0">IF(((M5-I5)/I5*100)&gt;100,"(+) ",IF(((M5-I5)/I5*100)&lt;-100,"(-) ",IF(ROUND(((M5-I5)/I5*100),1)=0,"- ",IF(((M5-I5)/I5*100)&gt;0,TEXT(((M5-I5)/I5*100),"+0.0 "),TEXT(((M5-I5)/I5*100),"0.0 ")))))</f>
        <v xml:space="preserve">-2.3 </v>
      </c>
    </row>
    <row r="6" spans="1:16" x14ac:dyDescent="0.35">
      <c r="A6" s="141" t="s">
        <v>70</v>
      </c>
      <c r="B6" s="162">
        <f ca="1">INDIRECT(calculation3a_hide!C11,FALSE)</f>
        <v>138919.97</v>
      </c>
      <c r="C6" s="125">
        <f ca="1">INDIRECT(calculation3a_hide!D11,FALSE)</f>
        <v>136146.69</v>
      </c>
      <c r="D6" s="185" t="str">
        <f ca="1">IF(((C6-B6)/B6*100)&gt;100,"(+) ",IF(((C6-B6)/B6*100)&lt;-100,"(-) ",IF(ROUND(((C6-B6)/B6*100),1)=0,"- ",IF(((C6-B6)/B6*100)&gt;0,TEXT(((C6-B6)/B6*100),"+0.0 "),TEXT(((C6-B6)/B6*100),"0.0 ")))))</f>
        <v xml:space="preserve">-2.0 </v>
      </c>
      <c r="E6" s="162">
        <f ca="1">INDIRECT(calculation3a_hide!F11,FALSE)</f>
        <v>35675.49</v>
      </c>
      <c r="F6" s="125">
        <f ca="1">INDIRECT(calculation3a_hide!G11,FALSE)</f>
        <v>35774.129999999997</v>
      </c>
      <c r="G6" s="125">
        <f ca="1">INDIRECT(calculation3a_hide!H11,FALSE)</f>
        <v>33435.920000000006</v>
      </c>
      <c r="H6" s="125">
        <f ca="1">INDIRECT(calculation3a_hide!I11,FALSE)</f>
        <v>32566.520000000004</v>
      </c>
      <c r="I6" s="125">
        <f ca="1">INDIRECT(calculation3a_hide!J11,FALSE)</f>
        <v>37143.4</v>
      </c>
      <c r="J6" s="125">
        <f ca="1">INDIRECT(calculation3a_hide!K11,FALSE)</f>
        <v>37804.980000000003</v>
      </c>
      <c r="K6" s="125">
        <f ca="1">INDIRECT(calculation3a_hide!L11,FALSE)</f>
        <v>31404.76</v>
      </c>
      <c r="L6" s="125">
        <f ca="1">INDIRECT(calculation3a_hide!M11,FALSE)</f>
        <v>31609.530000000002</v>
      </c>
      <c r="M6" s="125">
        <f ca="1">INDIRECT(calculation3a_hide!N11,FALSE)</f>
        <v>35327.42</v>
      </c>
      <c r="N6" s="180" t="str">
        <f t="shared" ca="1" si="0"/>
        <v xml:space="preserve">-4.9 </v>
      </c>
    </row>
    <row r="7" spans="1:16" x14ac:dyDescent="0.35">
      <c r="A7" s="141" t="s">
        <v>71</v>
      </c>
      <c r="B7" s="162">
        <f ca="1">INDIRECT(calculation3a_hide!C12,FALSE)</f>
        <v>-64075.96</v>
      </c>
      <c r="C7" s="125">
        <f ca="1">INDIRECT(calculation3a_hide!D12,FALSE)</f>
        <v>-62966.990000000005</v>
      </c>
      <c r="D7" s="180" t="str">
        <f ca="1">IF(((C7-B7)/B7*100)&gt;100,"(+) ",IF(((C7-B7)/B7*100)&lt;-100,"(-) ",IF(ROUND(((C7-B7)/B7*100),1)=0,"- ",IF(((C7-B7)/B7*100)&gt;0,TEXT(((C7-B7)/B7*100),"+0.0 "),TEXT(((C7-B7)/B7*100),"0.0 ")))))</f>
        <v xml:space="preserve">-1.7 </v>
      </c>
      <c r="E7" s="162">
        <f ca="1">INDIRECT(calculation3a_hide!F12,FALSE)</f>
        <v>-15444.28</v>
      </c>
      <c r="F7" s="125">
        <f ca="1">INDIRECT(calculation3a_hide!G12,FALSE)</f>
        <v>-14595.95</v>
      </c>
      <c r="G7" s="125">
        <f ca="1">INDIRECT(calculation3a_hide!H12,FALSE)</f>
        <v>-16948.47</v>
      </c>
      <c r="H7" s="125">
        <f ca="1">INDIRECT(calculation3a_hide!I12,FALSE)</f>
        <v>-17099.170000000002</v>
      </c>
      <c r="I7" s="125">
        <f ca="1">INDIRECT(calculation3a_hide!J12,FALSE)</f>
        <v>-15432.369999999997</v>
      </c>
      <c r="J7" s="125">
        <f ca="1">INDIRECT(calculation3a_hide!K12,FALSE)</f>
        <v>-14795.279999999999</v>
      </c>
      <c r="K7" s="125">
        <f ca="1">INDIRECT(calculation3a_hide!L12,FALSE)</f>
        <v>-17718.12</v>
      </c>
      <c r="L7" s="125">
        <f ca="1">INDIRECT(calculation3a_hide!M12,FALSE)</f>
        <v>-16489.400000000001</v>
      </c>
      <c r="M7" s="125">
        <f ca="1">INDIRECT(calculation3a_hide!N12,FALSE)</f>
        <v>-13964.19</v>
      </c>
      <c r="N7" s="180" t="str">
        <f ca="1">IF(((M7-I7)/I7*100)&gt;100,"(+) ",IF(((M7-I7)/I7*100)&lt;-100,"(-) ",IF(ROUND(((M7-I7)/I7*100),1)=0,"- ",IF(((M7-I7)/I7*100)&gt;0,TEXT(((M7-I7)/I7*100),"+0.0 "),TEXT(((M7-I7)/I7*100),"0.0 ")))))</f>
        <v xml:space="preserve">-9.5 </v>
      </c>
      <c r="P7" s="241"/>
    </row>
    <row r="8" spans="1:16" x14ac:dyDescent="0.35">
      <c r="A8" s="141" t="s">
        <v>72</v>
      </c>
      <c r="B8" s="162">
        <f ca="1">INDIRECT(calculation3a_hide!C13,FALSE)</f>
        <v>-2054.96</v>
      </c>
      <c r="C8" s="125">
        <f ca="1">INDIRECT(calculation3a_hide!D13,FALSE)</f>
        <v>-1919.7400000000002</v>
      </c>
      <c r="D8" s="180" t="str">
        <f t="shared" ref="D8:D15" ca="1" si="1">IF(((C8-B8)/B8*100)&gt;100,"(+) ",IF(((C8-B8)/B8*100)&lt;-100,"(-) ",IF(ROUND(((C8-B8)/B8*100),1)=0,"- ",IF(((C8-B8)/B8*100)&gt;0,TEXT(((C8-B8)/B8*100),"+0.0 "),TEXT(((C8-B8)/B8*100),"0.0 ")))))</f>
        <v xml:space="preserve">-6.6 </v>
      </c>
      <c r="E8" s="162">
        <f ca="1">INDIRECT(calculation3a_hide!F13,FALSE)</f>
        <v>-473.76</v>
      </c>
      <c r="F8" s="125">
        <f ca="1">INDIRECT(calculation3a_hide!G13,FALSE)</f>
        <v>-419.84</v>
      </c>
      <c r="G8" s="125">
        <f ca="1">INDIRECT(calculation3a_hide!H13,FALSE)</f>
        <v>-551.02</v>
      </c>
      <c r="H8" s="125">
        <f ca="1">INDIRECT(calculation3a_hide!I13,FALSE)</f>
        <v>-614.19000000000005</v>
      </c>
      <c r="I8" s="125">
        <f ca="1">INDIRECT(calculation3a_hide!J13,FALSE)</f>
        <v>-469.91</v>
      </c>
      <c r="J8" s="125">
        <f ca="1">INDIRECT(calculation3a_hide!K13,FALSE)</f>
        <v>-443.5</v>
      </c>
      <c r="K8" s="125">
        <f ca="1">INDIRECT(calculation3a_hide!L13,FALSE)</f>
        <v>-476.27</v>
      </c>
      <c r="L8" s="125">
        <f ca="1">INDIRECT(calculation3a_hide!M13,FALSE)</f>
        <v>-588.57000000000005</v>
      </c>
      <c r="M8" s="125">
        <f ca="1">INDIRECT(calculation3a_hide!N13,FALSE)</f>
        <v>-411.4</v>
      </c>
      <c r="N8" s="180" t="str">
        <f ca="1">IF(((M8-I8)/I8*100)&gt;100,"(+) ",IF(((M8-I8)/I8*100)&lt;-100,"(-) ",IF(ROUND(((M8-I8)/I8*100),1)=0,"- ",IF(((M8-I8)/I8*100)&gt;0,TEXT(((M8-I8)/I8*100),"+0.0 "),TEXT(((M8-I8)/I8*100),"0.0 ")))))</f>
        <v xml:space="preserve">-12.5 </v>
      </c>
    </row>
    <row r="9" spans="1:16" x14ac:dyDescent="0.35">
      <c r="A9" s="141" t="s">
        <v>166</v>
      </c>
      <c r="B9" s="162">
        <f ca="1">INDIRECT(calculation3a_hide!C14,FALSE)</f>
        <v>1264.1400000000001</v>
      </c>
      <c r="C9" s="125">
        <f ca="1">INDIRECT(calculation3a_hide!D14,FALSE)</f>
        <v>990.00000000000011</v>
      </c>
      <c r="D9" s="180" t="str">
        <f ca="1">IF(((C9-B9)/B9*100)&gt;100,"(+) ",IF(((C9-B9)/B9*100)&lt;-100,"",IF(ROUND(((C9-B9)/B9*100),1)=0,"- ",IF(((C9-B9)/B9*100)&gt;0,TEXT(((C9-B9)/B9*100),"+0.0 "),TEXT(((C9-B9)/B9*100),"0.0 ")))))</f>
        <v xml:space="preserve">-21.7 </v>
      </c>
      <c r="E9" s="162">
        <f ca="1">INDIRECT(calculation3a_hide!F14,FALSE)</f>
        <v>-12.720000000000017</v>
      </c>
      <c r="F9" s="125">
        <f ca="1">INDIRECT(calculation3a_hide!G14,FALSE)</f>
        <v>1963.4</v>
      </c>
      <c r="G9" s="125">
        <f ca="1">INDIRECT(calculation3a_hide!H14,FALSE)</f>
        <v>-171.15999999999997</v>
      </c>
      <c r="H9" s="125">
        <f ca="1">INDIRECT(calculation3a_hide!I14,FALSE)</f>
        <v>-682.70999999999992</v>
      </c>
      <c r="I9" s="125">
        <f ca="1">INDIRECT(calculation3a_hide!J14,FALSE)</f>
        <v>154.60999999999999</v>
      </c>
      <c r="J9" s="125">
        <f ca="1">INDIRECT(calculation3a_hide!K14,FALSE)</f>
        <v>1188.9100000000001</v>
      </c>
      <c r="K9" s="125">
        <f ca="1">INDIRECT(calculation3a_hide!L14,FALSE)</f>
        <v>410.5</v>
      </c>
      <c r="L9" s="125">
        <f ca="1">INDIRECT(calculation3a_hide!M14,FALSE)</f>
        <v>-321</v>
      </c>
      <c r="M9" s="125">
        <f ca="1">INDIRECT(calculation3a_hide!N14,FALSE)</f>
        <v>-288.40999999999997</v>
      </c>
      <c r="N9" s="180" t="str">
        <f ca="1">IF(((M9-I9)/I9*100)&gt;100,"(+) ",IF(((M9-I9)/I9*100)&lt;-100,"(-) ",IF(ROUND(((M9-I9)/I9*100),1)=0,"- ",IF(((M9-I9)/I9*100)&gt;0,TEXT(((M9-I9)/I9*100),"+0.0 "),TEXT(((M9-I9)/I9*100),"0.0 ")))))</f>
        <v xml:space="preserve">(-) </v>
      </c>
    </row>
    <row r="10" spans="1:16" s="174" customFormat="1" x14ac:dyDescent="0.35">
      <c r="A10" s="142" t="s">
        <v>36</v>
      </c>
      <c r="B10" s="181">
        <f ca="1">INDIRECT(calculation3a_hide!C16,FALSE)</f>
        <v>168953.15999999997</v>
      </c>
      <c r="C10" s="176">
        <f ca="1">INDIRECT(calculation3a_hide!D16,FALSE)</f>
        <v>166246.61000000002</v>
      </c>
      <c r="D10" s="182" t="str">
        <f t="shared" ca="1" si="1"/>
        <v xml:space="preserve">-1.6 </v>
      </c>
      <c r="E10" s="181">
        <f ca="1">INDIRECT(calculation3a_hide!F16,FALSE)</f>
        <v>45471.979999999996</v>
      </c>
      <c r="F10" s="176">
        <f ca="1">INDIRECT(calculation3a_hide!G16,FALSE)</f>
        <v>48163.87</v>
      </c>
      <c r="G10" s="176">
        <f ca="1">INDIRECT(calculation3a_hide!H16,FALSE)</f>
        <v>38675.269999999997</v>
      </c>
      <c r="H10" s="176">
        <f ca="1">INDIRECT(calculation3a_hide!I16,FALSE)</f>
        <v>35910.429999999993</v>
      </c>
      <c r="I10" s="176">
        <f ca="1">INDIRECT(calculation3a_hide!J16,FALSE)</f>
        <v>46203.59</v>
      </c>
      <c r="J10" s="176">
        <f ca="1">INDIRECT(calculation3a_hide!K16,FALSE)</f>
        <v>48958.200000000012</v>
      </c>
      <c r="K10" s="176">
        <f ca="1">INDIRECT(calculation3a_hide!L16,FALSE)</f>
        <v>36907.96</v>
      </c>
      <c r="L10" s="176">
        <f ca="1">INDIRECT(calculation3a_hide!M16,FALSE)</f>
        <v>35479.919999999998</v>
      </c>
      <c r="M10" s="176">
        <f ca="1">INDIRECT(calculation3a_hide!N16,FALSE)</f>
        <v>44900.530000000006</v>
      </c>
      <c r="N10" s="183" t="str">
        <f t="shared" ref="N10:N14" ca="1" si="2">IF(((M10-I10)/I10*100)&gt;100,"(+) ",IF(((M10-I10)/I10*100)&lt;-100,"(-) ",IF(ROUND(((M10-I10)/I10*100),1)=0,"- ",IF(((M10-I10)/I10*100)&gt;0,TEXT(((M10-I10)/I10*100),"+0.0 "),TEXT(((M10-I10)/I10*100),"0.0 ")))))</f>
        <v xml:space="preserve">-2.8 </v>
      </c>
    </row>
    <row r="11" spans="1:16" x14ac:dyDescent="0.35">
      <c r="A11" s="141" t="s">
        <v>167</v>
      </c>
      <c r="B11" s="162">
        <f ca="1">INDIRECT(calculation3a_hide!C17,FALSE)</f>
        <v>252.83999999999651</v>
      </c>
      <c r="C11" s="125">
        <f ca="1">INDIRECT(calculation3a_hide!D17,FALSE)</f>
        <v>-59.979999999974098</v>
      </c>
      <c r="D11" s="180"/>
      <c r="E11" s="162">
        <f ca="1">INDIRECT(calculation3a_hide!F17,FALSE)</f>
        <v>-66.260000000002037</v>
      </c>
      <c r="F11" s="125">
        <f ca="1">INDIRECT(calculation3a_hide!G17,FALSE)</f>
        <v>222.42000000001281</v>
      </c>
      <c r="G11" s="125">
        <f ca="1">INDIRECT(calculation3a_hide!H17,FALSE)</f>
        <v>-91.530000000006112</v>
      </c>
      <c r="H11" s="125">
        <f ca="1">INDIRECT(calculation3a_hide!I17,FALSE)</f>
        <v>10.459999999991851</v>
      </c>
      <c r="I11" s="125">
        <f ca="1">INDIRECT(calculation3a_hide!J17,FALSE)</f>
        <v>111.48999999999796</v>
      </c>
      <c r="J11" s="125">
        <f ca="1">INDIRECT(calculation3a_hide!K17,FALSE)</f>
        <v>319.34000000001106</v>
      </c>
      <c r="K11" s="125">
        <f ca="1">INDIRECT(calculation3a_hide!L17,FALSE)</f>
        <v>-62.940000000002328</v>
      </c>
      <c r="L11" s="125">
        <f ca="1">INDIRECT(calculation3a_hide!M17,FALSE)</f>
        <v>-13.649999999994179</v>
      </c>
      <c r="M11" s="125">
        <f ca="1">INDIRECT(calculation3a_hide!N17,FALSE)</f>
        <v>-302.72999999998865</v>
      </c>
      <c r="N11" s="180"/>
    </row>
    <row r="12" spans="1:16" s="174" customFormat="1" x14ac:dyDescent="0.35">
      <c r="A12" s="142" t="s">
        <v>37</v>
      </c>
      <c r="B12" s="181">
        <f ca="1">INDIRECT(calculation3a_hide!C18,FALSE)</f>
        <v>168700.32</v>
      </c>
      <c r="C12" s="176">
        <f ca="1">INDIRECT(calculation3a_hide!D18,FALSE)</f>
        <v>166306.59</v>
      </c>
      <c r="D12" s="183" t="str">
        <f t="shared" ca="1" si="1"/>
        <v xml:space="preserve">-1.4 </v>
      </c>
      <c r="E12" s="181">
        <f ca="1">INDIRECT(calculation3a_hide!F18,FALSE)</f>
        <v>45538.239999999998</v>
      </c>
      <c r="F12" s="176">
        <f ca="1">INDIRECT(calculation3a_hide!G18,FALSE)</f>
        <v>47941.44999999999</v>
      </c>
      <c r="G12" s="176">
        <f ca="1">INDIRECT(calculation3a_hide!H18,FALSE)</f>
        <v>38766.800000000003</v>
      </c>
      <c r="H12" s="176">
        <f ca="1">INDIRECT(calculation3a_hide!I18,FALSE)</f>
        <v>35899.97</v>
      </c>
      <c r="I12" s="176">
        <f ca="1">INDIRECT(calculation3a_hide!J18,FALSE)</f>
        <v>46092.1</v>
      </c>
      <c r="J12" s="176">
        <f ca="1">INDIRECT(calculation3a_hide!K18,FALSE)</f>
        <v>48638.86</v>
      </c>
      <c r="K12" s="176">
        <f ca="1">INDIRECT(calculation3a_hide!L18,FALSE)</f>
        <v>36970.9</v>
      </c>
      <c r="L12" s="176">
        <f ca="1">INDIRECT(calculation3a_hide!M18,FALSE)</f>
        <v>35493.569999999992</v>
      </c>
      <c r="M12" s="176">
        <f ca="1">INDIRECT(calculation3a_hide!N18,FALSE)</f>
        <v>45203.259999999995</v>
      </c>
      <c r="N12" s="183" t="str">
        <f t="shared" ca="1" si="2"/>
        <v xml:space="preserve">-1.9 </v>
      </c>
    </row>
    <row r="13" spans="1:16" x14ac:dyDescent="0.35">
      <c r="A13" s="141" t="s">
        <v>168</v>
      </c>
      <c r="B13" s="162">
        <f ca="1">INDIRECT(calculation3a_hide!C20,FALSE)</f>
        <v>83.029999999999973</v>
      </c>
      <c r="C13" s="125">
        <f ca="1">INDIRECT(calculation3a_hide!D20,FALSE)</f>
        <v>-34.600000000000364</v>
      </c>
      <c r="D13" s="180"/>
      <c r="E13" s="162">
        <f ca="1">INDIRECT(calculation3a_hide!F20,FALSE)</f>
        <v>-67.860000000000127</v>
      </c>
      <c r="F13" s="125">
        <f ca="1">INDIRECT(calculation3a_hide!G20,FALSE)</f>
        <v>-115</v>
      </c>
      <c r="G13" s="125">
        <f ca="1">INDIRECT(calculation3a_hide!H20,FALSE)</f>
        <v>-91.710000000000036</v>
      </c>
      <c r="H13" s="125">
        <f ca="1">INDIRECT(calculation3a_hide!I20,FALSE)</f>
        <v>168.51</v>
      </c>
      <c r="I13" s="125">
        <f ca="1">INDIRECT(calculation3a_hide!J20,FALSE)</f>
        <v>121.23000000000002</v>
      </c>
      <c r="J13" s="125">
        <f ca="1">INDIRECT(calculation3a_hide!K20,FALSE)</f>
        <v>144.11999999999989</v>
      </c>
      <c r="K13" s="125">
        <f ca="1">INDIRECT(calculation3a_hide!L20,FALSE)</f>
        <v>-23.550000000000182</v>
      </c>
      <c r="L13" s="125">
        <f ca="1">INDIRECT(calculation3a_hide!M20,FALSE)</f>
        <v>-102.21000000000004</v>
      </c>
      <c r="M13" s="125">
        <f ca="1">INDIRECT(calculation3a_hide!N20,FALSE)</f>
        <v>-52.960000000000036</v>
      </c>
      <c r="N13" s="191"/>
    </row>
    <row r="14" spans="1:16" s="174" customFormat="1" x14ac:dyDescent="0.35">
      <c r="A14" s="142" t="s">
        <v>163</v>
      </c>
      <c r="B14" s="181">
        <f ca="1">INDIRECT(calculation3a_hide!C21,FALSE)</f>
        <v>-24568.85</v>
      </c>
      <c r="C14" s="176">
        <f ca="1">INDIRECT(calculation3a_hide!D21,FALSE)</f>
        <v>-23360.11</v>
      </c>
      <c r="D14" s="182" t="str">
        <f t="shared" ca="1" si="1"/>
        <v xml:space="preserve">-4.9 </v>
      </c>
      <c r="E14" s="181">
        <f ca="1">INDIRECT(calculation3a_hide!F21,FALSE)</f>
        <v>-6853.3999999999987</v>
      </c>
      <c r="F14" s="176">
        <f ca="1">INDIRECT(calculation3a_hide!G21,FALSE)</f>
        <v>-6397.6799999999985</v>
      </c>
      <c r="G14" s="176">
        <f ca="1">INDIRECT(calculation3a_hide!H21,FALSE)</f>
        <v>-5937.5499999999984</v>
      </c>
      <c r="H14" s="176">
        <f ca="1">INDIRECT(calculation3a_hide!I21,FALSE)</f>
        <v>-5678.550000000002</v>
      </c>
      <c r="I14" s="176">
        <f ca="1">INDIRECT(calculation3a_hide!J21,FALSE)</f>
        <v>-6555.07</v>
      </c>
      <c r="J14" s="176">
        <f ca="1">INDIRECT(calculation3a_hide!K21,FALSE)</f>
        <v>-6742.6099999999988</v>
      </c>
      <c r="K14" s="176">
        <f ca="1">INDIRECT(calculation3a_hide!L21,FALSE)</f>
        <v>-5371.9300000000021</v>
      </c>
      <c r="L14" s="176">
        <f ca="1">INDIRECT(calculation3a_hide!M21,FALSE)</f>
        <v>-5386.7899999999991</v>
      </c>
      <c r="M14" s="176">
        <f ca="1">INDIRECT(calculation3a_hide!N21,FALSE)</f>
        <v>-5858.7799999999988</v>
      </c>
      <c r="N14" s="183" t="str">
        <f t="shared" ca="1" si="2"/>
        <v xml:space="preserve">-10.6 </v>
      </c>
    </row>
    <row r="15" spans="1:16" x14ac:dyDescent="0.35">
      <c r="A15" s="141" t="s">
        <v>91</v>
      </c>
      <c r="B15" s="162">
        <f ca="1">INDIRECT(calculation3a_hide!C22,FALSE)</f>
        <v>-21941.53</v>
      </c>
      <c r="C15" s="125">
        <f ca="1">INDIRECT(calculation3a_hide!D22,FALSE)</f>
        <v>-21376.110000000004</v>
      </c>
      <c r="D15" s="180" t="str">
        <f t="shared" ca="1" si="1"/>
        <v xml:space="preserve">-2.6 </v>
      </c>
      <c r="E15" s="162">
        <f ca="1">INDIRECT(calculation3a_hide!F22,FALSE)</f>
        <v>-6026.1899999999987</v>
      </c>
      <c r="F15" s="125">
        <f ca="1">INDIRECT(calculation3a_hide!G22,FALSE)</f>
        <v>-5659.2799999999988</v>
      </c>
      <c r="G15" s="125">
        <f ca="1">INDIRECT(calculation3a_hide!H22,FALSE)</f>
        <v>-5126.3099999999995</v>
      </c>
      <c r="H15" s="125">
        <f ca="1">INDIRECT(calculation3a_hide!I22,FALSE)</f>
        <v>-5190.5400000000009</v>
      </c>
      <c r="I15" s="125">
        <f ca="1">INDIRECT(calculation3a_hide!J22,FALSE)</f>
        <v>-5965.4</v>
      </c>
      <c r="J15" s="125">
        <f ca="1">INDIRECT(calculation3a_hide!K22,FALSE)</f>
        <v>-6166.510000000002</v>
      </c>
      <c r="K15" s="125">
        <f ca="1">INDIRECT(calculation3a_hide!L22,FALSE)</f>
        <v>-4954.2699999999995</v>
      </c>
      <c r="L15" s="125">
        <f ca="1">INDIRECT(calculation3a_hide!M22,FALSE)</f>
        <v>-4909.79</v>
      </c>
      <c r="M15" s="125">
        <f ca="1">INDIRECT(calculation3a_hide!N22,FALSE)</f>
        <v>-5345.5400000000009</v>
      </c>
      <c r="N15" s="180" t="str">
        <f ca="1">IF(((M15-I15)/I15*100)&gt;100,"(+) ",IF(((M15-I15)/I15*100)&lt;-100,"(-) ",IF(ROUND(((M15-I15)/I15*100),1)=0,"- ",IF(((M15-I15)/I15*100)&gt;0,TEXT(((M15-I15)/I15*100),"+0.0 "),TEXT(((M15-I15)/I15*100),"0.0 ")))))</f>
        <v xml:space="preserve">-10.4 </v>
      </c>
    </row>
    <row r="16" spans="1:16" x14ac:dyDescent="0.35">
      <c r="A16" s="141" t="s">
        <v>483</v>
      </c>
      <c r="B16" s="162">
        <f ca="1">INDIRECT(calculation3a_hide!C23,FALSE)</f>
        <v>-1050.17</v>
      </c>
      <c r="C16" s="125">
        <f ca="1">INDIRECT(calculation3a_hide!D23,FALSE)</f>
        <v>-1050.1000000000001</v>
      </c>
      <c r="D16" s="180" t="str">
        <f ca="1">IF(((C16-B16)/B16*100)&gt;100,"(+) ",IF(((C16-B16)/B16*100)&lt;-100,"(-) ",IF(ROUND(((C16-B16)/B16*100),1)=0,"- ",IF(((C16-B16)/B16*100)&gt;0,TEXT(((C16-B16)/B16*100),"+0.0 "),TEXT(((C16-B16)/B16*100),"0.0 ")))))</f>
        <v xml:space="preserve">- </v>
      </c>
      <c r="E16" s="162">
        <f ca="1">INDIRECT(calculation3a_hide!F23,FALSE)</f>
        <v>-294.42999999999995</v>
      </c>
      <c r="F16" s="125">
        <f ca="1">INDIRECT(calculation3a_hide!G23,FALSE)</f>
        <v>-321.93</v>
      </c>
      <c r="G16" s="125">
        <f ca="1">INDIRECT(calculation3a_hide!H23,FALSE)</f>
        <v>-229.3</v>
      </c>
      <c r="H16" s="125">
        <f ca="1">INDIRECT(calculation3a_hide!I23,FALSE)</f>
        <v>-202.2</v>
      </c>
      <c r="I16" s="125">
        <f ca="1">INDIRECT(calculation3a_hide!J23,FALSE)</f>
        <v>-296.74000000000007</v>
      </c>
      <c r="J16" s="125">
        <f ca="1">INDIRECT(calculation3a_hide!K23,FALSE)</f>
        <v>-321.91000000000003</v>
      </c>
      <c r="K16" s="125">
        <f ca="1">INDIRECT(calculation3a_hide!L23,FALSE)</f>
        <v>-229.28000000000003</v>
      </c>
      <c r="L16" s="125">
        <f ca="1">INDIRECT(calculation3a_hide!M23,FALSE)</f>
        <v>-202.19</v>
      </c>
      <c r="M16" s="125">
        <f ca="1">INDIRECT(calculation3a_hide!N23,FALSE)</f>
        <v>-296.71999999999997</v>
      </c>
      <c r="N16" s="180" t="str">
        <f t="shared" ref="N16:N30" ca="1" si="3">IF(((M16-I16)/I16*100)&gt;100,"(+) ",IF(((M16-I16)/I16*100)&lt;-100,"(-) ",IF(ROUND(((M16-I16)/I16*100),1)=0,"- ",IF(((M16-I16)/I16*100)&gt;0,TEXT(((M16-I16)/I16*100),"+0.0 "),TEXT(((M16-I16)/I16*100),"0.0 ")))))</f>
        <v xml:space="preserve">- </v>
      </c>
    </row>
    <row r="17" spans="1:14" x14ac:dyDescent="0.35">
      <c r="A17" s="141" t="s">
        <v>75</v>
      </c>
      <c r="B17" s="162">
        <f ca="1">INDIRECT(calculation3a_hide!C24,FALSE)</f>
        <v>-619.01999999999862</v>
      </c>
      <c r="C17" s="125">
        <f ca="1">INDIRECT(calculation3a_hide!D24,FALSE)</f>
        <v>-457.25</v>
      </c>
      <c r="D17" s="180" t="str">
        <f ca="1">IF(((C17-B17)/B17*100)&gt;100,"(+) ",IF(((C17-B17)/B17*100)&lt;-100,"(-) ",IF(ROUND(((C17-B17)/B17*100),1)=0,"- ",IF(((C17-B17)/B17*100)&gt;0,TEXT(((C17-B17)/B17*100),"+0.0 "),TEXT(((C17-B17)/B17*100),"0.0 ")))))</f>
        <v xml:space="preserve">-26.1 </v>
      </c>
      <c r="E17" s="162">
        <f ca="1">INDIRECT(calculation3a_hide!F24,FALSE)</f>
        <v>-123.38999999999942</v>
      </c>
      <c r="F17" s="125">
        <f ca="1">INDIRECT(calculation3a_hide!G24,FALSE)</f>
        <v>-30.859999999998763</v>
      </c>
      <c r="G17" s="125">
        <f ca="1">INDIRECT(calculation3a_hide!H24,FALSE)</f>
        <v>-276.06999999999971</v>
      </c>
      <c r="H17" s="125">
        <f ca="1">INDIRECT(calculation3a_hide!I24,FALSE)</f>
        <v>-86.170000000000073</v>
      </c>
      <c r="I17" s="125">
        <f ca="1">INDIRECT(calculation3a_hide!J24,FALSE)</f>
        <v>-225.92000000000007</v>
      </c>
      <c r="J17" s="125">
        <f ca="1">INDIRECT(calculation3a_hide!K24,FALSE)</f>
        <v>-117.81999999999971</v>
      </c>
      <c r="K17" s="125">
        <f ca="1">INDIRECT(calculation3a_hide!L24,FALSE)</f>
        <v>-67.740000000001601</v>
      </c>
      <c r="L17" s="125">
        <f ca="1">INDIRECT(calculation3a_hide!M24,FALSE)</f>
        <v>-168.77999999999884</v>
      </c>
      <c r="M17" s="125">
        <f ca="1">INDIRECT(calculation3a_hide!N24,FALSE)</f>
        <v>-102.90999999999985</v>
      </c>
      <c r="N17" s="180" t="str">
        <f t="shared" ca="1" si="3"/>
        <v xml:space="preserve">-54.4 </v>
      </c>
    </row>
    <row r="18" spans="1:14" x14ac:dyDescent="0.35">
      <c r="A18" s="141" t="s">
        <v>76</v>
      </c>
      <c r="B18" s="162">
        <f ca="1">INDIRECT(calculation3a_hide!C25,FALSE)</f>
        <v>-3.880000000000011</v>
      </c>
      <c r="C18" s="125">
        <f ca="1">INDIRECT(calculation3a_hide!D25,FALSE)</f>
        <v>0</v>
      </c>
      <c r="D18" s="180" t="str">
        <f t="shared" ref="D18:D25" ca="1" si="4">IF(((C18-B18)/B18*100)&gt;100,"(+) ",IF(((C18-B18)/B18*100)&lt;-100,"(-) ",IF(ROUND(((C18-B18)/B18*100),1)=0,"- ",IF(((C18-B18)/B18*100)&gt;0,TEXT(((C18-B18)/B18*100),"+0.0 "),TEXT(((C18-B18)/B18*100),"0.0 ")))))</f>
        <v xml:space="preserve">-100.0 </v>
      </c>
      <c r="E18" s="162">
        <f ca="1">INDIRECT(calculation3a_hide!F25,FALSE)</f>
        <v>-18.930000000000007</v>
      </c>
      <c r="F18" s="125">
        <f ca="1">INDIRECT(calculation3a_hide!G25,FALSE)</f>
        <v>-14.910000000000011</v>
      </c>
      <c r="G18" s="125">
        <f ca="1">INDIRECT(calculation3a_hide!H25,FALSE)</f>
        <v>11.26</v>
      </c>
      <c r="H18" s="125">
        <f ca="1">INDIRECT(calculation3a_hide!I25,FALSE)</f>
        <v>2.0000000000000018E-2</v>
      </c>
      <c r="I18" s="125">
        <f ca="1">INDIRECT(calculation3a_hide!J25,FALSE)</f>
        <v>-0.25</v>
      </c>
      <c r="J18" s="125">
        <f ca="1">INDIRECT(calculation3a_hide!K25,FALSE)</f>
        <v>0</v>
      </c>
      <c r="K18" s="125">
        <f ca="1">INDIRECT(calculation3a_hide!L25,FALSE)</f>
        <v>0</v>
      </c>
      <c r="L18" s="125">
        <f ca="1">INDIRECT(calculation3a_hide!M25,FALSE)</f>
        <v>0</v>
      </c>
      <c r="M18" s="125">
        <f ca="1">INDIRECT(calculation3a_hide!N25,FALSE)</f>
        <v>0</v>
      </c>
      <c r="N18" s="180" t="str">
        <f t="shared" ca="1" si="3"/>
        <v xml:space="preserve">-100.0 </v>
      </c>
    </row>
    <row r="19" spans="1:14" x14ac:dyDescent="0.35">
      <c r="A19" s="141" t="s">
        <v>77</v>
      </c>
      <c r="B19" s="162">
        <f ca="1">INDIRECT(calculation3a_hide!C26,FALSE)</f>
        <v>-905.58</v>
      </c>
      <c r="C19" s="125">
        <f ca="1">INDIRECT(calculation3a_hide!D26,FALSE)</f>
        <v>-452.28</v>
      </c>
      <c r="D19" s="180" t="str">
        <f t="shared" ca="1" si="4"/>
        <v xml:space="preserve">-50.1 </v>
      </c>
      <c r="E19" s="162">
        <f ca="1">INDIRECT(calculation3a_hide!F26,FALSE)</f>
        <v>-386.25</v>
      </c>
      <c r="F19" s="125">
        <f ca="1">INDIRECT(calculation3a_hide!G26,FALSE)</f>
        <v>-348.76</v>
      </c>
      <c r="G19" s="125">
        <f ca="1">INDIRECT(calculation3a_hide!H26,FALSE)</f>
        <v>-302.48</v>
      </c>
      <c r="H19" s="125">
        <f ca="1">INDIRECT(calculation3a_hide!I26,FALSE)</f>
        <v>-187.98000000000002</v>
      </c>
      <c r="I19" s="125">
        <f ca="1">INDIRECT(calculation3a_hide!J26,FALSE)</f>
        <v>-66.36</v>
      </c>
      <c r="J19" s="125">
        <f ca="1">INDIRECT(calculation3a_hide!K26,FALSE)</f>
        <v>-117.53</v>
      </c>
      <c r="K19" s="125">
        <f ca="1">INDIRECT(calculation3a_hide!L26,FALSE)</f>
        <v>-113.62</v>
      </c>
      <c r="L19" s="125">
        <f ca="1">INDIRECT(calculation3a_hide!M26,FALSE)</f>
        <v>-106.55</v>
      </c>
      <c r="M19" s="125">
        <f ca="1">INDIRECT(calculation3a_hide!N26,FALSE)</f>
        <v>-114.58</v>
      </c>
      <c r="N19" s="180" t="str">
        <f t="shared" ca="1" si="3"/>
        <v xml:space="preserve">+72.7 </v>
      </c>
    </row>
    <row r="20" spans="1:14" x14ac:dyDescent="0.35">
      <c r="A20" s="141" t="s">
        <v>78</v>
      </c>
      <c r="B20" s="162">
        <f ca="1">INDIRECT(calculation3a_hide!C27,FALSE)</f>
        <v>-23.439999999999991</v>
      </c>
      <c r="C20" s="125">
        <f ca="1">INDIRECT(calculation3a_hide!D27,FALSE)</f>
        <v>-3.4499999999999993</v>
      </c>
      <c r="D20" s="180" t="str">
        <f t="shared" ca="1" si="4"/>
        <v xml:space="preserve">-85.3 </v>
      </c>
      <c r="E20" s="162">
        <f ca="1">INDIRECT(calculation3a_hide!F27,FALSE)</f>
        <v>5.65</v>
      </c>
      <c r="F20" s="125">
        <f ca="1">INDIRECT(calculation3a_hide!G27,FALSE)</f>
        <v>-13.269999999999996</v>
      </c>
      <c r="G20" s="125">
        <f ca="1">INDIRECT(calculation3a_hide!H27,FALSE)</f>
        <v>-5.8800000000000008</v>
      </c>
      <c r="H20" s="125">
        <f ca="1">INDIRECT(calculation3a_hide!I27,FALSE)</f>
        <v>-7.5499999999999972</v>
      </c>
      <c r="I20" s="125">
        <f ca="1">INDIRECT(calculation3a_hide!J27,FALSE)</f>
        <v>3.2600000000000033</v>
      </c>
      <c r="J20" s="125">
        <f ca="1">INDIRECT(calculation3a_hide!K27,FALSE)</f>
        <v>-11.7</v>
      </c>
      <c r="K20" s="125">
        <f ca="1">INDIRECT(calculation3a_hide!L27,FALSE)</f>
        <v>-3.9399999999999995</v>
      </c>
      <c r="L20" s="125">
        <f ca="1">INDIRECT(calculation3a_hide!M27,FALSE)</f>
        <v>3.6199999999999992</v>
      </c>
      <c r="M20" s="125">
        <f ca="1">INDIRECT(calculation3a_hide!N27,FALSE)</f>
        <v>8.57</v>
      </c>
      <c r="N20" s="180" t="str">
        <f t="shared" ca="1" si="3"/>
        <v xml:space="preserve">(+) </v>
      </c>
    </row>
    <row r="21" spans="1:14" x14ac:dyDescent="0.35">
      <c r="A21" s="141" t="s">
        <v>169</v>
      </c>
      <c r="B21" s="162">
        <f ca="1">INDIRECT(calculation3a_hide!C28,FALSE)</f>
        <v>-25.230000000000004</v>
      </c>
      <c r="C21" s="125">
        <f ca="1">INDIRECT(calculation3a_hide!D28,FALSE)</f>
        <v>-20.919999999999995</v>
      </c>
      <c r="D21" s="180" t="str">
        <f t="shared" ca="1" si="4"/>
        <v xml:space="preserve">-17.1 </v>
      </c>
      <c r="E21" s="162">
        <f ca="1">INDIRECT(calculation3a_hide!F28,FALSE)</f>
        <v>-9.86</v>
      </c>
      <c r="F21" s="125">
        <f ca="1">INDIRECT(calculation3a_hide!G28,FALSE)</f>
        <v>-8.6700000000000017</v>
      </c>
      <c r="G21" s="125">
        <f ca="1">INDIRECT(calculation3a_hide!H28,FALSE)</f>
        <v>-8.769999999999996</v>
      </c>
      <c r="H21" s="125">
        <f ca="1">INDIRECT(calculation3a_hide!I28,FALSE)</f>
        <v>-4.1300000000000097</v>
      </c>
      <c r="I21" s="125">
        <f ca="1">INDIRECT(calculation3a_hide!J28,FALSE)</f>
        <v>-3.6599999999999966</v>
      </c>
      <c r="J21" s="125">
        <f ca="1">INDIRECT(calculation3a_hide!K28,FALSE)</f>
        <v>-7.1400000000000006</v>
      </c>
      <c r="K21" s="125">
        <f ca="1">INDIRECT(calculation3a_hide!L28,FALSE)</f>
        <v>-3.0799999999999983</v>
      </c>
      <c r="L21" s="125">
        <f ca="1">INDIRECT(calculation3a_hide!M28,FALSE)</f>
        <v>-3.1000000000000014</v>
      </c>
      <c r="M21" s="125">
        <f ca="1">INDIRECT(calculation3a_hide!N28,FALSE)</f>
        <v>-7.5999999999999943</v>
      </c>
      <c r="N21" s="180" t="str">
        <f t="shared" ca="1" si="3"/>
        <v xml:space="preserve">(+) </v>
      </c>
    </row>
    <row r="22" spans="1:14" x14ac:dyDescent="0.35">
      <c r="A22" s="141" t="s">
        <v>45</v>
      </c>
      <c r="B22" s="162">
        <f ca="1">INDIRECT(calculation3a_hide!C29,FALSE)</f>
        <v>9168.7099999999991</v>
      </c>
      <c r="C22" s="125">
        <f ca="1">INDIRECT(calculation3a_hide!D29,FALSE)</f>
        <v>8474.2199999999993</v>
      </c>
      <c r="D22" s="180" t="str">
        <f t="shared" ca="1" si="4"/>
        <v xml:space="preserve">-7.6 </v>
      </c>
      <c r="E22" s="162">
        <f ca="1">INDIRECT(calculation3a_hide!F29,FALSE)</f>
        <v>2249.4299999999998</v>
      </c>
      <c r="F22" s="125">
        <f ca="1">INDIRECT(calculation3a_hide!G29,FALSE)</f>
        <v>2426.06</v>
      </c>
      <c r="G22" s="125">
        <f ca="1">INDIRECT(calculation3a_hide!H29,FALSE)</f>
        <v>2210.1</v>
      </c>
      <c r="H22" s="125">
        <f ca="1">INDIRECT(calculation3a_hide!I29,FALSE)</f>
        <v>2189.46</v>
      </c>
      <c r="I22" s="125">
        <f ca="1">INDIRECT(calculation3a_hide!J29,FALSE)</f>
        <v>2343.09</v>
      </c>
      <c r="J22" s="125">
        <f ca="1">INDIRECT(calculation3a_hide!K29,FALSE)</f>
        <v>2252.88</v>
      </c>
      <c r="K22" s="125">
        <f ca="1">INDIRECT(calculation3a_hide!L29,FALSE)</f>
        <v>2092.19</v>
      </c>
      <c r="L22" s="125">
        <f ca="1">INDIRECT(calculation3a_hide!M29,FALSE)</f>
        <v>1972.43</v>
      </c>
      <c r="M22" s="125">
        <f ca="1">INDIRECT(calculation3a_hide!N29,FALSE)</f>
        <v>2156.7199999999998</v>
      </c>
      <c r="N22" s="180" t="str">
        <f t="shared" ca="1" si="3"/>
        <v xml:space="preserve">-8.0 </v>
      </c>
    </row>
    <row r="23" spans="1:14" x14ac:dyDescent="0.35">
      <c r="A23" s="141" t="s">
        <v>46</v>
      </c>
      <c r="B23" s="162">
        <f ca="1">INDIRECT(calculation3a_hide!C30,FALSE)</f>
        <v>2865.5299999999997</v>
      </c>
      <c r="C23" s="125">
        <f ca="1">INDIRECT(calculation3a_hide!D30,FALSE)</f>
        <v>2757.56</v>
      </c>
      <c r="D23" s="184" t="str">
        <f t="shared" ca="1" si="4"/>
        <v xml:space="preserve">-3.8 </v>
      </c>
      <c r="E23" s="162">
        <f ca="1">INDIRECT(calculation3a_hide!F30,FALSE)</f>
        <v>848.47</v>
      </c>
      <c r="F23" s="125">
        <f ca="1">INDIRECT(calculation3a_hide!G30,FALSE)</f>
        <v>852.31999999999994</v>
      </c>
      <c r="G23" s="125">
        <f ca="1">INDIRECT(calculation3a_hide!H30,FALSE)</f>
        <v>608.9</v>
      </c>
      <c r="H23" s="125">
        <f ca="1">INDIRECT(calculation3a_hide!I30,FALSE)</f>
        <v>587.15</v>
      </c>
      <c r="I23" s="125">
        <f ca="1">INDIRECT(calculation3a_hide!J30,FALSE)</f>
        <v>817.16</v>
      </c>
      <c r="J23" s="125">
        <f ca="1">INDIRECT(calculation3a_hide!K30,FALSE)</f>
        <v>817.35</v>
      </c>
      <c r="K23" s="125">
        <f ca="1">INDIRECT(calculation3a_hide!L30,FALSE)</f>
        <v>530</v>
      </c>
      <c r="L23" s="125">
        <f ca="1">INDIRECT(calculation3a_hide!M30,FALSE)</f>
        <v>546.03</v>
      </c>
      <c r="M23" s="125">
        <f ca="1">INDIRECT(calculation3a_hide!N30,FALSE)</f>
        <v>864.18</v>
      </c>
      <c r="N23" s="180" t="str">
        <f t="shared" ca="1" si="3"/>
        <v xml:space="preserve">+5.8 </v>
      </c>
    </row>
    <row r="24" spans="1:14" s="174" customFormat="1" x14ac:dyDescent="0.35">
      <c r="A24" s="142" t="s">
        <v>164</v>
      </c>
      <c r="B24" s="181">
        <f ca="1">INDIRECT(calculation3a_hide!C32,FALSE)</f>
        <v>132180.25</v>
      </c>
      <c r="C24" s="176">
        <f ca="1">INDIRECT(calculation3a_hide!D32,FALSE)</f>
        <v>131680.09</v>
      </c>
      <c r="D24" s="183" t="str">
        <f t="shared" ca="1" si="4"/>
        <v xml:space="preserve">-0.4 </v>
      </c>
      <c r="E24" s="181">
        <f ca="1">INDIRECT(calculation3a_hide!F32,FALSE)</f>
        <v>35530.47</v>
      </c>
      <c r="F24" s="176">
        <f ca="1">INDIRECT(calculation3a_hide!G32,FALSE)</f>
        <v>38159.61</v>
      </c>
      <c r="G24" s="176">
        <f ca="1">INDIRECT(calculation3a_hide!H32,FALSE)</f>
        <v>29912.44</v>
      </c>
      <c r="H24" s="176">
        <f ca="1">INDIRECT(calculation3a_hide!I32,FALSE)</f>
        <v>27603.22</v>
      </c>
      <c r="I24" s="176">
        <f ca="1">INDIRECT(calculation3a_hide!J32,FALSE)</f>
        <v>36504.980000000003</v>
      </c>
      <c r="J24" s="176">
        <f ca="1">INDIRECT(calculation3a_hide!K32,FALSE)</f>
        <v>38979.360000000001</v>
      </c>
      <c r="K24" s="176">
        <f ca="1">INDIRECT(calculation3a_hide!L32,FALSE)</f>
        <v>28947.129999999997</v>
      </c>
      <c r="L24" s="176">
        <f ca="1">INDIRECT(calculation3a_hide!M32,FALSE)</f>
        <v>27476.01</v>
      </c>
      <c r="M24" s="176">
        <f ca="1">INDIRECT(calculation3a_hide!N32,FALSE)</f>
        <v>36277.590000000004</v>
      </c>
      <c r="N24" s="183" t="str">
        <f t="shared" ca="1" si="3"/>
        <v xml:space="preserve">-0.6 </v>
      </c>
    </row>
    <row r="25" spans="1:14" x14ac:dyDescent="0.35">
      <c r="A25" s="141" t="s">
        <v>80</v>
      </c>
      <c r="B25" s="162">
        <f ca="1">INDIRECT(calculation3a_hide!C33,FALSE)</f>
        <v>855.13</v>
      </c>
      <c r="C25" s="125">
        <f ca="1">INDIRECT(calculation3a_hide!D33,FALSE)</f>
        <v>572.69000000000005</v>
      </c>
      <c r="D25" s="180" t="str">
        <f t="shared" ca="1" si="4"/>
        <v xml:space="preserve">-33.0 </v>
      </c>
      <c r="E25" s="162">
        <f ca="1">INDIRECT(calculation3a_hide!F33,FALSE)</f>
        <v>237.11</v>
      </c>
      <c r="F25" s="125">
        <f ca="1">INDIRECT(calculation3a_hide!G33,FALSE)</f>
        <v>259.24</v>
      </c>
      <c r="G25" s="125">
        <f ca="1">INDIRECT(calculation3a_hide!H33,FALSE)</f>
        <v>257.81</v>
      </c>
      <c r="H25" s="125">
        <f ca="1">INDIRECT(calculation3a_hide!I33,FALSE)</f>
        <v>199.38</v>
      </c>
      <c r="I25" s="125">
        <f ca="1">INDIRECT(calculation3a_hide!J33,FALSE)</f>
        <v>138.70000000000002</v>
      </c>
      <c r="J25" s="125">
        <f ca="1">INDIRECT(calculation3a_hide!K33,FALSE)</f>
        <v>160.51999999999998</v>
      </c>
      <c r="K25" s="125">
        <f ca="1">INDIRECT(calculation3a_hide!L33,FALSE)</f>
        <v>155.26</v>
      </c>
      <c r="L25" s="125">
        <f ca="1">INDIRECT(calculation3a_hide!M33,FALSE)</f>
        <v>133.72999999999999</v>
      </c>
      <c r="M25" s="125">
        <f ca="1">INDIRECT(calculation3a_hide!N33,FALSE)</f>
        <v>123.18</v>
      </c>
      <c r="N25" s="180" t="str">
        <f t="shared" ca="1" si="3"/>
        <v xml:space="preserve">-11.2 </v>
      </c>
    </row>
    <row r="26" spans="1:14" x14ac:dyDescent="0.35">
      <c r="A26" s="141" t="s">
        <v>81</v>
      </c>
      <c r="B26" s="162">
        <f ca="1">INDIRECT(calculation3a_hide!C34,FALSE)</f>
        <v>18306.23</v>
      </c>
      <c r="C26" s="125">
        <f ca="1">INDIRECT(calculation3a_hide!D34,FALSE)</f>
        <v>17416.689999999999</v>
      </c>
      <c r="D26" s="180" t="str">
        <f ca="1">IF(((C26-B26)/B26*100)&gt;100,"(+) ",IF(((C26-B26)/B26*100)&lt;-100,"(-) ",IF(ROUND(((C26-B26)/B26*100),1)=0,"- ",IF(((C26-B26)/B26*100)&gt;0,TEXT(((C26-B26)/B26*100),"+0.0 "),TEXT(((C26-B26)/B26*100),"0.0 ")))))</f>
        <v xml:space="preserve">-4.9 </v>
      </c>
      <c r="E26" s="162">
        <f ca="1">INDIRECT(calculation3a_hide!F34,FALSE)</f>
        <v>4886.7</v>
      </c>
      <c r="F26" s="125">
        <f ca="1">INDIRECT(calculation3a_hide!G34,FALSE)</f>
        <v>5232.3499999999995</v>
      </c>
      <c r="G26" s="125">
        <f ca="1">INDIRECT(calculation3a_hide!H34,FALSE)</f>
        <v>4187.16</v>
      </c>
      <c r="H26" s="125">
        <f ca="1">INDIRECT(calculation3a_hide!I34,FALSE)</f>
        <v>4120.4400000000005</v>
      </c>
      <c r="I26" s="125">
        <f ca="1">INDIRECT(calculation3a_hide!J34,FALSE)</f>
        <v>4766.28</v>
      </c>
      <c r="J26" s="125">
        <f ca="1">INDIRECT(calculation3a_hide!K34,FALSE)</f>
        <v>4951.37</v>
      </c>
      <c r="K26" s="125">
        <f ca="1">INDIRECT(calculation3a_hide!L34,FALSE)</f>
        <v>3979.0499999999997</v>
      </c>
      <c r="L26" s="125">
        <f ca="1">INDIRECT(calculation3a_hide!M34,FALSE)</f>
        <v>4017.79</v>
      </c>
      <c r="M26" s="125">
        <f ca="1">INDIRECT(calculation3a_hide!N34,FALSE)</f>
        <v>4468.4800000000005</v>
      </c>
      <c r="N26" s="180" t="str">
        <f t="shared" ca="1" si="3"/>
        <v xml:space="preserve">-6.2 </v>
      </c>
    </row>
    <row r="27" spans="1:14" x14ac:dyDescent="0.35">
      <c r="A27" s="141" t="s">
        <v>64</v>
      </c>
      <c r="B27" s="162">
        <f ca="1">INDIRECT(calculation3a_hide!C35,FALSE)</f>
        <v>54015.79</v>
      </c>
      <c r="C27" s="125">
        <f ca="1">INDIRECT(calculation3a_hide!D35,FALSE)</f>
        <v>55323.959999999992</v>
      </c>
      <c r="D27" s="180" t="str">
        <f ca="1">IF(((C27-B27)/B27*100)&gt;100,"(+) ",IF(((C27-B27)/B27*100)&lt;-100,"(-) ",IF(ROUND(((C27-B27)/B27*100),1)=0,"- ",IF(((C27-B27)/B27*100)&gt;0,TEXT(((C27-B27)/B27*100),"+0.0 "),TEXT(((C27-B27)/B27*100),"0.0 ")))))</f>
        <v xml:space="preserve">+2.4 </v>
      </c>
      <c r="E27" s="162">
        <f ca="1">INDIRECT(calculation3a_hide!F35,FALSE)</f>
        <v>13049.45</v>
      </c>
      <c r="F27" s="125">
        <f ca="1">INDIRECT(calculation3a_hide!G35,FALSE)</f>
        <v>12732.72</v>
      </c>
      <c r="G27" s="125">
        <f ca="1">INDIRECT(calculation3a_hide!H35,FALSE)</f>
        <v>13914.35</v>
      </c>
      <c r="H27" s="125">
        <f ca="1">INDIRECT(calculation3a_hide!I35,FALSE)</f>
        <v>13974.320000000002</v>
      </c>
      <c r="I27" s="125">
        <f ca="1">INDIRECT(calculation3a_hide!J35,FALSE)</f>
        <v>13394.4</v>
      </c>
      <c r="J27" s="125">
        <f ca="1">INDIRECT(calculation3a_hide!K35,FALSE)</f>
        <v>13011.039999999999</v>
      </c>
      <c r="K27" s="125">
        <f ca="1">INDIRECT(calculation3a_hide!L35,FALSE)</f>
        <v>14464.4</v>
      </c>
      <c r="L27" s="125">
        <f ca="1">INDIRECT(calculation3a_hide!M35,FALSE)</f>
        <v>14278.47</v>
      </c>
      <c r="M27" s="125">
        <f ca="1">INDIRECT(calculation3a_hide!N35,FALSE)</f>
        <v>13570.05</v>
      </c>
      <c r="N27" s="180" t="str">
        <f t="shared" ca="1" si="3"/>
        <v xml:space="preserve">+1.3 </v>
      </c>
    </row>
    <row r="28" spans="1:14" x14ac:dyDescent="0.35">
      <c r="A28" s="141" t="s">
        <v>65</v>
      </c>
      <c r="B28" s="162">
        <f ca="1">INDIRECT(calculation3a_hide!C36,FALSE)</f>
        <v>33815.75</v>
      </c>
      <c r="C28" s="125">
        <f ca="1">INDIRECT(calculation3a_hide!D36,FALSE)</f>
        <v>33562.840000000004</v>
      </c>
      <c r="D28" s="185" t="str">
        <f ca="1">IF(((C28-B28)/B28*100)&gt;100,"(+) ",IF(((C28-B28)/B28*100)&lt;-100,"(-) ",IF(ROUND(((C28-B28)/B28*100),1)=0,"- ",IF(((C28-B28)/B28*100)&gt;0,TEXT(((C28-B28)/B28*100),"+0.0 "),TEXT(((C28-B28)/B28*100),"0.0 ")))))</f>
        <v xml:space="preserve">-0.7 </v>
      </c>
      <c r="E28" s="162">
        <f ca="1">INDIRECT(calculation3a_hide!F36,FALSE)</f>
        <v>10622.08</v>
      </c>
      <c r="F28" s="125">
        <f ca="1">INDIRECT(calculation3a_hide!G36,FALSE)</f>
        <v>12540.59</v>
      </c>
      <c r="G28" s="125">
        <f ca="1">INDIRECT(calculation3a_hide!H36,FALSE)</f>
        <v>5955.8700000000008</v>
      </c>
      <c r="H28" s="125">
        <f ca="1">INDIRECT(calculation3a_hide!I36,FALSE)</f>
        <v>4106.84</v>
      </c>
      <c r="I28" s="125">
        <f ca="1">INDIRECT(calculation3a_hide!J36,FALSE)</f>
        <v>11212.449999999999</v>
      </c>
      <c r="J28" s="125">
        <f ca="1">INDIRECT(calculation3a_hide!K36,FALSE)</f>
        <v>13385.62</v>
      </c>
      <c r="K28" s="125">
        <f ca="1">INDIRECT(calculation3a_hide!L36,FALSE)</f>
        <v>5077.7800000000007</v>
      </c>
      <c r="L28" s="125">
        <f ca="1">INDIRECT(calculation3a_hide!M36,FALSE)</f>
        <v>3903.6499999999996</v>
      </c>
      <c r="M28" s="125">
        <f ca="1">INDIRECT(calculation3a_hide!N36,FALSE)</f>
        <v>11195.789999999999</v>
      </c>
      <c r="N28" s="180" t="str">
        <f t="shared" ca="1" si="3"/>
        <v xml:space="preserve">-0.1 </v>
      </c>
    </row>
    <row r="29" spans="1:14" x14ac:dyDescent="0.35">
      <c r="A29" s="141" t="s">
        <v>66</v>
      </c>
      <c r="B29" s="162">
        <f ca="1">INDIRECT(calculation3a_hide!C37,FALSE)</f>
        <v>20652.71</v>
      </c>
      <c r="C29" s="125">
        <f ca="1">INDIRECT(calculation3a_hide!D37,FALSE)</f>
        <v>20587.169999999998</v>
      </c>
      <c r="D29" s="180" t="str">
        <f ca="1">IF(((C29-B29)/B29*100)&gt;100,"(+) ",IF(((C29-B29)/B29*100)&lt;-100,"(-) ",IF(ROUND(((C29-B29)/B29*100),1)=0,"- ",IF(((C29-B29)/B29*100)&gt;0,TEXT(((C29-B29)/B29*100),"+0.0 "),TEXT(((C29-B29)/B29*100),"0.0 ")))))</f>
        <v xml:space="preserve">-0.3 </v>
      </c>
      <c r="E29" s="162">
        <f ca="1">INDIRECT(calculation3a_hide!F37,FALSE)</f>
        <v>5690.14</v>
      </c>
      <c r="F29" s="125">
        <f ca="1">INDIRECT(calculation3a_hide!G37,FALSE)</f>
        <v>6298.39</v>
      </c>
      <c r="G29" s="125">
        <f ca="1">INDIRECT(calculation3a_hide!H37,FALSE)</f>
        <v>4403.07</v>
      </c>
      <c r="H29" s="125">
        <f ca="1">INDIRECT(calculation3a_hide!I37,FALSE)</f>
        <v>4023.61</v>
      </c>
      <c r="I29" s="125">
        <f ca="1">INDIRECT(calculation3a_hide!J37,FALSE)</f>
        <v>5927.64</v>
      </c>
      <c r="J29" s="125">
        <f ca="1">INDIRECT(calculation3a_hide!K37,FALSE)</f>
        <v>6462.0499999999993</v>
      </c>
      <c r="K29" s="125">
        <f ca="1">INDIRECT(calculation3a_hide!L37,FALSE)</f>
        <v>4268.07</v>
      </c>
      <c r="L29" s="125">
        <f ca="1">INDIRECT(calculation3a_hide!M37,FALSE)</f>
        <v>4051.94</v>
      </c>
      <c r="M29" s="125">
        <f ca="1">INDIRECT(calculation3a_hide!N37,FALSE)</f>
        <v>5805.11</v>
      </c>
      <c r="N29" s="180" t="str">
        <f t="shared" ca="1" si="3"/>
        <v xml:space="preserve">-2.1 </v>
      </c>
    </row>
    <row r="30" spans="1:14" x14ac:dyDescent="0.35">
      <c r="A30" s="143" t="s">
        <v>87</v>
      </c>
      <c r="B30" s="162">
        <f ca="1">INDIRECT(calculation3a_hide!C42,FALSE)</f>
        <v>4534.6400000000003</v>
      </c>
      <c r="C30" s="125">
        <f ca="1">INDIRECT(calculation3a_hide!D42,FALSE)</f>
        <v>4216.74</v>
      </c>
      <c r="D30" s="230" t="str">
        <f ca="1">IF(((C30-B30)/B30*100)&gt;100,"(+) ",IF(((C30-B30)/B30*100)&lt;-100,"(-) ",IF(ROUND(((C30-B30)/B30*100),1)=0,"- ",IF(((C30-B30)/B30*100)&gt;0,TEXT(((C30-B30)/B30*100),"+0.0 "),TEXT(((C30-B30)/B30*100),"0.0 ")))))</f>
        <v xml:space="preserve">-7.0 </v>
      </c>
      <c r="E30" s="162">
        <f ca="1">INDIRECT(calculation3a_hide!F42,FALSE)</f>
        <v>1044.99</v>
      </c>
      <c r="F30" s="125">
        <f ca="1">INDIRECT(calculation3a_hide!G42,FALSE)</f>
        <v>1096.3200000000002</v>
      </c>
      <c r="G30" s="125">
        <f ca="1">INDIRECT(calculation3a_hide!H42,FALSE)</f>
        <v>1194.1799999999998</v>
      </c>
      <c r="H30" s="125">
        <f ca="1">INDIRECT(calculation3a_hide!I42,FALSE)</f>
        <v>1178.6299999999999</v>
      </c>
      <c r="I30" s="125">
        <f ca="1">INDIRECT(calculation3a_hide!J42,FALSE)</f>
        <v>1065.51</v>
      </c>
      <c r="J30" s="125">
        <f ca="1">INDIRECT(calculation3a_hide!K42,FALSE)</f>
        <v>1008.76</v>
      </c>
      <c r="K30" s="125">
        <f ca="1">INDIRECT(calculation3a_hide!L42,FALSE)</f>
        <v>1002.57</v>
      </c>
      <c r="L30" s="125">
        <f ca="1">INDIRECT(calculation3a_hide!M42,FALSE)</f>
        <v>1090.43</v>
      </c>
      <c r="M30" s="125">
        <f ca="1">INDIRECT(calculation3a_hide!N42,FALSE)</f>
        <v>1114.98</v>
      </c>
      <c r="N30" s="180" t="str">
        <f t="shared" ca="1" si="3"/>
        <v xml:space="preserve">+4.6 </v>
      </c>
    </row>
    <row r="31" spans="1:14" x14ac:dyDescent="0.35">
      <c r="A31" s="177" t="s">
        <v>477</v>
      </c>
      <c r="B31" s="192">
        <f ca="1">INDIRECT(calculation3a_hide!C45,FALSE)</f>
        <v>0.43766348638883351</v>
      </c>
      <c r="C31" s="193">
        <f ca="1">INDIRECT(calculation3a_hide!D45,FALSE)</f>
        <v>0.43516256373525369</v>
      </c>
      <c r="D31" s="79"/>
      <c r="E31" s="192">
        <f ca="1">INDIRECT(calculation3a_hide!F45,FALSE)</f>
        <v>0.44032830900100856</v>
      </c>
      <c r="F31" s="193">
        <f ca="1">INDIRECT(calculation3a_hide!G45,FALSE)</f>
        <v>0.43591113152947764</v>
      </c>
      <c r="G31" s="193">
        <f ca="1">INDIRECT(calculation3a_hide!H45,FALSE)</f>
        <v>0.42031632356768911</v>
      </c>
      <c r="H31" s="193">
        <f ca="1">INDIRECT(calculation3a_hide!I45,FALSE)</f>
        <v>0.4234773695113051</v>
      </c>
      <c r="I31" s="193">
        <f ca="1">INDIRECT(calculation3a_hide!J45,FALSE)</f>
        <v>0.46516824322152839</v>
      </c>
      <c r="J31" s="193">
        <f ca="1">INDIRECT(calculation3a_hide!K45,FALSE)</f>
        <v>0.46576737237787363</v>
      </c>
      <c r="K31" s="193">
        <f ca="1">INDIRECT(calculation3a_hide!L45,FALSE)</f>
        <v>0.36610731316386619</v>
      </c>
      <c r="L31" s="193">
        <f ca="1">INDIRECT(calculation3a_hide!M45,FALSE)</f>
        <v>0.41920607155996831</v>
      </c>
      <c r="M31" s="193">
        <f ca="1">INDIRECT(calculation3a_hide!N45,FALSE)</f>
        <v>0.47147031697833203</v>
      </c>
      <c r="N31" s="194"/>
    </row>
    <row r="32" spans="1:14" x14ac:dyDescent="0.35">
      <c r="A32" s="178" t="s">
        <v>440</v>
      </c>
      <c r="B32" s="186">
        <f ca="1">INDIRECT(calculation3a_hide!C46,FALSE)</f>
        <v>0.75174901221589874</v>
      </c>
      <c r="C32" s="79">
        <f ca="1">INDIRECT(calculation3a_hide!D46,FALSE)</f>
        <v>0.75241293472617121</v>
      </c>
      <c r="D32" s="79"/>
      <c r="E32" s="186">
        <f ca="1">INDIRECT(calculation3a_hide!F46,FALSE)</f>
        <v>0.76419694424492846</v>
      </c>
      <c r="F32" s="79">
        <f ca="1">INDIRECT(calculation3a_hide!G46,FALSE)</f>
        <v>0.77499912360001733</v>
      </c>
      <c r="G32" s="79">
        <f ca="1">INDIRECT(calculation3a_hide!H46,FALSE)</f>
        <v>0.73341943897576078</v>
      </c>
      <c r="H32" s="79">
        <f ca="1">INDIRECT(calculation3a_hide!I46,FALSE)</f>
        <v>0.72022210193540215</v>
      </c>
      <c r="I32" s="79">
        <f ca="1">INDIRECT(calculation3a_hide!J46,FALSE)</f>
        <v>0.76698388588969679</v>
      </c>
      <c r="J32" s="79">
        <f ca="1">INDIRECT(calculation3a_hide!K46,FALSE)</f>
        <v>0.7781640411233165</v>
      </c>
      <c r="K32" s="79">
        <f ca="1">INDIRECT(calculation3a_hide!L46,FALSE)</f>
        <v>0.72843965766699659</v>
      </c>
      <c r="L32" s="79">
        <f ca="1">INDIRECT(calculation3a_hide!M46,FALSE)</f>
        <v>0.72864296620857127</v>
      </c>
      <c r="M32" s="79">
        <f ca="1">INDIRECT(calculation3a_hide!N46,FALSE)</f>
        <v>0.76254083824458052</v>
      </c>
      <c r="N32" s="187"/>
    </row>
    <row r="33" spans="1:17" s="39" customFormat="1" x14ac:dyDescent="0.35">
      <c r="A33" s="179" t="s">
        <v>441</v>
      </c>
      <c r="B33" s="188">
        <f ca="1">INDIRECT(calculation3a_hide!C47,FALSE)</f>
        <v>0.21694368736563252</v>
      </c>
      <c r="C33" s="189">
        <f ca="1">INDIRECT(calculation3a_hide!D47,FALSE)</f>
        <v>0.2177700321551822</v>
      </c>
      <c r="D33" s="189"/>
      <c r="E33" s="188">
        <f ca="1">INDIRECT(calculation3a_hide!F47,FALSE)</f>
        <v>0.21335093824722318</v>
      </c>
      <c r="F33" s="189">
        <f ca="1">INDIRECT(calculation3a_hide!G47,FALSE)</f>
        <v>0.1964272625195066</v>
      </c>
      <c r="G33" s="189">
        <f ca="1">INDIRECT(calculation3a_hide!H47,FALSE)</f>
        <v>0.23025931209577954</v>
      </c>
      <c r="H33" s="189">
        <f ca="1">INDIRECT(calculation3a_hide!I47,FALSE)</f>
        <v>0.24325862754017924</v>
      </c>
      <c r="I33" s="189">
        <f ca="1">INDIRECT(calculation3a_hide!J47,FALSE)</f>
        <v>0.20703206693771647</v>
      </c>
      <c r="J33" s="189">
        <f ca="1">INDIRECT(calculation3a_hide!K47,FALSE)</f>
        <v>0.19592908697161016</v>
      </c>
      <c r="K33" s="189">
        <f ca="1">INDIRECT(calculation3a_hide!L47,FALSE)</f>
        <v>0.23804225493721121</v>
      </c>
      <c r="L33" s="189">
        <f ca="1">INDIRECT(calculation3a_hide!M47,FALSE)</f>
        <v>0.23456788687473984</v>
      </c>
      <c r="M33" s="189">
        <f ca="1">INDIRECT(calculation3a_hide!N47,FALSE)</f>
        <v>0.21187103964664156</v>
      </c>
      <c r="N33" s="190"/>
      <c r="P33" s="123"/>
      <c r="Q33" s="123"/>
    </row>
    <row r="35" spans="1:17" x14ac:dyDescent="0.35">
      <c r="B35" s="124"/>
      <c r="C35" s="124"/>
      <c r="D35" s="234"/>
      <c r="J35" s="124"/>
      <c r="K35" s="124"/>
      <c r="L35" s="124"/>
      <c r="M35" s="124"/>
      <c r="N35" s="124"/>
      <c r="O35" s="234"/>
    </row>
    <row r="36" spans="1:17" x14ac:dyDescent="0.35">
      <c r="B36" s="124"/>
      <c r="C36" s="124"/>
      <c r="D36" s="234"/>
      <c r="G36" s="124"/>
      <c r="H36" s="124"/>
      <c r="I36" s="124"/>
      <c r="J36" s="124"/>
      <c r="K36" s="124"/>
      <c r="L36" s="124"/>
      <c r="M36" s="241"/>
    </row>
    <row r="37" spans="1:17" x14ac:dyDescent="0.35">
      <c r="D37" s="234"/>
    </row>
    <row r="38" spans="1:17" x14ac:dyDescent="0.35">
      <c r="D38" s="234"/>
      <c r="N38" s="236"/>
    </row>
    <row r="70" spans="2:13" x14ac:dyDescent="0.35">
      <c r="B70" s="129"/>
      <c r="C70" s="129"/>
      <c r="D70" s="129"/>
      <c r="E70" s="129"/>
      <c r="F70" s="129"/>
      <c r="G70" s="129"/>
      <c r="H70" s="129"/>
      <c r="I70" s="129"/>
      <c r="J70" s="129"/>
      <c r="K70" s="129"/>
      <c r="L70" s="129"/>
      <c r="M70" s="129" t="e">
        <f ca="1">SUM(#REF!-M27)</f>
        <v>#REF!</v>
      </c>
    </row>
    <row r="71" spans="2:13" x14ac:dyDescent="0.35">
      <c r="B71" s="129" t="e">
        <f ca="1">SUM(#REF!-B27)</f>
        <v>#REF!</v>
      </c>
      <c r="C71" s="129" t="e">
        <f ca="1">SUM(#REF!-C27)</f>
        <v>#REF!</v>
      </c>
      <c r="D71" s="129"/>
      <c r="E71" s="129" t="e">
        <f ca="1">SUM(#REF!-E27)</f>
        <v>#REF!</v>
      </c>
      <c r="F71" s="129" t="e">
        <f ca="1">SUM(#REF!-F27)</f>
        <v>#REF!</v>
      </c>
      <c r="G71" s="129" t="e">
        <f ca="1">SUM(#REF!-G27)</f>
        <v>#REF!</v>
      </c>
      <c r="H71" s="129" t="e">
        <f ca="1">SUM(#REF!-H27)</f>
        <v>#REF!</v>
      </c>
      <c r="I71" s="129" t="e">
        <f ca="1">SUM(#REF!-I27)</f>
        <v>#REF!</v>
      </c>
      <c r="J71" s="129" t="e">
        <f ca="1">SUM(#REF!-J27)</f>
        <v>#REF!</v>
      </c>
      <c r="K71" s="129" t="e">
        <f ca="1">SUM(#REF!-K27)</f>
        <v>#REF!</v>
      </c>
      <c r="L71" s="129" t="e">
        <f ca="1">SUM(#REF!-L27)</f>
        <v>#REF!</v>
      </c>
      <c r="M71" s="129" t="e">
        <f ca="1">SUM(#REF!-M28)</f>
        <v>#REF!</v>
      </c>
    </row>
    <row r="72" spans="2:13" x14ac:dyDescent="0.35">
      <c r="B72" s="129" t="e">
        <f ca="1">SUM(#REF!-B28)</f>
        <v>#REF!</v>
      </c>
      <c r="C72" s="129" t="e">
        <f ca="1">SUM(#REF!-C28)</f>
        <v>#REF!</v>
      </c>
      <c r="D72" s="129"/>
      <c r="E72" s="129" t="e">
        <f ca="1">SUM(#REF!-E28)</f>
        <v>#REF!</v>
      </c>
      <c r="F72" s="129" t="e">
        <f ca="1">SUM(#REF!-F28)</f>
        <v>#REF!</v>
      </c>
      <c r="G72" s="129" t="e">
        <f ca="1">SUM(#REF!-G28)</f>
        <v>#REF!</v>
      </c>
      <c r="H72" s="129" t="e">
        <f ca="1">SUM(#REF!-H28)</f>
        <v>#REF!</v>
      </c>
      <c r="I72" s="129" t="e">
        <f ca="1">SUM(#REF!-I28)</f>
        <v>#REF!</v>
      </c>
      <c r="J72" s="129" t="e">
        <f ca="1">SUM(#REF!-J28)</f>
        <v>#REF!</v>
      </c>
      <c r="K72" s="129" t="e">
        <f ca="1">SUM(#REF!-K28)</f>
        <v>#REF!</v>
      </c>
      <c r="L72" s="129" t="e">
        <f ca="1">SUM(#REF!-L28)</f>
        <v>#REF!</v>
      </c>
      <c r="M72" s="129" t="e">
        <f ca="1">SUM(#REF!-M29)</f>
        <v>#REF!</v>
      </c>
    </row>
    <row r="73" spans="2:13" x14ac:dyDescent="0.35">
      <c r="B73" s="129" t="e">
        <f ca="1">SUM(#REF!-B29)</f>
        <v>#REF!</v>
      </c>
      <c r="C73" s="129" t="e">
        <f ca="1">SUM(#REF!-C29)</f>
        <v>#REF!</v>
      </c>
      <c r="D73" s="129"/>
      <c r="E73" s="129" t="e">
        <f ca="1">SUM(#REF!-E29)</f>
        <v>#REF!</v>
      </c>
      <c r="F73" s="129" t="e">
        <f ca="1">SUM(#REF!-F29)</f>
        <v>#REF!</v>
      </c>
      <c r="G73" s="129" t="e">
        <f ca="1">SUM(#REF!-G29)</f>
        <v>#REF!</v>
      </c>
      <c r="H73" s="129" t="e">
        <f ca="1">SUM(#REF!-H29)</f>
        <v>#REF!</v>
      </c>
      <c r="I73" s="129" t="e">
        <f ca="1">SUM(#REF!-I29)</f>
        <v>#REF!</v>
      </c>
      <c r="J73" s="129" t="e">
        <f ca="1">SUM(#REF!-J29)</f>
        <v>#REF!</v>
      </c>
      <c r="K73" s="129" t="e">
        <f ca="1">SUM(#REF!-K29)</f>
        <v>#REF!</v>
      </c>
      <c r="L73" s="129" t="e">
        <f ca="1">SUM(#REF!-L29)</f>
        <v>#REF!</v>
      </c>
      <c r="M73" s="129" t="e">
        <f ca="1">SUM(#REF!-M30)</f>
        <v>#REF!</v>
      </c>
    </row>
    <row r="74" spans="2:13" x14ac:dyDescent="0.35">
      <c r="B74" s="129" t="e">
        <f ca="1">SUM(#REF!-B30)</f>
        <v>#REF!</v>
      </c>
      <c r="C74" s="129" t="e">
        <f ca="1">SUM(#REF!-C30)</f>
        <v>#REF!</v>
      </c>
      <c r="D74" s="129"/>
      <c r="E74" s="129" t="e">
        <f ca="1">SUM(#REF!-E30)</f>
        <v>#REF!</v>
      </c>
      <c r="F74" s="129" t="e">
        <f ca="1">SUM(#REF!-F30)</f>
        <v>#REF!</v>
      </c>
      <c r="G74" s="129" t="e">
        <f ca="1">SUM(#REF!-G30)</f>
        <v>#REF!</v>
      </c>
      <c r="H74" s="129" t="e">
        <f ca="1">SUM(#REF!-H30)</f>
        <v>#REF!</v>
      </c>
      <c r="I74" s="129" t="e">
        <f ca="1">SUM(#REF!-I30)</f>
        <v>#REF!</v>
      </c>
      <c r="J74" s="129" t="e">
        <f ca="1">SUM(#REF!-J30)</f>
        <v>#REF!</v>
      </c>
      <c r="K74" s="129" t="e">
        <f ca="1">SUM(#REF!-K30)</f>
        <v>#REF!</v>
      </c>
      <c r="L74" s="129" t="e">
        <f ca="1">SUM(#REF!-L30)</f>
        <v>#REF!</v>
      </c>
      <c r="M74" s="129"/>
    </row>
  </sheetData>
  <phoneticPr fontId="17" type="noConversion"/>
  <pageMargins left="0.51181102362204722" right="0.51181102362204722" top="0.78740157480314965" bottom="0.78740157480314965" header="0.51181102362204722" footer="0.51181102362204722"/>
  <pageSetup paperSize="9" scale="44" orientation="landscape" verticalDpi="4" r:id="rId1"/>
  <headerFooter alignWithMargins="0"/>
  <ignoredErrors>
    <ignoredError sqref="D9 N9" formula="1"/>
    <ignoredError sqref="M31:M33" evalError="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CFED-46EE-4171-BCA7-566C3F80E0CC}">
  <sheetPr>
    <pageSetUpPr fitToPage="1"/>
  </sheetPr>
  <dimension ref="A1:U31"/>
  <sheetViews>
    <sheetView showGridLines="0" zoomScaleNormal="100" zoomScaleSheetLayoutView="100" workbookViewId="0"/>
  </sheetViews>
  <sheetFormatPr defaultColWidth="9.1796875" defaultRowHeight="12.5" x14ac:dyDescent="0.25"/>
  <cols>
    <col min="1" max="1" width="35.1796875" style="14" customWidth="1"/>
    <col min="2" max="2" width="8.1796875" style="14" customWidth="1"/>
    <col min="3" max="3" width="15.453125" style="14" customWidth="1"/>
    <col min="4" max="4" width="8.1796875" style="14" customWidth="1"/>
    <col min="5" max="5" width="13.26953125" style="14" customWidth="1"/>
    <col min="6" max="6" width="11.453125" style="14" customWidth="1"/>
    <col min="7" max="7" width="15.54296875" style="14" customWidth="1"/>
    <col min="8" max="8" width="12.1796875" style="14" customWidth="1"/>
    <col min="9" max="9" width="9.7265625" style="14" bestFit="1" customWidth="1"/>
    <col min="10" max="10" width="7.453125" style="14" customWidth="1"/>
    <col min="11" max="11" width="8.81640625" style="14" customWidth="1"/>
    <col min="12" max="12" width="7.54296875" style="14" customWidth="1"/>
    <col min="13" max="13" width="15.81640625" style="14" customWidth="1"/>
    <col min="14" max="14" width="9.26953125" style="17" customWidth="1"/>
    <col min="15" max="15" width="11" style="14" customWidth="1"/>
    <col min="16" max="16" width="11.1796875" style="14" bestFit="1" customWidth="1"/>
    <col min="17" max="17" width="13.81640625" style="14" customWidth="1"/>
    <col min="18" max="19" width="9.7265625" style="14" bestFit="1" customWidth="1"/>
    <col min="20" max="20" width="8.453125" style="14" customWidth="1"/>
    <col min="21" max="21" width="10.26953125" style="14" customWidth="1"/>
    <col min="22" max="22" width="9.1796875" style="14"/>
    <col min="23" max="24" width="9.1796875" style="14" customWidth="1"/>
    <col min="25" max="265" width="9.1796875" style="14"/>
    <col min="266" max="266" width="0" style="14" hidden="1" customWidth="1"/>
    <col min="267" max="267" width="20.453125" style="14" customWidth="1"/>
    <col min="268" max="276" width="7.81640625" style="14" customWidth="1"/>
    <col min="277" max="521" width="9.1796875" style="14"/>
    <col min="522" max="522" width="0" style="14" hidden="1" customWidth="1"/>
    <col min="523" max="523" width="20.453125" style="14" customWidth="1"/>
    <col min="524" max="532" width="7.81640625" style="14" customWidth="1"/>
    <col min="533" max="777" width="9.1796875" style="14"/>
    <col min="778" max="778" width="0" style="14" hidden="1" customWidth="1"/>
    <col min="779" max="779" width="20.453125" style="14" customWidth="1"/>
    <col min="780" max="788" width="7.81640625" style="14" customWidth="1"/>
    <col min="789" max="1033" width="9.1796875" style="14"/>
    <col min="1034" max="1034" width="0" style="14" hidden="1" customWidth="1"/>
    <col min="1035" max="1035" width="20.453125" style="14" customWidth="1"/>
    <col min="1036" max="1044" width="7.81640625" style="14" customWidth="1"/>
    <col min="1045" max="1289" width="9.1796875" style="14"/>
    <col min="1290" max="1290" width="0" style="14" hidden="1" customWidth="1"/>
    <col min="1291" max="1291" width="20.453125" style="14" customWidth="1"/>
    <col min="1292" max="1300" width="7.81640625" style="14" customWidth="1"/>
    <col min="1301" max="1545" width="9.1796875" style="14"/>
    <col min="1546" max="1546" width="0" style="14" hidden="1" customWidth="1"/>
    <col min="1547" max="1547" width="20.453125" style="14" customWidth="1"/>
    <col min="1548" max="1556" width="7.81640625" style="14" customWidth="1"/>
    <col min="1557" max="1801" width="9.1796875" style="14"/>
    <col min="1802" max="1802" width="0" style="14" hidden="1" customWidth="1"/>
    <col min="1803" max="1803" width="20.453125" style="14" customWidth="1"/>
    <col min="1804" max="1812" width="7.81640625" style="14" customWidth="1"/>
    <col min="1813" max="2057" width="9.1796875" style="14"/>
    <col min="2058" max="2058" width="0" style="14" hidden="1" customWidth="1"/>
    <col min="2059" max="2059" width="20.453125" style="14" customWidth="1"/>
    <col min="2060" max="2068" width="7.81640625" style="14" customWidth="1"/>
    <col min="2069" max="2313" width="9.1796875" style="14"/>
    <col min="2314" max="2314" width="0" style="14" hidden="1" customWidth="1"/>
    <col min="2315" max="2315" width="20.453125" style="14" customWidth="1"/>
    <col min="2316" max="2324" width="7.81640625" style="14" customWidth="1"/>
    <col min="2325" max="2569" width="9.1796875" style="14"/>
    <col min="2570" max="2570" width="0" style="14" hidden="1" customWidth="1"/>
    <col min="2571" max="2571" width="20.453125" style="14" customWidth="1"/>
    <col min="2572" max="2580" width="7.81640625" style="14" customWidth="1"/>
    <col min="2581" max="2825" width="9.1796875" style="14"/>
    <col min="2826" max="2826" width="0" style="14" hidden="1" customWidth="1"/>
    <col min="2827" max="2827" width="20.453125" style="14" customWidth="1"/>
    <col min="2828" max="2836" width="7.81640625" style="14" customWidth="1"/>
    <col min="2837" max="3081" width="9.1796875" style="14"/>
    <col min="3082" max="3082" width="0" style="14" hidden="1" customWidth="1"/>
    <col min="3083" max="3083" width="20.453125" style="14" customWidth="1"/>
    <col min="3084" max="3092" width="7.81640625" style="14" customWidth="1"/>
    <col min="3093" max="3337" width="9.1796875" style="14"/>
    <col min="3338" max="3338" width="0" style="14" hidden="1" customWidth="1"/>
    <col min="3339" max="3339" width="20.453125" style="14" customWidth="1"/>
    <col min="3340" max="3348" width="7.81640625" style="14" customWidth="1"/>
    <col min="3349" max="3593" width="9.1796875" style="14"/>
    <col min="3594" max="3594" width="0" style="14" hidden="1" customWidth="1"/>
    <col min="3595" max="3595" width="20.453125" style="14" customWidth="1"/>
    <col min="3596" max="3604" width="7.81640625" style="14" customWidth="1"/>
    <col min="3605" max="3849" width="9.1796875" style="14"/>
    <col min="3850" max="3850" width="0" style="14" hidden="1" customWidth="1"/>
    <col min="3851" max="3851" width="20.453125" style="14" customWidth="1"/>
    <col min="3852" max="3860" width="7.81640625" style="14" customWidth="1"/>
    <col min="3861" max="4105" width="9.1796875" style="14"/>
    <col min="4106" max="4106" width="0" style="14" hidden="1" customWidth="1"/>
    <col min="4107" max="4107" width="20.453125" style="14" customWidth="1"/>
    <col min="4108" max="4116" width="7.81640625" style="14" customWidth="1"/>
    <col min="4117" max="4361" width="9.1796875" style="14"/>
    <col min="4362" max="4362" width="0" style="14" hidden="1" customWidth="1"/>
    <col min="4363" max="4363" width="20.453125" style="14" customWidth="1"/>
    <col min="4364" max="4372" width="7.81640625" style="14" customWidth="1"/>
    <col min="4373" max="4617" width="9.1796875" style="14"/>
    <col min="4618" max="4618" width="0" style="14" hidden="1" customWidth="1"/>
    <col min="4619" max="4619" width="20.453125" style="14" customWidth="1"/>
    <col min="4620" max="4628" width="7.81640625" style="14" customWidth="1"/>
    <col min="4629" max="4873" width="9.1796875" style="14"/>
    <col min="4874" max="4874" width="0" style="14" hidden="1" customWidth="1"/>
    <col min="4875" max="4875" width="20.453125" style="14" customWidth="1"/>
    <col min="4876" max="4884" width="7.81640625" style="14" customWidth="1"/>
    <col min="4885" max="5129" width="9.1796875" style="14"/>
    <col min="5130" max="5130" width="0" style="14" hidden="1" customWidth="1"/>
    <col min="5131" max="5131" width="20.453125" style="14" customWidth="1"/>
    <col min="5132" max="5140" width="7.81640625" style="14" customWidth="1"/>
    <col min="5141" max="5385" width="9.1796875" style="14"/>
    <col min="5386" max="5386" width="0" style="14" hidden="1" customWidth="1"/>
    <col min="5387" max="5387" width="20.453125" style="14" customWidth="1"/>
    <col min="5388" max="5396" width="7.81640625" style="14" customWidth="1"/>
    <col min="5397" max="5641" width="9.1796875" style="14"/>
    <col min="5642" max="5642" width="0" style="14" hidden="1" customWidth="1"/>
    <col min="5643" max="5643" width="20.453125" style="14" customWidth="1"/>
    <col min="5644" max="5652" width="7.81640625" style="14" customWidth="1"/>
    <col min="5653" max="5897" width="9.1796875" style="14"/>
    <col min="5898" max="5898" width="0" style="14" hidden="1" customWidth="1"/>
    <col min="5899" max="5899" width="20.453125" style="14" customWidth="1"/>
    <col min="5900" max="5908" width="7.81640625" style="14" customWidth="1"/>
    <col min="5909" max="6153" width="9.1796875" style="14"/>
    <col min="6154" max="6154" width="0" style="14" hidden="1" customWidth="1"/>
    <col min="6155" max="6155" width="20.453125" style="14" customWidth="1"/>
    <col min="6156" max="6164" width="7.81640625" style="14" customWidth="1"/>
    <col min="6165" max="6409" width="9.1796875" style="14"/>
    <col min="6410" max="6410" width="0" style="14" hidden="1" customWidth="1"/>
    <col min="6411" max="6411" width="20.453125" style="14" customWidth="1"/>
    <col min="6412" max="6420" width="7.81640625" style="14" customWidth="1"/>
    <col min="6421" max="6665" width="9.1796875" style="14"/>
    <col min="6666" max="6666" width="0" style="14" hidden="1" customWidth="1"/>
    <col min="6667" max="6667" width="20.453125" style="14" customWidth="1"/>
    <col min="6668" max="6676" width="7.81640625" style="14" customWidth="1"/>
    <col min="6677" max="6921" width="9.1796875" style="14"/>
    <col min="6922" max="6922" width="0" style="14" hidden="1" customWidth="1"/>
    <col min="6923" max="6923" width="20.453125" style="14" customWidth="1"/>
    <col min="6924" max="6932" width="7.81640625" style="14" customWidth="1"/>
    <col min="6933" max="7177" width="9.1796875" style="14"/>
    <col min="7178" max="7178" width="0" style="14" hidden="1" customWidth="1"/>
    <col min="7179" max="7179" width="20.453125" style="14" customWidth="1"/>
    <col min="7180" max="7188" width="7.81640625" style="14" customWidth="1"/>
    <col min="7189" max="7433" width="9.1796875" style="14"/>
    <col min="7434" max="7434" width="0" style="14" hidden="1" customWidth="1"/>
    <col min="7435" max="7435" width="20.453125" style="14" customWidth="1"/>
    <col min="7436" max="7444" width="7.81640625" style="14" customWidth="1"/>
    <col min="7445" max="7689" width="9.1796875" style="14"/>
    <col min="7690" max="7690" width="0" style="14" hidden="1" customWidth="1"/>
    <col min="7691" max="7691" width="20.453125" style="14" customWidth="1"/>
    <col min="7692" max="7700" width="7.81640625" style="14" customWidth="1"/>
    <col min="7701" max="7945" width="9.1796875" style="14"/>
    <col min="7946" max="7946" width="0" style="14" hidden="1" customWidth="1"/>
    <col min="7947" max="7947" width="20.453125" style="14" customWidth="1"/>
    <col min="7948" max="7956" width="7.81640625" style="14" customWidth="1"/>
    <col min="7957" max="8201" width="9.1796875" style="14"/>
    <col min="8202" max="8202" width="0" style="14" hidden="1" customWidth="1"/>
    <col min="8203" max="8203" width="20.453125" style="14" customWidth="1"/>
    <col min="8204" max="8212" width="7.81640625" style="14" customWidth="1"/>
    <col min="8213" max="8457" width="9.1796875" style="14"/>
    <col min="8458" max="8458" width="0" style="14" hidden="1" customWidth="1"/>
    <col min="8459" max="8459" width="20.453125" style="14" customWidth="1"/>
    <col min="8460" max="8468" width="7.81640625" style="14" customWidth="1"/>
    <col min="8469" max="8713" width="9.1796875" style="14"/>
    <col min="8714" max="8714" width="0" style="14" hidden="1" customWidth="1"/>
    <col min="8715" max="8715" width="20.453125" style="14" customWidth="1"/>
    <col min="8716" max="8724" width="7.81640625" style="14" customWidth="1"/>
    <col min="8725" max="8969" width="9.1796875" style="14"/>
    <col min="8970" max="8970" width="0" style="14" hidden="1" customWidth="1"/>
    <col min="8971" max="8971" width="20.453125" style="14" customWidth="1"/>
    <col min="8972" max="8980" width="7.81640625" style="14" customWidth="1"/>
    <col min="8981" max="9225" width="9.1796875" style="14"/>
    <col min="9226" max="9226" width="0" style="14" hidden="1" customWidth="1"/>
    <col min="9227" max="9227" width="20.453125" style="14" customWidth="1"/>
    <col min="9228" max="9236" width="7.81640625" style="14" customWidth="1"/>
    <col min="9237" max="9481" width="9.1796875" style="14"/>
    <col min="9482" max="9482" width="0" style="14" hidden="1" customWidth="1"/>
    <col min="9483" max="9483" width="20.453125" style="14" customWidth="1"/>
    <col min="9484" max="9492" width="7.81640625" style="14" customWidth="1"/>
    <col min="9493" max="9737" width="9.1796875" style="14"/>
    <col min="9738" max="9738" width="0" style="14" hidden="1" customWidth="1"/>
    <col min="9739" max="9739" width="20.453125" style="14" customWidth="1"/>
    <col min="9740" max="9748" width="7.81640625" style="14" customWidth="1"/>
    <col min="9749" max="9993" width="9.1796875" style="14"/>
    <col min="9994" max="9994" width="0" style="14" hidden="1" customWidth="1"/>
    <col min="9995" max="9995" width="20.453125" style="14" customWidth="1"/>
    <col min="9996" max="10004" width="7.81640625" style="14" customWidth="1"/>
    <col min="10005" max="10249" width="9.1796875" style="14"/>
    <col min="10250" max="10250" width="0" style="14" hidden="1" customWidth="1"/>
    <col min="10251" max="10251" width="20.453125" style="14" customWidth="1"/>
    <col min="10252" max="10260" width="7.81640625" style="14" customWidth="1"/>
    <col min="10261" max="10505" width="9.1796875" style="14"/>
    <col min="10506" max="10506" width="0" style="14" hidden="1" customWidth="1"/>
    <col min="10507" max="10507" width="20.453125" style="14" customWidth="1"/>
    <col min="10508" max="10516" width="7.81640625" style="14" customWidth="1"/>
    <col min="10517" max="10761" width="9.1796875" style="14"/>
    <col min="10762" max="10762" width="0" style="14" hidden="1" customWidth="1"/>
    <col min="10763" max="10763" width="20.453125" style="14" customWidth="1"/>
    <col min="10764" max="10772" width="7.81640625" style="14" customWidth="1"/>
    <col min="10773" max="11017" width="9.1796875" style="14"/>
    <col min="11018" max="11018" width="0" style="14" hidden="1" customWidth="1"/>
    <col min="11019" max="11019" width="20.453125" style="14" customWidth="1"/>
    <col min="11020" max="11028" width="7.81640625" style="14" customWidth="1"/>
    <col min="11029" max="11273" width="9.1796875" style="14"/>
    <col min="11274" max="11274" width="0" style="14" hidden="1" customWidth="1"/>
    <col min="11275" max="11275" width="20.453125" style="14" customWidth="1"/>
    <col min="11276" max="11284" width="7.81640625" style="14" customWidth="1"/>
    <col min="11285" max="11529" width="9.1796875" style="14"/>
    <col min="11530" max="11530" width="0" style="14" hidden="1" customWidth="1"/>
    <col min="11531" max="11531" width="20.453125" style="14" customWidth="1"/>
    <col min="11532" max="11540" width="7.81640625" style="14" customWidth="1"/>
    <col min="11541" max="11785" width="9.1796875" style="14"/>
    <col min="11786" max="11786" width="0" style="14" hidden="1" customWidth="1"/>
    <col min="11787" max="11787" width="20.453125" style="14" customWidth="1"/>
    <col min="11788" max="11796" width="7.81640625" style="14" customWidth="1"/>
    <col min="11797" max="12041" width="9.1796875" style="14"/>
    <col min="12042" max="12042" width="0" style="14" hidden="1" customWidth="1"/>
    <col min="12043" max="12043" width="20.453125" style="14" customWidth="1"/>
    <col min="12044" max="12052" width="7.81640625" style="14" customWidth="1"/>
    <col min="12053" max="12297" width="9.1796875" style="14"/>
    <col min="12298" max="12298" width="0" style="14" hidden="1" customWidth="1"/>
    <col min="12299" max="12299" width="20.453125" style="14" customWidth="1"/>
    <col min="12300" max="12308" width="7.81640625" style="14" customWidth="1"/>
    <col min="12309" max="12553" width="9.1796875" style="14"/>
    <col min="12554" max="12554" width="0" style="14" hidden="1" customWidth="1"/>
    <col min="12555" max="12555" width="20.453125" style="14" customWidth="1"/>
    <col min="12556" max="12564" width="7.81640625" style="14" customWidth="1"/>
    <col min="12565" max="12809" width="9.1796875" style="14"/>
    <col min="12810" max="12810" width="0" style="14" hidden="1" customWidth="1"/>
    <col min="12811" max="12811" width="20.453125" style="14" customWidth="1"/>
    <col min="12812" max="12820" width="7.81640625" style="14" customWidth="1"/>
    <col min="12821" max="13065" width="9.1796875" style="14"/>
    <col min="13066" max="13066" width="0" style="14" hidden="1" customWidth="1"/>
    <col min="13067" max="13067" width="20.453125" style="14" customWidth="1"/>
    <col min="13068" max="13076" width="7.81640625" style="14" customWidth="1"/>
    <col min="13077" max="13321" width="9.1796875" style="14"/>
    <col min="13322" max="13322" width="0" style="14" hidden="1" customWidth="1"/>
    <col min="13323" max="13323" width="20.453125" style="14" customWidth="1"/>
    <col min="13324" max="13332" width="7.81640625" style="14" customWidth="1"/>
    <col min="13333" max="13577" width="9.1796875" style="14"/>
    <col min="13578" max="13578" width="0" style="14" hidden="1" customWidth="1"/>
    <col min="13579" max="13579" width="20.453125" style="14" customWidth="1"/>
    <col min="13580" max="13588" width="7.81640625" style="14" customWidth="1"/>
    <col min="13589" max="13833" width="9.1796875" style="14"/>
    <col min="13834" max="13834" width="0" style="14" hidden="1" customWidth="1"/>
    <col min="13835" max="13835" width="20.453125" style="14" customWidth="1"/>
    <col min="13836" max="13844" width="7.81640625" style="14" customWidth="1"/>
    <col min="13845" max="14089" width="9.1796875" style="14"/>
    <col min="14090" max="14090" width="0" style="14" hidden="1" customWidth="1"/>
    <col min="14091" max="14091" width="20.453125" style="14" customWidth="1"/>
    <col min="14092" max="14100" width="7.81640625" style="14" customWidth="1"/>
    <col min="14101" max="14345" width="9.1796875" style="14"/>
    <col min="14346" max="14346" width="0" style="14" hidden="1" customWidth="1"/>
    <col min="14347" max="14347" width="20.453125" style="14" customWidth="1"/>
    <col min="14348" max="14356" width="7.81640625" style="14" customWidth="1"/>
    <col min="14357" max="14601" width="9.1796875" style="14"/>
    <col min="14602" max="14602" width="0" style="14" hidden="1" customWidth="1"/>
    <col min="14603" max="14603" width="20.453125" style="14" customWidth="1"/>
    <col min="14604" max="14612" width="7.81640625" style="14" customWidth="1"/>
    <col min="14613" max="14857" width="9.1796875" style="14"/>
    <col min="14858" max="14858" width="0" style="14" hidden="1" customWidth="1"/>
    <col min="14859" max="14859" width="20.453125" style="14" customWidth="1"/>
    <col min="14860" max="14868" width="7.81640625" style="14" customWidth="1"/>
    <col min="14869" max="15113" width="9.1796875" style="14"/>
    <col min="15114" max="15114" width="0" style="14" hidden="1" customWidth="1"/>
    <col min="15115" max="15115" width="20.453125" style="14" customWidth="1"/>
    <col min="15116" max="15124" width="7.81640625" style="14" customWidth="1"/>
    <col min="15125" max="15369" width="9.1796875" style="14"/>
    <col min="15370" max="15370" width="0" style="14" hidden="1" customWidth="1"/>
    <col min="15371" max="15371" width="20.453125" style="14" customWidth="1"/>
    <col min="15372" max="15380" width="7.81640625" style="14" customWidth="1"/>
    <col min="15381" max="15625" width="9.1796875" style="14"/>
    <col min="15626" max="15626" width="0" style="14" hidden="1" customWidth="1"/>
    <col min="15627" max="15627" width="20.453125" style="14" customWidth="1"/>
    <col min="15628" max="15636" width="7.81640625" style="14" customWidth="1"/>
    <col min="15637" max="15881" width="9.1796875" style="14"/>
    <col min="15882" max="15882" width="0" style="14" hidden="1" customWidth="1"/>
    <col min="15883" max="15883" width="20.453125" style="14" customWidth="1"/>
    <col min="15884" max="15892" width="7.81640625" style="14" customWidth="1"/>
    <col min="15893" max="16137" width="9.1796875" style="14"/>
    <col min="16138" max="16138" width="0" style="14" hidden="1" customWidth="1"/>
    <col min="16139" max="16139" width="20.453125" style="14" customWidth="1"/>
    <col min="16140" max="16148" width="7.81640625" style="14" customWidth="1"/>
    <col min="16149" max="16384" width="9.1796875" style="14"/>
  </cols>
  <sheetData>
    <row r="1" spans="1:21" s="12" customFormat="1" ht="28.5" x14ac:dyDescent="0.25">
      <c r="A1" s="38" t="s">
        <v>469</v>
      </c>
      <c r="B1" s="38"/>
      <c r="C1" s="38"/>
      <c r="D1" s="38"/>
      <c r="E1" s="38"/>
      <c r="F1" s="38"/>
      <c r="G1" s="38"/>
      <c r="H1" s="38"/>
      <c r="I1" s="38"/>
      <c r="J1" s="38"/>
      <c r="K1" s="38"/>
      <c r="L1" s="105"/>
      <c r="M1" s="105"/>
      <c r="N1" s="106"/>
      <c r="O1" s="106"/>
      <c r="P1" s="106"/>
      <c r="Q1" s="106"/>
      <c r="R1" s="106"/>
      <c r="S1" s="106"/>
      <c r="T1" s="106"/>
      <c r="U1" s="106"/>
    </row>
    <row r="2" spans="1:21" s="12" customFormat="1" ht="15.5" x14ac:dyDescent="0.25">
      <c r="A2" s="3" t="s">
        <v>15</v>
      </c>
      <c r="B2" s="3"/>
      <c r="C2" s="3"/>
      <c r="D2" s="3"/>
      <c r="E2" s="3"/>
      <c r="F2" s="3"/>
      <c r="G2" s="3"/>
      <c r="H2" s="3"/>
      <c r="I2" s="3"/>
      <c r="J2" s="3"/>
      <c r="K2" s="3"/>
      <c r="L2" s="105"/>
      <c r="M2" s="105"/>
      <c r="N2" s="106"/>
      <c r="O2" s="106"/>
      <c r="P2" s="106"/>
      <c r="Q2" s="106"/>
      <c r="R2" s="106"/>
      <c r="S2" s="106"/>
      <c r="T2" s="106"/>
      <c r="U2" s="106"/>
    </row>
    <row r="3" spans="1:21" s="12" customFormat="1" ht="15.5" x14ac:dyDescent="0.25">
      <c r="A3" s="44" t="s">
        <v>158</v>
      </c>
      <c r="B3" s="44"/>
      <c r="C3" s="44"/>
      <c r="D3" s="44"/>
      <c r="E3" s="44"/>
      <c r="F3" s="44"/>
      <c r="G3" s="44"/>
      <c r="H3" s="44"/>
      <c r="I3" s="44"/>
      <c r="J3" s="44"/>
      <c r="K3" s="44"/>
      <c r="L3" s="105"/>
      <c r="M3" s="105"/>
      <c r="N3" s="106"/>
      <c r="O3" s="106"/>
      <c r="P3" s="106"/>
      <c r="Q3" s="106"/>
      <c r="R3" s="106"/>
      <c r="S3" s="106"/>
      <c r="T3" s="106"/>
      <c r="U3" s="106"/>
    </row>
    <row r="4" spans="1:21" s="12" customFormat="1" ht="15.5" x14ac:dyDescent="0.25">
      <c r="A4" s="44"/>
      <c r="B4" s="214">
        <v>2024</v>
      </c>
      <c r="C4" s="200"/>
      <c r="D4" s="200"/>
      <c r="E4" s="200"/>
      <c r="F4" s="200"/>
      <c r="G4" s="200"/>
      <c r="H4" s="200"/>
      <c r="I4" s="200"/>
      <c r="J4" s="200"/>
      <c r="K4" s="201"/>
      <c r="L4" s="214" t="s">
        <v>524</v>
      </c>
      <c r="M4" s="202"/>
      <c r="N4" s="203"/>
      <c r="O4" s="203"/>
      <c r="P4" s="203"/>
      <c r="Q4" s="203"/>
      <c r="R4" s="203"/>
      <c r="S4" s="203"/>
      <c r="T4" s="203"/>
      <c r="U4" s="204"/>
    </row>
    <row r="5" spans="1:21" ht="65.25" customHeight="1" x14ac:dyDescent="0.25">
      <c r="A5" s="131" t="s">
        <v>470</v>
      </c>
      <c r="B5" s="205" t="s">
        <v>56</v>
      </c>
      <c r="C5" s="137" t="s">
        <v>314</v>
      </c>
      <c r="D5" s="137" t="s">
        <v>57</v>
      </c>
      <c r="E5" s="137" t="s">
        <v>340</v>
      </c>
      <c r="F5" s="137" t="s">
        <v>313</v>
      </c>
      <c r="G5" s="137" t="s">
        <v>471</v>
      </c>
      <c r="H5" s="137" t="s">
        <v>58</v>
      </c>
      <c r="I5" s="206" t="s">
        <v>59</v>
      </c>
      <c r="J5" s="137" t="s">
        <v>60</v>
      </c>
      <c r="K5" s="207" t="s">
        <v>62</v>
      </c>
      <c r="L5" s="136" t="s">
        <v>89</v>
      </c>
      <c r="M5" s="137" t="s">
        <v>317</v>
      </c>
      <c r="N5" s="137" t="s">
        <v>279</v>
      </c>
      <c r="O5" s="137" t="s">
        <v>484</v>
      </c>
      <c r="P5" s="137" t="s">
        <v>315</v>
      </c>
      <c r="Q5" s="137" t="s">
        <v>485</v>
      </c>
      <c r="R5" s="137" t="s">
        <v>344</v>
      </c>
      <c r="S5" s="138" t="s">
        <v>345</v>
      </c>
      <c r="T5" s="137" t="s">
        <v>474</v>
      </c>
      <c r="U5" s="139" t="s">
        <v>486</v>
      </c>
    </row>
    <row r="6" spans="1:21" ht="15.5" x14ac:dyDescent="0.35">
      <c r="A6" s="132" t="s">
        <v>161</v>
      </c>
      <c r="B6" s="208">
        <f>SUM('Quarter supply'!C110:C113)</f>
        <v>76.81</v>
      </c>
      <c r="C6" s="209">
        <v>0</v>
      </c>
      <c r="D6" s="209">
        <f>SUM('Quarter supply'!D110:D113)</f>
        <v>33297.99</v>
      </c>
      <c r="E6" s="209">
        <v>0</v>
      </c>
      <c r="F6" s="209">
        <f>SUM('Quarter supply'!E110:E113)</f>
        <v>29566.45</v>
      </c>
      <c r="G6" s="209">
        <f>SUM('Quarter supply'!F110:F113)</f>
        <v>14192.63</v>
      </c>
      <c r="H6" s="209">
        <f>SUM('Quarter supply'!G110:G113)</f>
        <v>17766.09</v>
      </c>
      <c r="I6" s="209">
        <v>0</v>
      </c>
      <c r="J6" s="209">
        <v>0</v>
      </c>
      <c r="K6" s="140">
        <f t="shared" ref="K6:K13" si="0">SUM(B6:J6)</f>
        <v>94899.97</v>
      </c>
      <c r="L6" s="124">
        <f>SUM('Quarter supply'!C114:C117)</f>
        <v>86.259999999999991</v>
      </c>
      <c r="M6" s="125">
        <v>0</v>
      </c>
      <c r="N6" s="124">
        <f>SUM('Quarter supply'!D114:D117)</f>
        <v>34153.9</v>
      </c>
      <c r="O6" s="125">
        <v>0</v>
      </c>
      <c r="P6" s="124">
        <f>SUM('Quarter supply'!E114:E117)</f>
        <v>28596.73</v>
      </c>
      <c r="Q6" s="124">
        <f>SUM('Quarter supply'!F114:F117)</f>
        <v>13724.88</v>
      </c>
      <c r="R6" s="124">
        <f>SUM('Quarter supply'!G114:G117)</f>
        <v>17434.88</v>
      </c>
      <c r="S6" s="125">
        <v>0</v>
      </c>
      <c r="T6" s="126">
        <v>0</v>
      </c>
      <c r="U6" s="126">
        <f t="shared" ref="U6:U13" si="1">SUM(L6:T6)</f>
        <v>93996.650000000009</v>
      </c>
    </row>
    <row r="7" spans="1:21" ht="15.5" x14ac:dyDescent="0.35">
      <c r="A7" s="133" t="s">
        <v>70</v>
      </c>
      <c r="B7" s="210">
        <f>SUM('Quarter supply'!I110:I113)</f>
        <v>1162.77</v>
      </c>
      <c r="C7" s="129">
        <f>SUM('Quarter supply'!J110:J113)</f>
        <v>967.43999999999994</v>
      </c>
      <c r="D7" s="129">
        <f>SUM('Quarter supply'!K110:K113)</f>
        <v>52406.8</v>
      </c>
      <c r="E7" s="129">
        <f>SUM('Quarter supply'!L110:L113)</f>
        <v>35065.22</v>
      </c>
      <c r="F7" s="129">
        <f>SUM('Quarter supply'!M110:M113)</f>
        <v>38976.86</v>
      </c>
      <c r="G7" s="129">
        <f>SUM('Quarter supply'!N110:N113)</f>
        <v>6580.5300000000007</v>
      </c>
      <c r="H7" s="129">
        <v>0</v>
      </c>
      <c r="I7" s="129">
        <f>SUM('Quarter supply'!O110:O113)</f>
        <v>3760.3500000000004</v>
      </c>
      <c r="J7" s="129">
        <v>0</v>
      </c>
      <c r="K7" s="141">
        <f t="shared" si="0"/>
        <v>138919.97000000003</v>
      </c>
      <c r="L7" s="124">
        <f>SUM('Quarter supply'!I114:I117)</f>
        <v>1102.29</v>
      </c>
      <c r="M7" s="124">
        <f>SUM('Quarter supply'!J114:J117)</f>
        <v>641.86999999999989</v>
      </c>
      <c r="N7" s="124">
        <f>SUM('Quarter supply'!K114:K117)</f>
        <v>47498.990000000005</v>
      </c>
      <c r="O7" s="124">
        <f>SUM('Quarter supply'!L114:L117)</f>
        <v>36301.56</v>
      </c>
      <c r="P7" s="124">
        <f>SUM('Quarter supply'!M114:M117)</f>
        <v>39870.32</v>
      </c>
      <c r="Q7" s="124">
        <f>SUM('Quarter supply'!N114:N117)</f>
        <v>6954.41</v>
      </c>
      <c r="R7" s="126">
        <v>0</v>
      </c>
      <c r="S7" s="126">
        <f>SUM('Quarter supply'!O114:O117)</f>
        <v>3777.25</v>
      </c>
      <c r="T7" s="126">
        <v>0</v>
      </c>
      <c r="U7" s="126">
        <f t="shared" si="1"/>
        <v>136146.69</v>
      </c>
    </row>
    <row r="8" spans="1:21" ht="15.5" x14ac:dyDescent="0.35">
      <c r="A8" s="133" t="s">
        <v>71</v>
      </c>
      <c r="B8" s="210">
        <f>SUM('Quarter supply'!Q110:Q113)</f>
        <v>-725.62999999999988</v>
      </c>
      <c r="C8" s="129">
        <f>SUM('Quarter supply'!R110:R113)</f>
        <v>-4.79</v>
      </c>
      <c r="D8" s="129">
        <f>SUM('Quarter supply'!S110:S113)</f>
        <v>-30943.85</v>
      </c>
      <c r="E8" s="129">
        <f>SUM('Quarter supply'!T110:T113)</f>
        <v>-20740.7</v>
      </c>
      <c r="F8" s="129">
        <f>SUM('Quarter supply'!U110:U113)</f>
        <v>-10182.93</v>
      </c>
      <c r="G8" s="129">
        <f>SUM('Quarter supply'!V110:V113)</f>
        <v>-590.25</v>
      </c>
      <c r="H8" s="129">
        <v>0</v>
      </c>
      <c r="I8" s="129">
        <f>SUM('Quarter supply'!W110:W113)</f>
        <v>-887.81</v>
      </c>
      <c r="J8" s="129">
        <v>0</v>
      </c>
      <c r="K8" s="141">
        <f t="shared" si="0"/>
        <v>-64075.96</v>
      </c>
      <c r="L8" s="126">
        <f>SUM('Quarter supply'!Q114:Q117)</f>
        <v>-393.56</v>
      </c>
      <c r="M8" s="126">
        <f>SUM('Quarter supply'!R114:R117)</f>
        <v>-2.48</v>
      </c>
      <c r="N8" s="124">
        <f>SUM('Quarter supply'!S114:S117)</f>
        <v>-30064.68</v>
      </c>
      <c r="O8" s="126">
        <f>SUM('Quarter supply'!T114:T117)</f>
        <v>-19290.57</v>
      </c>
      <c r="P8" s="126">
        <f>SUM('Quarter supply'!U114:U117)</f>
        <v>-11445.26</v>
      </c>
      <c r="Q8" s="126">
        <f>SUM('Quarter supply'!V114:V117)</f>
        <v>-549.48</v>
      </c>
      <c r="R8" s="126">
        <v>0</v>
      </c>
      <c r="S8" s="126">
        <f>SUM('Quarter supply'!W114:W117)</f>
        <v>-1220.96</v>
      </c>
      <c r="T8" s="125">
        <v>0</v>
      </c>
      <c r="U8" s="126">
        <f t="shared" si="1"/>
        <v>-62966.990000000005</v>
      </c>
    </row>
    <row r="9" spans="1:21" ht="15.5" x14ac:dyDescent="0.35">
      <c r="A9" s="133" t="s">
        <v>72</v>
      </c>
      <c r="B9" s="210">
        <v>0</v>
      </c>
      <c r="C9" s="129">
        <v>0</v>
      </c>
      <c r="D9" s="129">
        <v>0</v>
      </c>
      <c r="E9" s="129">
        <f>SUM('Quarter supply'!Y110:Y113)</f>
        <v>-2054.96</v>
      </c>
      <c r="F9" s="129">
        <v>0</v>
      </c>
      <c r="G9" s="129">
        <v>0</v>
      </c>
      <c r="H9" s="129">
        <v>0</v>
      </c>
      <c r="I9" s="129">
        <v>0</v>
      </c>
      <c r="J9" s="129">
        <v>0</v>
      </c>
      <c r="K9" s="141">
        <f t="shared" si="0"/>
        <v>-2054.96</v>
      </c>
      <c r="L9" s="126">
        <v>0</v>
      </c>
      <c r="M9" s="126">
        <v>0</v>
      </c>
      <c r="N9" s="124">
        <v>0</v>
      </c>
      <c r="O9" s="126">
        <f>SUM('Quarter supply'!Y114:Y117)</f>
        <v>-1919.7400000000002</v>
      </c>
      <c r="P9" s="126">
        <v>0</v>
      </c>
      <c r="Q9" s="126">
        <v>0</v>
      </c>
      <c r="R9" s="126">
        <v>0</v>
      </c>
      <c r="S9" s="126">
        <v>0</v>
      </c>
      <c r="T9" s="126">
        <v>0</v>
      </c>
      <c r="U9" s="126">
        <f t="shared" si="1"/>
        <v>-1919.7400000000002</v>
      </c>
    </row>
    <row r="10" spans="1:21" ht="15.5" x14ac:dyDescent="0.35">
      <c r="A10" s="133" t="s">
        <v>166</v>
      </c>
      <c r="B10" s="210">
        <f>SUM('Quarter supply'!AA110:AA113)</f>
        <v>923.09</v>
      </c>
      <c r="C10" s="129">
        <f>SUM('Quarter supply'!AB110:AB113)</f>
        <v>134.42000000000002</v>
      </c>
      <c r="D10" s="129">
        <f>SUM('Quarter supply'!AC110:AC113)</f>
        <v>590.1099999999999</v>
      </c>
      <c r="E10" s="129">
        <f>SUM('Quarter supply'!AD110:AD113)</f>
        <v>-610.43000000000006</v>
      </c>
      <c r="F10" s="129">
        <f>SUM('Quarter supply'!AE110:AE113)</f>
        <v>231.42999999999995</v>
      </c>
      <c r="G10" s="129">
        <f>SUM('Quarter supply'!AF110:AF113)</f>
        <v>-4.4800000000000004</v>
      </c>
      <c r="H10" s="129">
        <v>0</v>
      </c>
      <c r="I10" s="129">
        <v>0</v>
      </c>
      <c r="J10" s="129">
        <v>0</v>
      </c>
      <c r="K10" s="141">
        <f t="shared" si="0"/>
        <v>1264.1399999999999</v>
      </c>
      <c r="L10" s="124">
        <f>SUM('Quarter supply'!AA114:AA117)</f>
        <v>-158.91</v>
      </c>
      <c r="M10" s="126">
        <f>SUM('Quarter supply'!AB114:AB117)</f>
        <v>-55.69</v>
      </c>
      <c r="N10" s="124">
        <f>SUM('Quarter supply'!AC114:AC117)</f>
        <v>524.54</v>
      </c>
      <c r="O10" s="126">
        <f>SUM('Quarter supply'!AD114:AD117)</f>
        <v>-53.669999999999987</v>
      </c>
      <c r="P10" s="126">
        <f>SUM('Quarter supply'!AE114:AE117)</f>
        <v>738.20999999999992</v>
      </c>
      <c r="Q10" s="126">
        <f>SUM('Quarter supply'!AF114:AF117)</f>
        <v>-4.4800000000000004</v>
      </c>
      <c r="R10" s="126">
        <v>0</v>
      </c>
      <c r="S10" s="126">
        <v>0</v>
      </c>
      <c r="T10" s="126">
        <v>0</v>
      </c>
      <c r="U10" s="126">
        <f t="shared" si="1"/>
        <v>989.99999999999989</v>
      </c>
    </row>
    <row r="11" spans="1:21" s="16" customFormat="1" ht="15.5" x14ac:dyDescent="0.35">
      <c r="A11" s="134" t="s">
        <v>36</v>
      </c>
      <c r="B11" s="211">
        <f>SUM('Quarter supply'!AH110:AH113)</f>
        <v>1437.04</v>
      </c>
      <c r="C11" s="130">
        <f>SUM('Quarter supply'!AI110:AI113)</f>
        <v>1097.07</v>
      </c>
      <c r="D11" s="130">
        <f>SUM('Quarter supply'!AJ110:AJ113)</f>
        <v>55351.049999999996</v>
      </c>
      <c r="E11" s="130">
        <f>SUM('Quarter supply'!AK110:AK113)</f>
        <v>11659.13</v>
      </c>
      <c r="F11" s="130">
        <f>SUM('Quarter supply'!AL110:AL113)</f>
        <v>58591.81</v>
      </c>
      <c r="G11" s="130">
        <f>SUM('Quarter supply'!AM110:AM113)</f>
        <v>20178.43</v>
      </c>
      <c r="H11" s="130">
        <f>SUM('Quarter supply'!AN110:AN113)</f>
        <v>17766.09</v>
      </c>
      <c r="I11" s="130">
        <f>SUM('Quarter supply'!AO110:AO113)</f>
        <v>2872.5400000000004</v>
      </c>
      <c r="J11" s="130">
        <v>0</v>
      </c>
      <c r="K11" s="142">
        <f t="shared" si="0"/>
        <v>168953.16</v>
      </c>
      <c r="L11" s="127">
        <f>SUM('Quarter supply'!AH114:AH117)</f>
        <v>636.08000000000015</v>
      </c>
      <c r="M11" s="127">
        <f>SUM('Quarter supply'!AI114:AI117)</f>
        <v>583.70000000000005</v>
      </c>
      <c r="N11" s="127">
        <f>SUM('Quarter supply'!AJ114:AJ117)</f>
        <v>52112.750000000007</v>
      </c>
      <c r="O11" s="128">
        <f>SUM('Quarter supply'!AK114:AK117)</f>
        <v>15037.58</v>
      </c>
      <c r="P11" s="127">
        <f>SUM('Quarter supply'!AL114:AL117)</f>
        <v>57760.000000000007</v>
      </c>
      <c r="Q11" s="127">
        <f>SUM('Quarter supply'!AM114:AM117)</f>
        <v>20125.330000000002</v>
      </c>
      <c r="R11" s="127">
        <f>SUM('Quarter supply'!AN114:AN117)</f>
        <v>17434.88</v>
      </c>
      <c r="S11" s="128">
        <f>SUM('Quarter supply'!AO114:AO117)</f>
        <v>2556.29</v>
      </c>
      <c r="T11" s="128">
        <v>0</v>
      </c>
      <c r="U11" s="128">
        <f t="shared" si="1"/>
        <v>166246.61000000002</v>
      </c>
    </row>
    <row r="12" spans="1:21" ht="15.5" x14ac:dyDescent="0.35">
      <c r="A12" s="133" t="s">
        <v>167</v>
      </c>
      <c r="B12" s="210">
        <f>SUM('Quarter supply'!AQ110:AQ113)</f>
        <v>-9.0099999999999909</v>
      </c>
      <c r="C12" s="129">
        <f>SUM('Quarter supply'!AR110:AR113)</f>
        <v>0.18000000000006366</v>
      </c>
      <c r="D12" s="129">
        <f>SUM('Quarter supply'!AS110:AS113)</f>
        <v>-61.460000000004584</v>
      </c>
      <c r="E12" s="129">
        <f>SUM('Quarter supply'!AT110:AT113)</f>
        <v>18.899999999998272</v>
      </c>
      <c r="F12" s="129">
        <f>SUM('Quarter supply'!AU110:AU113)</f>
        <v>299.19000000000051</v>
      </c>
      <c r="G12" s="129">
        <f>SUM('Quarter supply'!AV110:AV113)</f>
        <v>2.9999999999745341E-2</v>
      </c>
      <c r="H12" s="129">
        <f>SUM('Quarter supply'!AW110:AW113)</f>
        <v>1.0000000000218279E-2</v>
      </c>
      <c r="I12" s="129">
        <f>SUM('Quarter supply'!AX110:AX113)</f>
        <v>5.0000000000011369</v>
      </c>
      <c r="J12" s="129">
        <v>0</v>
      </c>
      <c r="K12" s="141">
        <f t="shared" si="0"/>
        <v>252.83999999999537</v>
      </c>
      <c r="L12" s="126">
        <f>SUM('Quarter supply'!AQ114:AQ117)</f>
        <v>-6.6299999999999386</v>
      </c>
      <c r="M12" s="126">
        <f>SUM('Quarter supply'!AR114:AR117)</f>
        <v>-0.40000000000003411</v>
      </c>
      <c r="N12" s="124">
        <f>SUM('Quarter supply'!AS114:AS117)</f>
        <v>13.770000000005894</v>
      </c>
      <c r="O12" s="126">
        <f>SUM('Quarter supply'!AT114:AT117)</f>
        <v>-42.629999999993288</v>
      </c>
      <c r="P12" s="124">
        <f>SUM('Quarter supply'!AU114:AU117)</f>
        <v>-30.01999999999498</v>
      </c>
      <c r="Q12" s="125">
        <f>SUM('Quarter supply'!AV114:AV117)</f>
        <v>9.0949470177292824E-13</v>
      </c>
      <c r="R12" s="125">
        <f>SUM('Quarter supply'!AW114:AW117)</f>
        <v>-1.999999999998181E-2</v>
      </c>
      <c r="S12" s="124">
        <f>SUM('Quarter supply'!AX114:AX117)</f>
        <v>5.9499999999999318</v>
      </c>
      <c r="T12" s="125">
        <v>0</v>
      </c>
      <c r="U12" s="126">
        <f t="shared" si="1"/>
        <v>-59.979999999981487</v>
      </c>
    </row>
    <row r="13" spans="1:21" s="16" customFormat="1" ht="15.5" x14ac:dyDescent="0.35">
      <c r="A13" s="134" t="s">
        <v>37</v>
      </c>
      <c r="B13" s="211">
        <f>SUM('Quarter supply'!AZ110:AZ113)</f>
        <v>1446.0500000000002</v>
      </c>
      <c r="C13" s="130">
        <f>SUM('Quarter supply'!BA110:BA113)</f>
        <v>1096.8900000000001</v>
      </c>
      <c r="D13" s="130">
        <f>SUM('Quarter supply'!BB110:BB113)</f>
        <v>55412.51</v>
      </c>
      <c r="E13" s="130">
        <f>SUM('Quarter supply'!BC110:BC113)</f>
        <v>11640.230000000001</v>
      </c>
      <c r="F13" s="130">
        <f>SUM('Quarter supply'!BD110:BD113)</f>
        <v>58292.619999999995</v>
      </c>
      <c r="G13" s="130">
        <f>SUM('Quarter supply'!BE110:BE113)</f>
        <v>20178.400000000001</v>
      </c>
      <c r="H13" s="130">
        <f>SUM('Quarter supply'!BF110:BF113)</f>
        <v>17766.080000000002</v>
      </c>
      <c r="I13" s="130">
        <f>SUM('Quarter supply'!BG110:BG113)</f>
        <v>2867.5399999999991</v>
      </c>
      <c r="J13" s="130">
        <v>0</v>
      </c>
      <c r="K13" s="142">
        <f t="shared" si="0"/>
        <v>168700.32000000004</v>
      </c>
      <c r="L13" s="127">
        <f>SUM('Quarter supply'!AZ114:AZ117)</f>
        <v>642.71</v>
      </c>
      <c r="M13" s="127">
        <f>SUM('Quarter supply'!BA114:BA117)</f>
        <v>584.1</v>
      </c>
      <c r="N13" s="127">
        <f>SUM('Quarter supply'!BB114:BB117)</f>
        <v>52098.979999999996</v>
      </c>
      <c r="O13" s="128">
        <f>SUM('Quarter supply'!BC114:BC117)</f>
        <v>15080.209999999994</v>
      </c>
      <c r="P13" s="127">
        <f>SUM('Quarter supply'!BD114:BD117)</f>
        <v>57790.020000000004</v>
      </c>
      <c r="Q13" s="127">
        <f>SUM('Quarter supply'!BE114:BE117)</f>
        <v>20125.330000000002</v>
      </c>
      <c r="R13" s="127">
        <f>SUM('Quarter supply'!BF114:BF117)</f>
        <v>17434.900000000001</v>
      </c>
      <c r="S13" s="127">
        <f>SUM('Quarter supply'!BG114:BG117)</f>
        <v>2550.34</v>
      </c>
      <c r="T13" s="128">
        <v>0</v>
      </c>
      <c r="U13" s="128">
        <f t="shared" si="1"/>
        <v>166306.58999999997</v>
      </c>
    </row>
    <row r="14" spans="1:21" ht="15.5" x14ac:dyDescent="0.35">
      <c r="A14" s="133" t="s">
        <v>168</v>
      </c>
      <c r="B14" s="210">
        <f>SUM('Quarter demand'!L110:L113)</f>
        <v>0</v>
      </c>
      <c r="C14" s="129">
        <f>SUM('Quarter demand'!M110:M113)</f>
        <v>13.05</v>
      </c>
      <c r="D14" s="129">
        <f>SUM('Quarter demand'!N110:N113)</f>
        <v>646.15000000000009</v>
      </c>
      <c r="E14" s="129">
        <f>SUM('Quarter demand'!O110:O113)</f>
        <v>-542.84</v>
      </c>
      <c r="F14" s="129">
        <f>SUM('Quarter demand'!P110:P113)</f>
        <v>645.16999999999996</v>
      </c>
      <c r="G14" s="129">
        <f>SUM('Quarter demand'!Q110:Q113)</f>
        <v>-678.5</v>
      </c>
      <c r="H14" s="129">
        <f>SUM('Quarter demand'!R110:R113)</f>
        <v>-8949</v>
      </c>
      <c r="I14" s="129">
        <f>SUM('Quarter demand'!S110:S113)</f>
        <v>8949</v>
      </c>
      <c r="J14" s="129">
        <v>0</v>
      </c>
      <c r="K14" s="141">
        <f t="shared" ref="K14:K31" si="2">SUM(B14:J14)</f>
        <v>83.030000000000655</v>
      </c>
      <c r="L14" s="125">
        <f>+SUM('Quarter demand'!L114:L117)</f>
        <v>0</v>
      </c>
      <c r="M14" s="126">
        <f>+SUM('Quarter demand'!M114:M117)</f>
        <v>-9.9499999999999993</v>
      </c>
      <c r="N14" s="124">
        <f>SUM('Quarter demand'!N114:N117)</f>
        <v>1158.4600000000003</v>
      </c>
      <c r="O14" s="126">
        <f>SUM('Quarter demand'!O114:O117)</f>
        <v>-1149.17</v>
      </c>
      <c r="P14" s="126">
        <f>SUM('Quarter demand'!P114:P117)</f>
        <v>642.70000000000005</v>
      </c>
      <c r="Q14" s="126">
        <f>SUM('Quarter demand'!Q114:Q117)</f>
        <v>-676.64</v>
      </c>
      <c r="R14" s="126">
        <f>SUM('Quarter demand'!R114:R117)</f>
        <v>-9646.869999999999</v>
      </c>
      <c r="S14" s="126">
        <f>SUM('Quarter demand'!S114:S117)</f>
        <v>9646.869999999999</v>
      </c>
      <c r="T14" s="126">
        <v>0</v>
      </c>
      <c r="U14" s="126">
        <f t="shared" ref="U14:U24" si="3">SUM(L14:T14)</f>
        <v>-34.600000000000364</v>
      </c>
    </row>
    <row r="15" spans="1:21" s="16" customFormat="1" ht="15.5" x14ac:dyDescent="0.35">
      <c r="A15" s="134" t="s">
        <v>163</v>
      </c>
      <c r="B15" s="211">
        <f>SUM('Quarter demand'!U110:U113)</f>
        <v>-939.97</v>
      </c>
      <c r="C15" s="130">
        <f>SUM('Quarter demand'!V110:V113)</f>
        <v>-613.27999999999986</v>
      </c>
      <c r="D15" s="130">
        <f>SUM('Quarter demand'!W110:W113)</f>
        <v>-56058.66</v>
      </c>
      <c r="E15" s="130">
        <f>SUM('Quarter demand'!X110:X113)</f>
        <v>54910.16</v>
      </c>
      <c r="F15" s="130">
        <f>SUM('Quarter demand'!Y110:Y113)</f>
        <v>-17753.43</v>
      </c>
      <c r="G15" s="130">
        <f>SUM('Quarter demand'!Z110:Z113)</f>
        <v>-12173.78</v>
      </c>
      <c r="H15" s="130">
        <f>SUM('Quarter demand'!AA110:AA113)</f>
        <v>-8817.08</v>
      </c>
      <c r="I15" s="130">
        <f>SUM('Quarter demand'!AB110:AB113)</f>
        <v>15331.2</v>
      </c>
      <c r="J15" s="130">
        <f>SUM('Quarter demand'!AC110:AC113)</f>
        <v>1545.99</v>
      </c>
      <c r="K15" s="142">
        <f t="shared" si="2"/>
        <v>-24568.85</v>
      </c>
      <c r="L15" s="127">
        <f>SUM('Quarter demand'!U114:U117)</f>
        <v>-196.18</v>
      </c>
      <c r="M15" s="128">
        <f>SUM('Quarter demand'!V114:V117)</f>
        <v>-322.95000000000005</v>
      </c>
      <c r="N15" s="127">
        <f>SUM('Quarter demand'!W114:W117)</f>
        <v>-53257.440000000002</v>
      </c>
      <c r="O15" s="128">
        <f>SUM('Quarter demand'!X114:X117)</f>
        <v>52277.16</v>
      </c>
      <c r="P15" s="128">
        <f>SUM('Quarter demand'!Y114:Y117)</f>
        <v>-18545.97</v>
      </c>
      <c r="Q15" s="128">
        <f>SUM('Quarter demand'!Z114:Z117)</f>
        <v>-12126.539999999999</v>
      </c>
      <c r="R15" s="128">
        <f>SUM('Quarter demand'!AA114:AA117)</f>
        <v>-7788.03</v>
      </c>
      <c r="S15" s="128">
        <f>SUM('Quarter demand'!AB114:AB117)</f>
        <v>15053.85</v>
      </c>
      <c r="T15" s="128">
        <f>SUM('Quarter demand'!AC114:AC117)</f>
        <v>1545.99</v>
      </c>
      <c r="U15" s="128">
        <f t="shared" si="3"/>
        <v>-23360.109999999997</v>
      </c>
    </row>
    <row r="16" spans="1:21" ht="15.5" x14ac:dyDescent="0.35">
      <c r="A16" s="133" t="s">
        <v>91</v>
      </c>
      <c r="B16" s="210">
        <f>SUM('Quarter demand'!AE110:AE113)</f>
        <v>-415.33</v>
      </c>
      <c r="C16" s="129">
        <f>SUM('Quarter demand'!AF110:AF113)</f>
        <v>-272.60000000000002</v>
      </c>
      <c r="D16" s="129">
        <v>0</v>
      </c>
      <c r="E16" s="129">
        <f>SUM('Quarter demand'!AG110:AG113)</f>
        <v>-385.98</v>
      </c>
      <c r="F16" s="129">
        <f>SUM('Quarter demand'!AH110:AH113)</f>
        <v>-15453.8</v>
      </c>
      <c r="G16" s="129">
        <f>SUM('Quarter demand'!AI110:AI113)</f>
        <v>-11927.94</v>
      </c>
      <c r="H16" s="129">
        <f>SUM('Quarter demand'!AJ110:AJ113)</f>
        <v>-8817.08</v>
      </c>
      <c r="I16" s="129">
        <f>SUM('Quarter demand'!AK110:AK113)</f>
        <v>15331.2</v>
      </c>
      <c r="J16" s="129">
        <v>0</v>
      </c>
      <c r="K16" s="141">
        <f t="shared" si="2"/>
        <v>-21941.530000000002</v>
      </c>
      <c r="L16" s="124">
        <f>SUM('Quarter demand'!AE114:AE117)</f>
        <v>0</v>
      </c>
      <c r="M16" s="124">
        <f>SUM('Quarter demand'!AF114:AF117)</f>
        <v>-128.84</v>
      </c>
      <c r="N16" s="124">
        <v>0</v>
      </c>
      <c r="O16" s="126">
        <f>SUM('Quarter demand'!AG114:AG117)</f>
        <v>-385.98</v>
      </c>
      <c r="P16" s="126">
        <f>SUM('Quarter demand'!AH114:AH117)</f>
        <v>-16246.34</v>
      </c>
      <c r="Q16" s="126">
        <f>SUM('Quarter demand'!AI114:AI117)</f>
        <v>-11880.77</v>
      </c>
      <c r="R16" s="126">
        <f>SUM('Quarter demand'!AJ114:AJ117)</f>
        <v>-7788.03</v>
      </c>
      <c r="S16" s="126">
        <f>SUM('Quarter demand'!AK114:AK117)</f>
        <v>15053.85</v>
      </c>
      <c r="T16" s="126">
        <v>0</v>
      </c>
      <c r="U16" s="126">
        <f t="shared" si="3"/>
        <v>-21376.11</v>
      </c>
    </row>
    <row r="17" spans="1:21" ht="15.5" x14ac:dyDescent="0.35">
      <c r="A17" s="133" t="s">
        <v>74</v>
      </c>
      <c r="B17" s="210">
        <f>SUM('Quarter demand'!AM110:AM113)</f>
        <v>0</v>
      </c>
      <c r="C17" s="129">
        <f>SUM('Quarter demand'!AN110:AN113)</f>
        <v>0</v>
      </c>
      <c r="D17" s="129">
        <v>0</v>
      </c>
      <c r="E17" s="129">
        <f>SUM('Quarter demand'!AO110:AO113)</f>
        <v>-50.69</v>
      </c>
      <c r="F17" s="129">
        <f>SUM('Quarter demand'!AP110:AP113)</f>
        <v>-2299.63</v>
      </c>
      <c r="G17" s="129">
        <f>SUM('Quarter demand'!AQ110:AQ113)</f>
        <v>-245.84</v>
      </c>
      <c r="H17" s="129">
        <v>0</v>
      </c>
      <c r="I17" s="129">
        <v>0</v>
      </c>
      <c r="J17" s="129">
        <f>SUM('Quarter demand'!AR110:AR113)</f>
        <v>1545.99</v>
      </c>
      <c r="K17" s="141">
        <f t="shared" si="2"/>
        <v>-1050.1700000000003</v>
      </c>
      <c r="L17" s="124">
        <f>SUM('Quarter demand'!AM114:AM117)</f>
        <v>0</v>
      </c>
      <c r="M17" s="124">
        <f>SUM('Quarter demand'!AN114:AN117)</f>
        <v>0</v>
      </c>
      <c r="N17" s="124">
        <v>0</v>
      </c>
      <c r="O17" s="126">
        <f>SUM('Quarter demand'!AO114:AO117)</f>
        <v>-50.69</v>
      </c>
      <c r="P17" s="126">
        <f>SUM('Quarter demand'!AP114:AP117)</f>
        <v>-2299.63</v>
      </c>
      <c r="Q17" s="126">
        <f>SUM('Quarter demand'!AQ114:AQ117)</f>
        <v>-245.76999999999998</v>
      </c>
      <c r="R17" s="126">
        <v>0</v>
      </c>
      <c r="S17" s="126">
        <v>0</v>
      </c>
      <c r="T17" s="126">
        <f>SUM('Quarter demand'!AR114:AR117)</f>
        <v>1545.99</v>
      </c>
      <c r="U17" s="126">
        <f t="shared" si="3"/>
        <v>-1050.1000000000001</v>
      </c>
    </row>
    <row r="18" spans="1:21" ht="15.5" x14ac:dyDescent="0.35">
      <c r="A18" s="133" t="s">
        <v>75</v>
      </c>
      <c r="B18" s="210">
        <v>0</v>
      </c>
      <c r="C18" s="129">
        <v>0</v>
      </c>
      <c r="D18" s="129">
        <f>SUM('Quarter demand'!AT110:AT113)</f>
        <v>-56355.09</v>
      </c>
      <c r="E18" s="129">
        <f>SUM('Quarter demand'!AU110:AU113)</f>
        <v>55736.07</v>
      </c>
      <c r="F18" s="129">
        <v>0</v>
      </c>
      <c r="G18" s="129">
        <v>0</v>
      </c>
      <c r="H18" s="129">
        <v>0</v>
      </c>
      <c r="I18" s="129">
        <v>0</v>
      </c>
      <c r="J18" s="129">
        <v>0</v>
      </c>
      <c r="K18" s="141">
        <f t="shared" si="2"/>
        <v>-619.0199999999968</v>
      </c>
      <c r="L18" s="126">
        <v>0</v>
      </c>
      <c r="M18" s="126">
        <v>0</v>
      </c>
      <c r="N18" s="124">
        <f>SUM('Quarter demand'!AT114:AT117)</f>
        <v>-53505.539999999994</v>
      </c>
      <c r="O18" s="124">
        <f>SUM('Quarter demand'!AU114:AU117)</f>
        <v>53048.29</v>
      </c>
      <c r="P18" s="126">
        <v>0</v>
      </c>
      <c r="Q18" s="126">
        <v>0</v>
      </c>
      <c r="R18" s="126">
        <v>0</v>
      </c>
      <c r="S18" s="126">
        <v>0</v>
      </c>
      <c r="T18" s="126">
        <v>0</v>
      </c>
      <c r="U18" s="126">
        <f t="shared" si="3"/>
        <v>-457.24999999999272</v>
      </c>
    </row>
    <row r="19" spans="1:21" ht="15.5" x14ac:dyDescent="0.35">
      <c r="A19" s="133" t="s">
        <v>76</v>
      </c>
      <c r="B19" s="210">
        <f>SUM('Quarter demand'!AW110:AW113)</f>
        <v>-103.42</v>
      </c>
      <c r="C19" s="129">
        <f>SUM('Quarter demand'!AX110:AX113)</f>
        <v>99.539999999999992</v>
      </c>
      <c r="D19" s="129">
        <v>0</v>
      </c>
      <c r="E19" s="129">
        <f>SUM('Quarter demand'!AY110:AY113)</f>
        <v>0</v>
      </c>
      <c r="F19" s="129">
        <v>0</v>
      </c>
      <c r="G19" s="129">
        <v>0</v>
      </c>
      <c r="H19" s="129">
        <v>0</v>
      </c>
      <c r="I19" s="129">
        <v>0</v>
      </c>
      <c r="J19" s="129">
        <v>0</v>
      </c>
      <c r="K19" s="141">
        <f t="shared" si="2"/>
        <v>-3.8800000000000097</v>
      </c>
      <c r="L19" s="124">
        <f>SUM('Quarter demand'!AW114:AW117)</f>
        <v>0</v>
      </c>
      <c r="M19" s="124">
        <f>SUM('Quarter demand'!AX114:AX117)</f>
        <v>0</v>
      </c>
      <c r="N19" s="124">
        <v>0</v>
      </c>
      <c r="O19" s="124">
        <f>SUM('Quarter demand'!AY114:AY117)</f>
        <v>0</v>
      </c>
      <c r="P19" s="126">
        <v>0</v>
      </c>
      <c r="Q19" s="126">
        <v>0</v>
      </c>
      <c r="R19" s="126">
        <v>0</v>
      </c>
      <c r="S19" s="126">
        <v>0</v>
      </c>
      <c r="T19" s="126">
        <v>0</v>
      </c>
      <c r="U19" s="126">
        <f t="shared" si="3"/>
        <v>0</v>
      </c>
    </row>
    <row r="20" spans="1:21" ht="15.5" x14ac:dyDescent="0.35">
      <c r="A20" s="133" t="s">
        <v>77</v>
      </c>
      <c r="B20" s="210">
        <f>SUM('Quarter demand'!BA110:BA113)</f>
        <v>-328.31</v>
      </c>
      <c r="C20" s="129">
        <f>SUM('Quarter demand'!BB110:BB113)</f>
        <v>-577.27</v>
      </c>
      <c r="D20" s="129">
        <v>0</v>
      </c>
      <c r="E20" s="129">
        <f>SUM('Quarter demand'!BC110:BC113)</f>
        <v>0</v>
      </c>
      <c r="F20" s="129">
        <v>0</v>
      </c>
      <c r="G20" s="129">
        <v>0</v>
      </c>
      <c r="H20" s="129">
        <v>0</v>
      </c>
      <c r="I20" s="129">
        <v>0</v>
      </c>
      <c r="J20" s="129">
        <v>0</v>
      </c>
      <c r="K20" s="141">
        <f t="shared" si="2"/>
        <v>-905.57999999999993</v>
      </c>
      <c r="L20" s="126">
        <f>SUM('Quarter demand'!BA114:BA117)</f>
        <v>-151.99</v>
      </c>
      <c r="M20" s="126">
        <f>SUM('Quarter demand'!BB114:BB117)</f>
        <v>-300.28999999999996</v>
      </c>
      <c r="N20" s="124">
        <v>0</v>
      </c>
      <c r="O20" s="126">
        <f>SUM('Quarter demand'!BC114:BC117)</f>
        <v>0</v>
      </c>
      <c r="P20" s="126">
        <v>0</v>
      </c>
      <c r="Q20" s="126">
        <v>0</v>
      </c>
      <c r="R20" s="126">
        <v>0</v>
      </c>
      <c r="S20" s="126">
        <v>0</v>
      </c>
      <c r="T20" s="126">
        <v>0</v>
      </c>
      <c r="U20" s="126">
        <f t="shared" si="3"/>
        <v>-452.28</v>
      </c>
    </row>
    <row r="21" spans="1:21" ht="15.5" x14ac:dyDescent="0.35">
      <c r="A21" s="133" t="s">
        <v>78</v>
      </c>
      <c r="B21" s="210">
        <f>SUM('Quarter demand'!BE110:BE113)</f>
        <v>-92.91</v>
      </c>
      <c r="C21" s="129">
        <f>SUM('Quarter demand'!BF110:BF113)</f>
        <v>137.05000000000001</v>
      </c>
      <c r="D21" s="129">
        <v>0</v>
      </c>
      <c r="E21" s="129">
        <f>SUM('Quarter demand'!BG110:BG113)</f>
        <v>-67.58</v>
      </c>
      <c r="F21" s="129">
        <v>0</v>
      </c>
      <c r="G21" s="129">
        <v>0</v>
      </c>
      <c r="H21" s="129">
        <v>0</v>
      </c>
      <c r="I21" s="129">
        <v>0</v>
      </c>
      <c r="J21" s="129">
        <v>0</v>
      </c>
      <c r="K21" s="141">
        <f t="shared" si="2"/>
        <v>-23.439999999999984</v>
      </c>
      <c r="L21" s="126">
        <f>SUM('Quarter demand'!BE114:BE117)</f>
        <v>-44.19</v>
      </c>
      <c r="M21" s="126">
        <f>SUM('Quarter demand'!BF114:BF117)</f>
        <v>106.18</v>
      </c>
      <c r="N21" s="126">
        <v>0</v>
      </c>
      <c r="O21" s="126">
        <f>SUM('Quarter demand'!BG114:BG117)</f>
        <v>-65.44</v>
      </c>
      <c r="P21" s="126">
        <v>0</v>
      </c>
      <c r="Q21" s="126">
        <v>0</v>
      </c>
      <c r="R21" s="126">
        <v>0</v>
      </c>
      <c r="S21" s="126">
        <v>0</v>
      </c>
      <c r="T21" s="126">
        <v>0</v>
      </c>
      <c r="U21" s="126">
        <f t="shared" si="3"/>
        <v>-3.4499999999999886</v>
      </c>
    </row>
    <row r="22" spans="1:21" ht="15.5" x14ac:dyDescent="0.35">
      <c r="A22" s="133" t="s">
        <v>169</v>
      </c>
      <c r="B22" s="210">
        <v>0</v>
      </c>
      <c r="C22" s="129">
        <v>0</v>
      </c>
      <c r="D22" s="129">
        <f>SUM('Quarter demand'!BI110:BI113)</f>
        <v>296.42999999999995</v>
      </c>
      <c r="E22" s="129">
        <f>SUM('Quarter demand'!BJ110:BJ113)</f>
        <v>-321.65999999999997</v>
      </c>
      <c r="F22" s="129">
        <v>0</v>
      </c>
      <c r="G22" s="129">
        <v>0</v>
      </c>
      <c r="H22" s="129">
        <v>0</v>
      </c>
      <c r="I22" s="129">
        <v>0</v>
      </c>
      <c r="J22" s="129">
        <v>0</v>
      </c>
      <c r="K22" s="141">
        <f t="shared" si="2"/>
        <v>-25.230000000000018</v>
      </c>
      <c r="L22" s="126">
        <v>0</v>
      </c>
      <c r="M22" s="126">
        <v>0</v>
      </c>
      <c r="N22" s="126">
        <f>SUM('Quarter demand'!BI114:BI117)</f>
        <v>248.10000000000002</v>
      </c>
      <c r="O22" s="126">
        <f>SUM('Quarter demand'!BJ114:BJ117)</f>
        <v>-269.02</v>
      </c>
      <c r="P22" s="126">
        <v>0</v>
      </c>
      <c r="Q22" s="126">
        <v>0</v>
      </c>
      <c r="R22" s="126">
        <v>0</v>
      </c>
      <c r="S22" s="126">
        <v>0</v>
      </c>
      <c r="T22" s="126">
        <v>0</v>
      </c>
      <c r="U22" s="126">
        <f t="shared" si="3"/>
        <v>-20.919999999999959</v>
      </c>
    </row>
    <row r="23" spans="1:21" ht="15.5" x14ac:dyDescent="0.35">
      <c r="A23" s="133" t="s">
        <v>45</v>
      </c>
      <c r="B23" s="210">
        <f>SUM('Quarter demand'!BL110:BL113)</f>
        <v>0</v>
      </c>
      <c r="C23" s="129">
        <f>SUM('Quarter demand'!BM110:BM113)</f>
        <v>133.76999999999998</v>
      </c>
      <c r="D23" s="129">
        <f>SUM('Quarter demand'!BN110:BN113)</f>
        <v>0</v>
      </c>
      <c r="E23" s="129">
        <f>SUM('Quarter demand'!BO110:BO113)</f>
        <v>3309.7300000000005</v>
      </c>
      <c r="F23" s="129">
        <f>SUM('Quarter demand'!BP110:BP113)</f>
        <v>3962.1000000000004</v>
      </c>
      <c r="G23" s="129">
        <f>SUM('Quarter demand'!BQ110:BQ113)</f>
        <v>0</v>
      </c>
      <c r="H23" s="129">
        <v>0</v>
      </c>
      <c r="I23" s="129">
        <f>SUM('Quarter demand'!BR110:BR113)</f>
        <v>1439.95</v>
      </c>
      <c r="J23" s="129">
        <f>SUM('Quarter demand'!BS110:BS113)</f>
        <v>323.16000000000003</v>
      </c>
      <c r="K23" s="141">
        <f t="shared" si="2"/>
        <v>9168.7100000000009</v>
      </c>
      <c r="L23" s="126">
        <f>SUM('Quarter demand'!BL114:BL117)</f>
        <v>0</v>
      </c>
      <c r="M23" s="126">
        <f>SUM('Quarter demand'!BM114:BM117)</f>
        <v>67.569999999999993</v>
      </c>
      <c r="N23" s="126">
        <f>SUM('Quarter demand'!BN114:BN117)</f>
        <v>0</v>
      </c>
      <c r="O23" s="126">
        <f>SUM('Quarter demand'!BO114:BO117)</f>
        <v>3043.8900000000003</v>
      </c>
      <c r="P23" s="126">
        <f>SUM('Quarter demand'!BP114:BP117)</f>
        <v>3730.5200000000004</v>
      </c>
      <c r="Q23" s="126">
        <f>SUM('Quarter demand'!BQ114:BQ117)</f>
        <v>0</v>
      </c>
      <c r="R23" s="126">
        <v>0</v>
      </c>
      <c r="S23" s="126">
        <f>SUM('Quarter demand'!BR114:BR117)</f>
        <v>1309.08</v>
      </c>
      <c r="T23" s="126">
        <f>SUM('Quarter demand'!BS114:BS117)</f>
        <v>323.16000000000003</v>
      </c>
      <c r="U23" s="126">
        <f t="shared" si="3"/>
        <v>8474.2200000000012</v>
      </c>
    </row>
    <row r="24" spans="1:21" ht="15.5" x14ac:dyDescent="0.35">
      <c r="A24" s="133" t="s">
        <v>46</v>
      </c>
      <c r="B24" s="210">
        <f>SUM('Quarter demand'!BU110:BU113)</f>
        <v>0</v>
      </c>
      <c r="C24" s="129">
        <f>SUM('Quarter demand'!BV110:BV113)</f>
        <v>34.050000000000004</v>
      </c>
      <c r="D24" s="129">
        <f>SUM('Quarter demand'!BW110:BW113)</f>
        <v>0</v>
      </c>
      <c r="E24" s="129">
        <f>SUM('Quarter demand'!BX110:BX113)</f>
        <v>0</v>
      </c>
      <c r="F24" s="129">
        <f>SUM('Quarter demand'!BY110:BY113)</f>
        <v>413.87</v>
      </c>
      <c r="G24" s="129">
        <f>SUM('Quarter demand'!BZ110:BZ113)</f>
        <v>0</v>
      </c>
      <c r="H24" s="129">
        <v>0</v>
      </c>
      <c r="I24" s="129">
        <f>SUM('Quarter demand'!CA110:CA113)</f>
        <v>2417.6099999999997</v>
      </c>
      <c r="J24" s="129">
        <v>0</v>
      </c>
      <c r="K24" s="141">
        <f t="shared" si="2"/>
        <v>2865.5299999999997</v>
      </c>
      <c r="L24" s="124">
        <f>SUM('Quarter demand'!BU114:BU117)</f>
        <v>0</v>
      </c>
      <c r="M24" s="124">
        <f>SUM('Quarter demand'!BV114:BV117)</f>
        <v>15.190000000000001</v>
      </c>
      <c r="N24" s="124">
        <f>SUM('Quarter demand'!BW114:BW117)</f>
        <v>0</v>
      </c>
      <c r="O24" s="124">
        <f>SUM('Quarter demand'!BX114:BX117)</f>
        <v>0</v>
      </c>
      <c r="P24" s="124">
        <f>SUM('Quarter demand'!BY114:BY117)</f>
        <v>342.47</v>
      </c>
      <c r="Q24" s="124">
        <f>SUM('Quarter demand'!BZ114:BZ117)</f>
        <v>0</v>
      </c>
      <c r="R24" s="126">
        <v>0</v>
      </c>
      <c r="S24" s="124">
        <f>SUM('Quarter demand'!CA114:CA117)</f>
        <v>2399.8999999999996</v>
      </c>
      <c r="T24" s="126">
        <v>0</v>
      </c>
      <c r="U24" s="126">
        <f t="shared" si="3"/>
        <v>2757.5599999999995</v>
      </c>
    </row>
    <row r="25" spans="1:21" s="16" customFormat="1" ht="15.5" x14ac:dyDescent="0.35">
      <c r="A25" s="134" t="s">
        <v>164</v>
      </c>
      <c r="B25" s="211">
        <f>SUM('Quarter final consumption'!C110:C113)</f>
        <v>506.08</v>
      </c>
      <c r="C25" s="130">
        <f>SUM('Quarter final consumption'!D110:D113)</f>
        <v>328.84000000000003</v>
      </c>
      <c r="D25" s="130">
        <v>0</v>
      </c>
      <c r="E25" s="130">
        <f>SUM('Quarter final consumption'!E110:E113)</f>
        <v>62697.82</v>
      </c>
      <c r="F25" s="130">
        <f>SUM('Quarter final consumption'!F110:F113)</f>
        <v>36808.39</v>
      </c>
      <c r="G25" s="130">
        <f>SUM('Quarter final consumption'!G110:G113)</f>
        <v>7326.119999999999</v>
      </c>
      <c r="H25" s="130">
        <v>0</v>
      </c>
      <c r="I25" s="130">
        <f>SUM('Quarter final consumption'!H110:H113)</f>
        <v>23290.18</v>
      </c>
      <c r="J25" s="130">
        <f>SUM('Quarter final consumption'!I110:I113)</f>
        <v>1222.82</v>
      </c>
      <c r="K25" s="142">
        <f t="shared" si="2"/>
        <v>132180.25</v>
      </c>
      <c r="L25" s="128">
        <f>SUM('Quarter final consumption'!C114:C117)</f>
        <v>446.53000000000003</v>
      </c>
      <c r="M25" s="128">
        <f>SUM('Quarter final consumption'!D114:D117)</f>
        <v>168.44</v>
      </c>
      <c r="N25" s="127">
        <v>0</v>
      </c>
      <c r="O25" s="128">
        <f>SUM('Quarter final consumption'!E114:E117)</f>
        <v>63164.31</v>
      </c>
      <c r="P25" s="128">
        <f>SUM('Quarter final consumption'!F114:F117)</f>
        <v>35813.760000000002</v>
      </c>
      <c r="Q25" s="128">
        <f>SUM('Quarter final consumption'!G114:G117)</f>
        <v>7322.15</v>
      </c>
      <c r="R25" s="128">
        <v>0</v>
      </c>
      <c r="S25" s="127">
        <f>SUM('Quarter final consumption'!H114:H117)</f>
        <v>23542.080000000002</v>
      </c>
      <c r="T25" s="127">
        <f>SUM('Quarter final consumption'!I114:I117)</f>
        <v>1222.82</v>
      </c>
      <c r="U25" s="128">
        <f t="shared" ref="U25:U31" si="4">SUM(L25:T25)</f>
        <v>131680.09</v>
      </c>
    </row>
    <row r="26" spans="1:21" ht="15.5" x14ac:dyDescent="0.35">
      <c r="A26" s="133" t="s">
        <v>80</v>
      </c>
      <c r="B26" s="210">
        <f>SUM('Quarter final consumption'!K110:K113)</f>
        <v>16.939999999999998</v>
      </c>
      <c r="C26" s="129">
        <f>SUM('Quarter final consumption'!L110:L113)</f>
        <v>182.01</v>
      </c>
      <c r="D26" s="129">
        <v>0</v>
      </c>
      <c r="E26" s="129">
        <f>SUM('Quarter final consumption'!M110:M113)</f>
        <v>18.12</v>
      </c>
      <c r="F26" s="129">
        <f>SUM('Quarter final consumption'!N110:N113)</f>
        <v>472.97999999999996</v>
      </c>
      <c r="G26" s="129">
        <f>SUM('Quarter final consumption'!O110:O113)</f>
        <v>0.02</v>
      </c>
      <c r="H26" s="129">
        <v>0</v>
      </c>
      <c r="I26" s="129">
        <f>SUM('Quarter final consumption'!P110:P113)</f>
        <v>165.06</v>
      </c>
      <c r="J26" s="129">
        <f>SUM('Quarter final consumption'!Q110:Q113)</f>
        <v>0</v>
      </c>
      <c r="K26" s="141">
        <f t="shared" si="2"/>
        <v>855.12999999999988</v>
      </c>
      <c r="L26" s="124">
        <f>SUM('Quarter final consumption'!K114:K117)</f>
        <v>4.5999999999999996</v>
      </c>
      <c r="M26" s="124">
        <f>SUM('Quarter final consumption'!L114:L117)</f>
        <v>51.9</v>
      </c>
      <c r="N26" s="124">
        <v>0</v>
      </c>
      <c r="O26" s="58">
        <f>SUM('Quarter final consumption'!M114:M117)</f>
        <v>20.36</v>
      </c>
      <c r="P26" s="126">
        <f>SUM('Quarter final consumption'!N114:N117)</f>
        <v>356.58000000000004</v>
      </c>
      <c r="Q26" s="126">
        <f>SUM('Quarter final consumption'!O114:O117)</f>
        <v>0.01</v>
      </c>
      <c r="R26" s="126">
        <v>0</v>
      </c>
      <c r="S26" s="124">
        <f>SUM('Quarter final consumption'!P114:P117)</f>
        <v>139.24</v>
      </c>
      <c r="T26" s="124">
        <f>SUM('Quarter final consumption'!Q114:Q117)</f>
        <v>0</v>
      </c>
      <c r="U26" s="126">
        <f t="shared" si="4"/>
        <v>572.69000000000005</v>
      </c>
    </row>
    <row r="27" spans="1:21" ht="15.5" x14ac:dyDescent="0.35">
      <c r="A27" s="133" t="s">
        <v>81</v>
      </c>
      <c r="B27" s="210">
        <f>SUM('Quarter final consumption'!S110:S113)</f>
        <v>440</v>
      </c>
      <c r="C27" s="129">
        <f>SUM('Quarter final consumption'!T110:T113)</f>
        <v>0</v>
      </c>
      <c r="D27" s="129">
        <v>0</v>
      </c>
      <c r="E27" s="129">
        <f>SUM('Quarter final consumption'!U110:U113)</f>
        <v>2109.7800000000002</v>
      </c>
      <c r="F27" s="129">
        <f>SUM('Quarter final consumption'!V110:V113)</f>
        <v>6516.86</v>
      </c>
      <c r="G27" s="129">
        <f>SUM('Quarter final consumption'!W110:W113)</f>
        <v>1757.41</v>
      </c>
      <c r="H27" s="129">
        <v>0</v>
      </c>
      <c r="I27" s="129">
        <f>SUM('Quarter final consumption'!X110:X113)</f>
        <v>6868.02</v>
      </c>
      <c r="J27" s="129">
        <f>SUM('Quarter final consumption'!Y110:Y113)</f>
        <v>614.16</v>
      </c>
      <c r="K27" s="141">
        <f t="shared" si="2"/>
        <v>18306.23</v>
      </c>
      <c r="L27" s="124">
        <f>SUM('Quarter final consumption'!S114:S117)</f>
        <v>409.25</v>
      </c>
      <c r="M27" s="124">
        <f>SUM('Quarter final consumption'!T114:T117)</f>
        <v>0</v>
      </c>
      <c r="N27" s="124">
        <v>0</v>
      </c>
      <c r="O27" s="126">
        <f>SUM('Quarter final consumption'!U114:U117)</f>
        <v>2096.84</v>
      </c>
      <c r="P27" s="126">
        <f>SUM('Quarter final consumption'!V114:V117)</f>
        <v>6024.8899999999994</v>
      </c>
      <c r="Q27" s="126">
        <f>SUM('Quarter final consumption'!W114:W117)</f>
        <v>1604.46</v>
      </c>
      <c r="R27" s="126">
        <v>0</v>
      </c>
      <c r="S27" s="126">
        <f>SUM('Quarter final consumption'!X114:X117)</f>
        <v>6667.09</v>
      </c>
      <c r="T27" s="126">
        <f>SUM('Quarter final consumption'!Y114:Y117)</f>
        <v>614.16</v>
      </c>
      <c r="U27" s="126">
        <f t="shared" si="4"/>
        <v>17416.689999999999</v>
      </c>
    </row>
    <row r="28" spans="1:21" ht="15.5" x14ac:dyDescent="0.35">
      <c r="A28" s="133" t="s">
        <v>64</v>
      </c>
      <c r="B28" s="210">
        <f>SUM('Quarter final consumption'!AA110:AA113)</f>
        <v>10.76</v>
      </c>
      <c r="C28" s="129">
        <v>0</v>
      </c>
      <c r="D28" s="129">
        <v>0</v>
      </c>
      <c r="E28" s="129">
        <f>SUM('Quarter final consumption'!AB110:AB113)</f>
        <v>49905.1</v>
      </c>
      <c r="F28" s="129">
        <f>SUM('Quarter final consumption'!AC110:AC113)</f>
        <v>155.49</v>
      </c>
      <c r="G28" s="129">
        <f>SUM('Quarter final consumption'!AD110:AD113)</f>
        <v>2743.88</v>
      </c>
      <c r="H28" s="129">
        <v>0</v>
      </c>
      <c r="I28" s="129">
        <f>SUM('Quarter final consumption'!AE110:AE113)</f>
        <v>1200.56</v>
      </c>
      <c r="J28" s="129">
        <v>0</v>
      </c>
      <c r="K28" s="141">
        <f t="shared" si="2"/>
        <v>54015.789999999994</v>
      </c>
      <c r="L28" s="124">
        <f>SUM('Quarter final consumption'!AA114:AA117)</f>
        <v>10.76</v>
      </c>
      <c r="M28" s="126">
        <v>0</v>
      </c>
      <c r="N28" s="124">
        <v>0</v>
      </c>
      <c r="O28" s="125">
        <f>SUM('Quarter final consumption'!AB114:AB117)</f>
        <v>50807.71</v>
      </c>
      <c r="P28" s="125">
        <f>SUM('Quarter final consumption'!AC114:AC117)</f>
        <v>155.49</v>
      </c>
      <c r="Q28" s="126">
        <f>SUM('Quarter final consumption'!AD114:AD117)</f>
        <v>2925.88</v>
      </c>
      <c r="R28" s="126">
        <v>0</v>
      </c>
      <c r="S28" s="126">
        <f>SUM('Quarter final consumption'!AE114:AE117)</f>
        <v>1424.12</v>
      </c>
      <c r="T28" s="126">
        <v>0</v>
      </c>
      <c r="U28" s="126">
        <f t="shared" si="4"/>
        <v>55323.96</v>
      </c>
    </row>
    <row r="29" spans="1:21" ht="15.5" x14ac:dyDescent="0.35">
      <c r="A29" s="133" t="s">
        <v>65</v>
      </c>
      <c r="B29" s="210">
        <f>SUM('Quarter final consumption'!AG110:AG113)</f>
        <v>28.580000000000002</v>
      </c>
      <c r="C29" s="129">
        <f>SUM('Quarter final consumption'!AH110:AH113)</f>
        <v>142.27000000000001</v>
      </c>
      <c r="D29" s="129">
        <v>0</v>
      </c>
      <c r="E29" s="129">
        <f>SUM('Quarter final consumption'!AI110:AI113)</f>
        <v>2335.1999999999998</v>
      </c>
      <c r="F29" s="129">
        <f>SUM('Quarter final consumption'!AJ110:AJ113)</f>
        <v>21753.64</v>
      </c>
      <c r="G29" s="129">
        <f>SUM('Quarter final consumption'!AK110:AK113)</f>
        <v>1346.26</v>
      </c>
      <c r="H29" s="129">
        <v>0</v>
      </c>
      <c r="I29" s="129">
        <f>SUM('Quarter final consumption'!AL110:AL113)</f>
        <v>7937.15</v>
      </c>
      <c r="J29" s="129">
        <f>SUM('Quarter final consumption'!AM110:AM113)</f>
        <v>272.64999999999998</v>
      </c>
      <c r="K29" s="141">
        <f t="shared" si="2"/>
        <v>33815.75</v>
      </c>
      <c r="L29" s="124">
        <f>SUM('Quarter final consumption'!AG114:AG117)</f>
        <v>11.71</v>
      </c>
      <c r="M29" s="124">
        <f>SUM('Quarter final consumption'!AH114:AH117)</f>
        <v>116.54</v>
      </c>
      <c r="N29" s="124">
        <v>0</v>
      </c>
      <c r="O29" s="126">
        <f>SUM('Quarter final consumption'!AI114:AI117)</f>
        <v>2279.6400000000003</v>
      </c>
      <c r="P29" s="126">
        <f>SUM('Quarter final consumption'!AJ114:AJ117)</f>
        <v>21509.22</v>
      </c>
      <c r="Q29" s="126">
        <f>SUM('Quarter final consumption'!AK114:AK117)</f>
        <v>1331.13</v>
      </c>
      <c r="R29" s="126">
        <v>0</v>
      </c>
      <c r="S29" s="126">
        <f>SUM('Quarter final consumption'!AL114:AL117)</f>
        <v>8041.95</v>
      </c>
      <c r="T29" s="126">
        <f>SUM('Quarter final consumption'!AM114:AM117)</f>
        <v>272.64999999999998</v>
      </c>
      <c r="U29" s="126">
        <f t="shared" si="4"/>
        <v>33562.840000000004</v>
      </c>
    </row>
    <row r="30" spans="1:21" ht="15.5" x14ac:dyDescent="0.35">
      <c r="A30" s="133" t="s">
        <v>66</v>
      </c>
      <c r="B30" s="210">
        <f>SUM('Quarter final consumption'!AO110:AO113)</f>
        <v>9.8000000000000007</v>
      </c>
      <c r="C30" s="129">
        <f>SUM('Quarter final consumption'!AP110:AP113)</f>
        <v>0</v>
      </c>
      <c r="D30" s="129">
        <v>0</v>
      </c>
      <c r="E30" s="129">
        <f>SUM('Quarter final consumption'!AQ110:AQ113)</f>
        <v>3799.5400000000004</v>
      </c>
      <c r="F30" s="129">
        <f>SUM('Quarter final consumption'!AR110:AR113)</f>
        <v>7909.42</v>
      </c>
      <c r="G30" s="129">
        <f>SUM('Quarter final consumption'!AS110:AS113)</f>
        <v>1478.55</v>
      </c>
      <c r="H30" s="129">
        <v>0</v>
      </c>
      <c r="I30" s="129">
        <f>SUM('Quarter final consumption'!AT110:AT113)</f>
        <v>7119.3899999999994</v>
      </c>
      <c r="J30" s="129">
        <f>SUM('Quarter final consumption'!AU110:AU113)</f>
        <v>336.01000000000005</v>
      </c>
      <c r="K30" s="141">
        <f t="shared" si="2"/>
        <v>20652.709999999995</v>
      </c>
      <c r="L30" s="126">
        <f>SUM('Quarter final consumption'!AO114:AO117)</f>
        <v>10.210000000000001</v>
      </c>
      <c r="M30" s="126">
        <f>SUM('Quarter final consumption'!AP114:AP117)</f>
        <v>0</v>
      </c>
      <c r="N30" s="124">
        <v>0</v>
      </c>
      <c r="O30" s="126">
        <f>SUM('Quarter final consumption'!AQ114:AQ117)</f>
        <v>3743.02</v>
      </c>
      <c r="P30" s="126">
        <f>SUM('Quarter final consumption'!AR114:AR117)</f>
        <v>7767.579999999999</v>
      </c>
      <c r="Q30" s="126">
        <f>SUM('Quarter final consumption'!AS114:AS117)</f>
        <v>1460.67</v>
      </c>
      <c r="R30" s="126">
        <v>0</v>
      </c>
      <c r="S30" s="124">
        <f>SUM('Quarter final consumption'!AT114:AT117)</f>
        <v>7269.68</v>
      </c>
      <c r="T30" s="124">
        <f>SUM('Quarter final consumption'!AU114:AU117)</f>
        <v>336.01000000000005</v>
      </c>
      <c r="U30" s="126">
        <f t="shared" si="4"/>
        <v>20587.169999999998</v>
      </c>
    </row>
    <row r="31" spans="1:21" ht="15.5" x14ac:dyDescent="0.35">
      <c r="A31" s="135" t="s">
        <v>87</v>
      </c>
      <c r="B31" s="212">
        <v>0</v>
      </c>
      <c r="C31" s="213">
        <f>SUM('Quarter final consumption'!CC110:CC113)</f>
        <v>4.5600000000000005</v>
      </c>
      <c r="D31" s="213">
        <v>0</v>
      </c>
      <c r="E31" s="213">
        <f>SUM('Quarter final consumption'!CD110:CD113)</f>
        <v>4530.08</v>
      </c>
      <c r="F31" s="213">
        <f>SUM('Quarter final consumption'!CE110:CE113)</f>
        <v>0</v>
      </c>
      <c r="G31" s="213">
        <v>0</v>
      </c>
      <c r="H31" s="213">
        <v>0</v>
      </c>
      <c r="I31" s="213">
        <v>0</v>
      </c>
      <c r="J31" s="213">
        <v>0</v>
      </c>
      <c r="K31" s="143">
        <f t="shared" si="2"/>
        <v>4534.6400000000003</v>
      </c>
      <c r="L31" s="126">
        <v>0</v>
      </c>
      <c r="M31" s="126">
        <f>SUM('Quarter final consumption'!CC114:CC117)</f>
        <v>0</v>
      </c>
      <c r="N31" s="126">
        <v>0</v>
      </c>
      <c r="O31" s="126">
        <f>SUM('Quarter final consumption'!CD114:CD117)</f>
        <v>4216.74</v>
      </c>
      <c r="P31" s="126">
        <f>SUM('Quarter final consumption'!CE114:CE117)</f>
        <v>0</v>
      </c>
      <c r="Q31" s="126">
        <v>0</v>
      </c>
      <c r="R31" s="126">
        <v>0</v>
      </c>
      <c r="S31" s="126">
        <v>0</v>
      </c>
      <c r="T31" s="126">
        <v>0</v>
      </c>
      <c r="U31" s="126">
        <f t="shared" si="4"/>
        <v>4216.74</v>
      </c>
    </row>
  </sheetData>
  <phoneticPr fontId="17" type="noConversion"/>
  <pageMargins left="0.51181102362204722" right="0.51181102362204722" top="0.78740157480314965" bottom="0.78740157480314965" header="0.51181102362204722" footer="0.51181102362204722"/>
  <pageSetup paperSize="9" scale="30" orientation="landscape" verticalDpi="4" r:id="rId1"/>
  <headerFooter alignWithMargins="0"/>
  <ignoredErrors>
    <ignoredError sqref="B6:U31"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790EE-81EF-4964-940E-E4B3073F162B}">
  <sheetPr>
    <pageSetUpPr fitToPage="1"/>
  </sheetPr>
  <dimension ref="A1:S31"/>
  <sheetViews>
    <sheetView showGridLines="0" zoomScaleNormal="100" zoomScaleSheetLayoutView="100" workbookViewId="0"/>
  </sheetViews>
  <sheetFormatPr defaultColWidth="9.1796875" defaultRowHeight="12.5" x14ac:dyDescent="0.25"/>
  <cols>
    <col min="1" max="1" width="36" style="14" customWidth="1"/>
    <col min="2" max="2" width="8.26953125" style="14" customWidth="1"/>
    <col min="3" max="3" width="16.453125" style="14" customWidth="1"/>
    <col min="4" max="4" width="12.81640625" style="17" customWidth="1"/>
    <col min="5" max="5" width="15.1796875" style="14" customWidth="1"/>
    <col min="6" max="6" width="14.1796875" style="14" customWidth="1"/>
    <col min="7" max="7" width="17.26953125" style="14" customWidth="1"/>
    <col min="8" max="8" width="12.54296875" style="14" customWidth="1"/>
    <col min="9" max="9" width="11.81640625" style="14" customWidth="1"/>
    <col min="10" max="10" width="11.54296875" style="14" customWidth="1"/>
    <col min="11" max="11" width="8.54296875" style="14" customWidth="1"/>
    <col min="12" max="12" width="15.81640625" style="14" customWidth="1"/>
    <col min="13" max="13" width="10.1796875" style="14" customWidth="1"/>
    <col min="14" max="14" width="10.7265625" style="14" bestFit="1" customWidth="1"/>
    <col min="15" max="15" width="14.81640625" style="14" customWidth="1"/>
    <col min="16" max="16" width="17.453125" style="14" customWidth="1"/>
    <col min="17" max="17" width="9.81640625" style="14" bestFit="1" customWidth="1"/>
    <col min="18" max="18" width="12.81640625" style="14" customWidth="1"/>
    <col min="19" max="19" width="13.81640625" style="14" customWidth="1"/>
    <col min="20" max="20" width="1.54296875" style="14" customWidth="1"/>
    <col min="21" max="254" width="9.1796875" style="14"/>
    <col min="255" max="255" width="0" style="14" hidden="1" customWidth="1"/>
    <col min="256" max="256" width="20.453125" style="14" customWidth="1"/>
    <col min="257" max="257" width="8.26953125" style="14" customWidth="1"/>
    <col min="258" max="258" width="6.54296875" style="14" customWidth="1"/>
    <col min="259" max="259" width="8.453125" style="14" customWidth="1"/>
    <col min="260" max="260" width="7.54296875" style="14" customWidth="1"/>
    <col min="261" max="261" width="8" style="14" customWidth="1"/>
    <col min="262" max="262" width="6.81640625" style="14" bestFit="1" customWidth="1"/>
    <col min="263" max="263" width="6.54296875" style="14" customWidth="1"/>
    <col min="264" max="264" width="7.26953125" style="14" bestFit="1" customWidth="1"/>
    <col min="265" max="265" width="6" style="14" customWidth="1"/>
    <col min="266" max="266" width="2" style="14" customWidth="1"/>
    <col min="267" max="267" width="8.54296875" style="14" customWidth="1"/>
    <col min="268" max="268" width="6.54296875" style="14" customWidth="1"/>
    <col min="269" max="269" width="8.54296875" style="14" customWidth="1"/>
    <col min="270" max="270" width="8.1796875" style="14" customWidth="1"/>
    <col min="271" max="271" width="8" style="14" customWidth="1"/>
    <col min="272" max="272" width="6.81640625" style="14" customWidth="1"/>
    <col min="273" max="273" width="6.54296875" style="14" customWidth="1"/>
    <col min="274" max="274" width="7.26953125" style="14" customWidth="1"/>
    <col min="275" max="275" width="6.54296875" style="14" customWidth="1"/>
    <col min="276" max="276" width="1.54296875" style="14" customWidth="1"/>
    <col min="277" max="510" width="9.1796875" style="14"/>
    <col min="511" max="511" width="0" style="14" hidden="1" customWidth="1"/>
    <col min="512" max="512" width="20.453125" style="14" customWidth="1"/>
    <col min="513" max="513" width="8.26953125" style="14" customWidth="1"/>
    <col min="514" max="514" width="6.54296875" style="14" customWidth="1"/>
    <col min="515" max="515" width="8.453125" style="14" customWidth="1"/>
    <col min="516" max="516" width="7.54296875" style="14" customWidth="1"/>
    <col min="517" max="517" width="8" style="14" customWidth="1"/>
    <col min="518" max="518" width="6.81640625" style="14" bestFit="1" customWidth="1"/>
    <col min="519" max="519" width="6.54296875" style="14" customWidth="1"/>
    <col min="520" max="520" width="7.26953125" style="14" bestFit="1" customWidth="1"/>
    <col min="521" max="521" width="6" style="14" customWidth="1"/>
    <col min="522" max="522" width="2" style="14" customWidth="1"/>
    <col min="523" max="523" width="8.54296875" style="14" customWidth="1"/>
    <col min="524" max="524" width="6.54296875" style="14" customWidth="1"/>
    <col min="525" max="525" width="8.54296875" style="14" customWidth="1"/>
    <col min="526" max="526" width="8.1796875" style="14" customWidth="1"/>
    <col min="527" max="527" width="8" style="14" customWidth="1"/>
    <col min="528" max="528" width="6.81640625" style="14" customWidth="1"/>
    <col min="529" max="529" width="6.54296875" style="14" customWidth="1"/>
    <col min="530" max="530" width="7.26953125" style="14" customWidth="1"/>
    <col min="531" max="531" width="6.54296875" style="14" customWidth="1"/>
    <col min="532" max="532" width="1.54296875" style="14" customWidth="1"/>
    <col min="533" max="766" width="9.1796875" style="14"/>
    <col min="767" max="767" width="0" style="14" hidden="1" customWidth="1"/>
    <col min="768" max="768" width="20.453125" style="14" customWidth="1"/>
    <col min="769" max="769" width="8.26953125" style="14" customWidth="1"/>
    <col min="770" max="770" width="6.54296875" style="14" customWidth="1"/>
    <col min="771" max="771" width="8.453125" style="14" customWidth="1"/>
    <col min="772" max="772" width="7.54296875" style="14" customWidth="1"/>
    <col min="773" max="773" width="8" style="14" customWidth="1"/>
    <col min="774" max="774" width="6.81640625" style="14" bestFit="1" customWidth="1"/>
    <col min="775" max="775" width="6.54296875" style="14" customWidth="1"/>
    <col min="776" max="776" width="7.26953125" style="14" bestFit="1" customWidth="1"/>
    <col min="777" max="777" width="6" style="14" customWidth="1"/>
    <col min="778" max="778" width="2" style="14" customWidth="1"/>
    <col min="779" max="779" width="8.54296875" style="14" customWidth="1"/>
    <col min="780" max="780" width="6.54296875" style="14" customWidth="1"/>
    <col min="781" max="781" width="8.54296875" style="14" customWidth="1"/>
    <col min="782" max="782" width="8.1796875" style="14" customWidth="1"/>
    <col min="783" max="783" width="8" style="14" customWidth="1"/>
    <col min="784" max="784" width="6.81640625" style="14" customWidth="1"/>
    <col min="785" max="785" width="6.54296875" style="14" customWidth="1"/>
    <col min="786" max="786" width="7.26953125" style="14" customWidth="1"/>
    <col min="787" max="787" width="6.54296875" style="14" customWidth="1"/>
    <col min="788" max="788" width="1.54296875" style="14" customWidth="1"/>
    <col min="789" max="1022" width="9.1796875" style="14"/>
    <col min="1023" max="1023" width="0" style="14" hidden="1" customWidth="1"/>
    <col min="1024" max="1024" width="20.453125" style="14" customWidth="1"/>
    <col min="1025" max="1025" width="8.26953125" style="14" customWidth="1"/>
    <col min="1026" max="1026" width="6.54296875" style="14" customWidth="1"/>
    <col min="1027" max="1027" width="8.453125" style="14" customWidth="1"/>
    <col min="1028" max="1028" width="7.54296875" style="14" customWidth="1"/>
    <col min="1029" max="1029" width="8" style="14" customWidth="1"/>
    <col min="1030" max="1030" width="6.81640625" style="14" bestFit="1" customWidth="1"/>
    <col min="1031" max="1031" width="6.54296875" style="14" customWidth="1"/>
    <col min="1032" max="1032" width="7.26953125" style="14" bestFit="1" customWidth="1"/>
    <col min="1033" max="1033" width="6" style="14" customWidth="1"/>
    <col min="1034" max="1034" width="2" style="14" customWidth="1"/>
    <col min="1035" max="1035" width="8.54296875" style="14" customWidth="1"/>
    <col min="1036" max="1036" width="6.54296875" style="14" customWidth="1"/>
    <col min="1037" max="1037" width="8.54296875" style="14" customWidth="1"/>
    <col min="1038" max="1038" width="8.1796875" style="14" customWidth="1"/>
    <col min="1039" max="1039" width="8" style="14" customWidth="1"/>
    <col min="1040" max="1040" width="6.81640625" style="14" customWidth="1"/>
    <col min="1041" max="1041" width="6.54296875" style="14" customWidth="1"/>
    <col min="1042" max="1042" width="7.26953125" style="14" customWidth="1"/>
    <col min="1043" max="1043" width="6.54296875" style="14" customWidth="1"/>
    <col min="1044" max="1044" width="1.54296875" style="14" customWidth="1"/>
    <col min="1045" max="1278" width="9.1796875" style="14"/>
    <col min="1279" max="1279" width="0" style="14" hidden="1" customWidth="1"/>
    <col min="1280" max="1280" width="20.453125" style="14" customWidth="1"/>
    <col min="1281" max="1281" width="8.26953125" style="14" customWidth="1"/>
    <col min="1282" max="1282" width="6.54296875" style="14" customWidth="1"/>
    <col min="1283" max="1283" width="8.453125" style="14" customWidth="1"/>
    <col min="1284" max="1284" width="7.54296875" style="14" customWidth="1"/>
    <col min="1285" max="1285" width="8" style="14" customWidth="1"/>
    <col min="1286" max="1286" width="6.81640625" style="14" bestFit="1" customWidth="1"/>
    <col min="1287" max="1287" width="6.54296875" style="14" customWidth="1"/>
    <col min="1288" max="1288" width="7.26953125" style="14" bestFit="1" customWidth="1"/>
    <col min="1289" max="1289" width="6" style="14" customWidth="1"/>
    <col min="1290" max="1290" width="2" style="14" customWidth="1"/>
    <col min="1291" max="1291" width="8.54296875" style="14" customWidth="1"/>
    <col min="1292" max="1292" width="6.54296875" style="14" customWidth="1"/>
    <col min="1293" max="1293" width="8.54296875" style="14" customWidth="1"/>
    <col min="1294" max="1294" width="8.1796875" style="14" customWidth="1"/>
    <col min="1295" max="1295" width="8" style="14" customWidth="1"/>
    <col min="1296" max="1296" width="6.81640625" style="14" customWidth="1"/>
    <col min="1297" max="1297" width="6.54296875" style="14" customWidth="1"/>
    <col min="1298" max="1298" width="7.26953125" style="14" customWidth="1"/>
    <col min="1299" max="1299" width="6.54296875" style="14" customWidth="1"/>
    <col min="1300" max="1300" width="1.54296875" style="14" customWidth="1"/>
    <col min="1301" max="1534" width="9.1796875" style="14"/>
    <col min="1535" max="1535" width="0" style="14" hidden="1" customWidth="1"/>
    <col min="1536" max="1536" width="20.453125" style="14" customWidth="1"/>
    <col min="1537" max="1537" width="8.26953125" style="14" customWidth="1"/>
    <col min="1538" max="1538" width="6.54296875" style="14" customWidth="1"/>
    <col min="1539" max="1539" width="8.453125" style="14" customWidth="1"/>
    <col min="1540" max="1540" width="7.54296875" style="14" customWidth="1"/>
    <col min="1541" max="1541" width="8" style="14" customWidth="1"/>
    <col min="1542" max="1542" width="6.81640625" style="14" bestFit="1" customWidth="1"/>
    <col min="1543" max="1543" width="6.54296875" style="14" customWidth="1"/>
    <col min="1544" max="1544" width="7.26953125" style="14" bestFit="1" customWidth="1"/>
    <col min="1545" max="1545" width="6" style="14" customWidth="1"/>
    <col min="1546" max="1546" width="2" style="14" customWidth="1"/>
    <col min="1547" max="1547" width="8.54296875" style="14" customWidth="1"/>
    <col min="1548" max="1548" width="6.54296875" style="14" customWidth="1"/>
    <col min="1549" max="1549" width="8.54296875" style="14" customWidth="1"/>
    <col min="1550" max="1550" width="8.1796875" style="14" customWidth="1"/>
    <col min="1551" max="1551" width="8" style="14" customWidth="1"/>
    <col min="1552" max="1552" width="6.81640625" style="14" customWidth="1"/>
    <col min="1553" max="1553" width="6.54296875" style="14" customWidth="1"/>
    <col min="1554" max="1554" width="7.26953125" style="14" customWidth="1"/>
    <col min="1555" max="1555" width="6.54296875" style="14" customWidth="1"/>
    <col min="1556" max="1556" width="1.54296875" style="14" customWidth="1"/>
    <col min="1557" max="1790" width="9.1796875" style="14"/>
    <col min="1791" max="1791" width="0" style="14" hidden="1" customWidth="1"/>
    <col min="1792" max="1792" width="20.453125" style="14" customWidth="1"/>
    <col min="1793" max="1793" width="8.26953125" style="14" customWidth="1"/>
    <col min="1794" max="1794" width="6.54296875" style="14" customWidth="1"/>
    <col min="1795" max="1795" width="8.453125" style="14" customWidth="1"/>
    <col min="1796" max="1796" width="7.54296875" style="14" customWidth="1"/>
    <col min="1797" max="1797" width="8" style="14" customWidth="1"/>
    <col min="1798" max="1798" width="6.81640625" style="14" bestFit="1" customWidth="1"/>
    <col min="1799" max="1799" width="6.54296875" style="14" customWidth="1"/>
    <col min="1800" max="1800" width="7.26953125" style="14" bestFit="1" customWidth="1"/>
    <col min="1801" max="1801" width="6" style="14" customWidth="1"/>
    <col min="1802" max="1802" width="2" style="14" customWidth="1"/>
    <col min="1803" max="1803" width="8.54296875" style="14" customWidth="1"/>
    <col min="1804" max="1804" width="6.54296875" style="14" customWidth="1"/>
    <col min="1805" max="1805" width="8.54296875" style="14" customWidth="1"/>
    <col min="1806" max="1806" width="8.1796875" style="14" customWidth="1"/>
    <col min="1807" max="1807" width="8" style="14" customWidth="1"/>
    <col min="1808" max="1808" width="6.81640625" style="14" customWidth="1"/>
    <col min="1809" max="1809" width="6.54296875" style="14" customWidth="1"/>
    <col min="1810" max="1810" width="7.26953125" style="14" customWidth="1"/>
    <col min="1811" max="1811" width="6.54296875" style="14" customWidth="1"/>
    <col min="1812" max="1812" width="1.54296875" style="14" customWidth="1"/>
    <col min="1813" max="2046" width="9.1796875" style="14"/>
    <col min="2047" max="2047" width="0" style="14" hidden="1" customWidth="1"/>
    <col min="2048" max="2048" width="20.453125" style="14" customWidth="1"/>
    <col min="2049" max="2049" width="8.26953125" style="14" customWidth="1"/>
    <col min="2050" max="2050" width="6.54296875" style="14" customWidth="1"/>
    <col min="2051" max="2051" width="8.453125" style="14" customWidth="1"/>
    <col min="2052" max="2052" width="7.54296875" style="14" customWidth="1"/>
    <col min="2053" max="2053" width="8" style="14" customWidth="1"/>
    <col min="2054" max="2054" width="6.81640625" style="14" bestFit="1" customWidth="1"/>
    <col min="2055" max="2055" width="6.54296875" style="14" customWidth="1"/>
    <col min="2056" max="2056" width="7.26953125" style="14" bestFit="1" customWidth="1"/>
    <col min="2057" max="2057" width="6" style="14" customWidth="1"/>
    <col min="2058" max="2058" width="2" style="14" customWidth="1"/>
    <col min="2059" max="2059" width="8.54296875" style="14" customWidth="1"/>
    <col min="2060" max="2060" width="6.54296875" style="14" customWidth="1"/>
    <col min="2061" max="2061" width="8.54296875" style="14" customWidth="1"/>
    <col min="2062" max="2062" width="8.1796875" style="14" customWidth="1"/>
    <col min="2063" max="2063" width="8" style="14" customWidth="1"/>
    <col min="2064" max="2064" width="6.81640625" style="14" customWidth="1"/>
    <col min="2065" max="2065" width="6.54296875" style="14" customWidth="1"/>
    <col min="2066" max="2066" width="7.26953125" style="14" customWidth="1"/>
    <col min="2067" max="2067" width="6.54296875" style="14" customWidth="1"/>
    <col min="2068" max="2068" width="1.54296875" style="14" customWidth="1"/>
    <col min="2069" max="2302" width="9.1796875" style="14"/>
    <col min="2303" max="2303" width="0" style="14" hidden="1" customWidth="1"/>
    <col min="2304" max="2304" width="20.453125" style="14" customWidth="1"/>
    <col min="2305" max="2305" width="8.26953125" style="14" customWidth="1"/>
    <col min="2306" max="2306" width="6.54296875" style="14" customWidth="1"/>
    <col min="2307" max="2307" width="8.453125" style="14" customWidth="1"/>
    <col min="2308" max="2308" width="7.54296875" style="14" customWidth="1"/>
    <col min="2309" max="2309" width="8" style="14" customWidth="1"/>
    <col min="2310" max="2310" width="6.81640625" style="14" bestFit="1" customWidth="1"/>
    <col min="2311" max="2311" width="6.54296875" style="14" customWidth="1"/>
    <col min="2312" max="2312" width="7.26953125" style="14" bestFit="1" customWidth="1"/>
    <col min="2313" max="2313" width="6" style="14" customWidth="1"/>
    <col min="2314" max="2314" width="2" style="14" customWidth="1"/>
    <col min="2315" max="2315" width="8.54296875" style="14" customWidth="1"/>
    <col min="2316" max="2316" width="6.54296875" style="14" customWidth="1"/>
    <col min="2317" max="2317" width="8.54296875" style="14" customWidth="1"/>
    <col min="2318" max="2318" width="8.1796875" style="14" customWidth="1"/>
    <col min="2319" max="2319" width="8" style="14" customWidth="1"/>
    <col min="2320" max="2320" width="6.81640625" style="14" customWidth="1"/>
    <col min="2321" max="2321" width="6.54296875" style="14" customWidth="1"/>
    <col min="2322" max="2322" width="7.26953125" style="14" customWidth="1"/>
    <col min="2323" max="2323" width="6.54296875" style="14" customWidth="1"/>
    <col min="2324" max="2324" width="1.54296875" style="14" customWidth="1"/>
    <col min="2325" max="2558" width="9.1796875" style="14"/>
    <col min="2559" max="2559" width="0" style="14" hidden="1" customWidth="1"/>
    <col min="2560" max="2560" width="20.453125" style="14" customWidth="1"/>
    <col min="2561" max="2561" width="8.26953125" style="14" customWidth="1"/>
    <col min="2562" max="2562" width="6.54296875" style="14" customWidth="1"/>
    <col min="2563" max="2563" width="8.453125" style="14" customWidth="1"/>
    <col min="2564" max="2564" width="7.54296875" style="14" customWidth="1"/>
    <col min="2565" max="2565" width="8" style="14" customWidth="1"/>
    <col min="2566" max="2566" width="6.81640625" style="14" bestFit="1" customWidth="1"/>
    <col min="2567" max="2567" width="6.54296875" style="14" customWidth="1"/>
    <col min="2568" max="2568" width="7.26953125" style="14" bestFit="1" customWidth="1"/>
    <col min="2569" max="2569" width="6" style="14" customWidth="1"/>
    <col min="2570" max="2570" width="2" style="14" customWidth="1"/>
    <col min="2571" max="2571" width="8.54296875" style="14" customWidth="1"/>
    <col min="2572" max="2572" width="6.54296875" style="14" customWidth="1"/>
    <col min="2573" max="2573" width="8.54296875" style="14" customWidth="1"/>
    <col min="2574" max="2574" width="8.1796875" style="14" customWidth="1"/>
    <col min="2575" max="2575" width="8" style="14" customWidth="1"/>
    <col min="2576" max="2576" width="6.81640625" style="14" customWidth="1"/>
    <col min="2577" max="2577" width="6.54296875" style="14" customWidth="1"/>
    <col min="2578" max="2578" width="7.26953125" style="14" customWidth="1"/>
    <col min="2579" max="2579" width="6.54296875" style="14" customWidth="1"/>
    <col min="2580" max="2580" width="1.54296875" style="14" customWidth="1"/>
    <col min="2581" max="2814" width="9.1796875" style="14"/>
    <col min="2815" max="2815" width="0" style="14" hidden="1" customWidth="1"/>
    <col min="2816" max="2816" width="20.453125" style="14" customWidth="1"/>
    <col min="2817" max="2817" width="8.26953125" style="14" customWidth="1"/>
    <col min="2818" max="2818" width="6.54296875" style="14" customWidth="1"/>
    <col min="2819" max="2819" width="8.453125" style="14" customWidth="1"/>
    <col min="2820" max="2820" width="7.54296875" style="14" customWidth="1"/>
    <col min="2821" max="2821" width="8" style="14" customWidth="1"/>
    <col min="2822" max="2822" width="6.81640625" style="14" bestFit="1" customWidth="1"/>
    <col min="2823" max="2823" width="6.54296875" style="14" customWidth="1"/>
    <col min="2824" max="2824" width="7.26953125" style="14" bestFit="1" customWidth="1"/>
    <col min="2825" max="2825" width="6" style="14" customWidth="1"/>
    <col min="2826" max="2826" width="2" style="14" customWidth="1"/>
    <col min="2827" max="2827" width="8.54296875" style="14" customWidth="1"/>
    <col min="2828" max="2828" width="6.54296875" style="14" customWidth="1"/>
    <col min="2829" max="2829" width="8.54296875" style="14" customWidth="1"/>
    <col min="2830" max="2830" width="8.1796875" style="14" customWidth="1"/>
    <col min="2831" max="2831" width="8" style="14" customWidth="1"/>
    <col min="2832" max="2832" width="6.81640625" style="14" customWidth="1"/>
    <col min="2833" max="2833" width="6.54296875" style="14" customWidth="1"/>
    <col min="2834" max="2834" width="7.26953125" style="14" customWidth="1"/>
    <col min="2835" max="2835" width="6.54296875" style="14" customWidth="1"/>
    <col min="2836" max="2836" width="1.54296875" style="14" customWidth="1"/>
    <col min="2837" max="3070" width="9.1796875" style="14"/>
    <col min="3071" max="3071" width="0" style="14" hidden="1" customWidth="1"/>
    <col min="3072" max="3072" width="20.453125" style="14" customWidth="1"/>
    <col min="3073" max="3073" width="8.26953125" style="14" customWidth="1"/>
    <col min="3074" max="3074" width="6.54296875" style="14" customWidth="1"/>
    <col min="3075" max="3075" width="8.453125" style="14" customWidth="1"/>
    <col min="3076" max="3076" width="7.54296875" style="14" customWidth="1"/>
    <col min="3077" max="3077" width="8" style="14" customWidth="1"/>
    <col min="3078" max="3078" width="6.81640625" style="14" bestFit="1" customWidth="1"/>
    <col min="3079" max="3079" width="6.54296875" style="14" customWidth="1"/>
    <col min="3080" max="3080" width="7.26953125" style="14" bestFit="1" customWidth="1"/>
    <col min="3081" max="3081" width="6" style="14" customWidth="1"/>
    <col min="3082" max="3082" width="2" style="14" customWidth="1"/>
    <col min="3083" max="3083" width="8.54296875" style="14" customWidth="1"/>
    <col min="3084" max="3084" width="6.54296875" style="14" customWidth="1"/>
    <col min="3085" max="3085" width="8.54296875" style="14" customWidth="1"/>
    <col min="3086" max="3086" width="8.1796875" style="14" customWidth="1"/>
    <col min="3087" max="3087" width="8" style="14" customWidth="1"/>
    <col min="3088" max="3088" width="6.81640625" style="14" customWidth="1"/>
    <col min="3089" max="3089" width="6.54296875" style="14" customWidth="1"/>
    <col min="3090" max="3090" width="7.26953125" style="14" customWidth="1"/>
    <col min="3091" max="3091" width="6.54296875" style="14" customWidth="1"/>
    <col min="3092" max="3092" width="1.54296875" style="14" customWidth="1"/>
    <col min="3093" max="3326" width="9.1796875" style="14"/>
    <col min="3327" max="3327" width="0" style="14" hidden="1" customWidth="1"/>
    <col min="3328" max="3328" width="20.453125" style="14" customWidth="1"/>
    <col min="3329" max="3329" width="8.26953125" style="14" customWidth="1"/>
    <col min="3330" max="3330" width="6.54296875" style="14" customWidth="1"/>
    <col min="3331" max="3331" width="8.453125" style="14" customWidth="1"/>
    <col min="3332" max="3332" width="7.54296875" style="14" customWidth="1"/>
    <col min="3333" max="3333" width="8" style="14" customWidth="1"/>
    <col min="3334" max="3334" width="6.81640625" style="14" bestFit="1" customWidth="1"/>
    <col min="3335" max="3335" width="6.54296875" style="14" customWidth="1"/>
    <col min="3336" max="3336" width="7.26953125" style="14" bestFit="1" customWidth="1"/>
    <col min="3337" max="3337" width="6" style="14" customWidth="1"/>
    <col min="3338" max="3338" width="2" style="14" customWidth="1"/>
    <col min="3339" max="3339" width="8.54296875" style="14" customWidth="1"/>
    <col min="3340" max="3340" width="6.54296875" style="14" customWidth="1"/>
    <col min="3341" max="3341" width="8.54296875" style="14" customWidth="1"/>
    <col min="3342" max="3342" width="8.1796875" style="14" customWidth="1"/>
    <col min="3343" max="3343" width="8" style="14" customWidth="1"/>
    <col min="3344" max="3344" width="6.81640625" style="14" customWidth="1"/>
    <col min="3345" max="3345" width="6.54296875" style="14" customWidth="1"/>
    <col min="3346" max="3346" width="7.26953125" style="14" customWidth="1"/>
    <col min="3347" max="3347" width="6.54296875" style="14" customWidth="1"/>
    <col min="3348" max="3348" width="1.54296875" style="14" customWidth="1"/>
    <col min="3349" max="3582" width="9.1796875" style="14"/>
    <col min="3583" max="3583" width="0" style="14" hidden="1" customWidth="1"/>
    <col min="3584" max="3584" width="20.453125" style="14" customWidth="1"/>
    <col min="3585" max="3585" width="8.26953125" style="14" customWidth="1"/>
    <col min="3586" max="3586" width="6.54296875" style="14" customWidth="1"/>
    <col min="3587" max="3587" width="8.453125" style="14" customWidth="1"/>
    <col min="3588" max="3588" width="7.54296875" style="14" customWidth="1"/>
    <col min="3589" max="3589" width="8" style="14" customWidth="1"/>
    <col min="3590" max="3590" width="6.81640625" style="14" bestFit="1" customWidth="1"/>
    <col min="3591" max="3591" width="6.54296875" style="14" customWidth="1"/>
    <col min="3592" max="3592" width="7.26953125" style="14" bestFit="1" customWidth="1"/>
    <col min="3593" max="3593" width="6" style="14" customWidth="1"/>
    <col min="3594" max="3594" width="2" style="14" customWidth="1"/>
    <col min="3595" max="3595" width="8.54296875" style="14" customWidth="1"/>
    <col min="3596" max="3596" width="6.54296875" style="14" customWidth="1"/>
    <col min="3597" max="3597" width="8.54296875" style="14" customWidth="1"/>
    <col min="3598" max="3598" width="8.1796875" style="14" customWidth="1"/>
    <col min="3599" max="3599" width="8" style="14" customWidth="1"/>
    <col min="3600" max="3600" width="6.81640625" style="14" customWidth="1"/>
    <col min="3601" max="3601" width="6.54296875" style="14" customWidth="1"/>
    <col min="3602" max="3602" width="7.26953125" style="14" customWidth="1"/>
    <col min="3603" max="3603" width="6.54296875" style="14" customWidth="1"/>
    <col min="3604" max="3604" width="1.54296875" style="14" customWidth="1"/>
    <col min="3605" max="3838" width="9.1796875" style="14"/>
    <col min="3839" max="3839" width="0" style="14" hidden="1" customWidth="1"/>
    <col min="3840" max="3840" width="20.453125" style="14" customWidth="1"/>
    <col min="3841" max="3841" width="8.26953125" style="14" customWidth="1"/>
    <col min="3842" max="3842" width="6.54296875" style="14" customWidth="1"/>
    <col min="3843" max="3843" width="8.453125" style="14" customWidth="1"/>
    <col min="3844" max="3844" width="7.54296875" style="14" customWidth="1"/>
    <col min="3845" max="3845" width="8" style="14" customWidth="1"/>
    <col min="3846" max="3846" width="6.81640625" style="14" bestFit="1" customWidth="1"/>
    <col min="3847" max="3847" width="6.54296875" style="14" customWidth="1"/>
    <col min="3848" max="3848" width="7.26953125" style="14" bestFit="1" customWidth="1"/>
    <col min="3849" max="3849" width="6" style="14" customWidth="1"/>
    <col min="3850" max="3850" width="2" style="14" customWidth="1"/>
    <col min="3851" max="3851" width="8.54296875" style="14" customWidth="1"/>
    <col min="3852" max="3852" width="6.54296875" style="14" customWidth="1"/>
    <col min="3853" max="3853" width="8.54296875" style="14" customWidth="1"/>
    <col min="3854" max="3854" width="8.1796875" style="14" customWidth="1"/>
    <col min="3855" max="3855" width="8" style="14" customWidth="1"/>
    <col min="3856" max="3856" width="6.81640625" style="14" customWidth="1"/>
    <col min="3857" max="3857" width="6.54296875" style="14" customWidth="1"/>
    <col min="3858" max="3858" width="7.26953125" style="14" customWidth="1"/>
    <col min="3859" max="3859" width="6.54296875" style="14" customWidth="1"/>
    <col min="3860" max="3860" width="1.54296875" style="14" customWidth="1"/>
    <col min="3861" max="4094" width="9.1796875" style="14"/>
    <col min="4095" max="4095" width="0" style="14" hidden="1" customWidth="1"/>
    <col min="4096" max="4096" width="20.453125" style="14" customWidth="1"/>
    <col min="4097" max="4097" width="8.26953125" style="14" customWidth="1"/>
    <col min="4098" max="4098" width="6.54296875" style="14" customWidth="1"/>
    <col min="4099" max="4099" width="8.453125" style="14" customWidth="1"/>
    <col min="4100" max="4100" width="7.54296875" style="14" customWidth="1"/>
    <col min="4101" max="4101" width="8" style="14" customWidth="1"/>
    <col min="4102" max="4102" width="6.81640625" style="14" bestFit="1" customWidth="1"/>
    <col min="4103" max="4103" width="6.54296875" style="14" customWidth="1"/>
    <col min="4104" max="4104" width="7.26953125" style="14" bestFit="1" customWidth="1"/>
    <col min="4105" max="4105" width="6" style="14" customWidth="1"/>
    <col min="4106" max="4106" width="2" style="14" customWidth="1"/>
    <col min="4107" max="4107" width="8.54296875" style="14" customWidth="1"/>
    <col min="4108" max="4108" width="6.54296875" style="14" customWidth="1"/>
    <col min="4109" max="4109" width="8.54296875" style="14" customWidth="1"/>
    <col min="4110" max="4110" width="8.1796875" style="14" customWidth="1"/>
    <col min="4111" max="4111" width="8" style="14" customWidth="1"/>
    <col min="4112" max="4112" width="6.81640625" style="14" customWidth="1"/>
    <col min="4113" max="4113" width="6.54296875" style="14" customWidth="1"/>
    <col min="4114" max="4114" width="7.26953125" style="14" customWidth="1"/>
    <col min="4115" max="4115" width="6.54296875" style="14" customWidth="1"/>
    <col min="4116" max="4116" width="1.54296875" style="14" customWidth="1"/>
    <col min="4117" max="4350" width="9.1796875" style="14"/>
    <col min="4351" max="4351" width="0" style="14" hidden="1" customWidth="1"/>
    <col min="4352" max="4352" width="20.453125" style="14" customWidth="1"/>
    <col min="4353" max="4353" width="8.26953125" style="14" customWidth="1"/>
    <col min="4354" max="4354" width="6.54296875" style="14" customWidth="1"/>
    <col min="4355" max="4355" width="8.453125" style="14" customWidth="1"/>
    <col min="4356" max="4356" width="7.54296875" style="14" customWidth="1"/>
    <col min="4357" max="4357" width="8" style="14" customWidth="1"/>
    <col min="4358" max="4358" width="6.81640625" style="14" bestFit="1" customWidth="1"/>
    <col min="4359" max="4359" width="6.54296875" style="14" customWidth="1"/>
    <col min="4360" max="4360" width="7.26953125" style="14" bestFit="1" customWidth="1"/>
    <col min="4361" max="4361" width="6" style="14" customWidth="1"/>
    <col min="4362" max="4362" width="2" style="14" customWidth="1"/>
    <col min="4363" max="4363" width="8.54296875" style="14" customWidth="1"/>
    <col min="4364" max="4364" width="6.54296875" style="14" customWidth="1"/>
    <col min="4365" max="4365" width="8.54296875" style="14" customWidth="1"/>
    <col min="4366" max="4366" width="8.1796875" style="14" customWidth="1"/>
    <col min="4367" max="4367" width="8" style="14" customWidth="1"/>
    <col min="4368" max="4368" width="6.81640625" style="14" customWidth="1"/>
    <col min="4369" max="4369" width="6.54296875" style="14" customWidth="1"/>
    <col min="4370" max="4370" width="7.26953125" style="14" customWidth="1"/>
    <col min="4371" max="4371" width="6.54296875" style="14" customWidth="1"/>
    <col min="4372" max="4372" width="1.54296875" style="14" customWidth="1"/>
    <col min="4373" max="4606" width="9.1796875" style="14"/>
    <col min="4607" max="4607" width="0" style="14" hidden="1" customWidth="1"/>
    <col min="4608" max="4608" width="20.453125" style="14" customWidth="1"/>
    <col min="4609" max="4609" width="8.26953125" style="14" customWidth="1"/>
    <col min="4610" max="4610" width="6.54296875" style="14" customWidth="1"/>
    <col min="4611" max="4611" width="8.453125" style="14" customWidth="1"/>
    <col min="4612" max="4612" width="7.54296875" style="14" customWidth="1"/>
    <col min="4613" max="4613" width="8" style="14" customWidth="1"/>
    <col min="4614" max="4614" width="6.81640625" style="14" bestFit="1" customWidth="1"/>
    <col min="4615" max="4615" width="6.54296875" style="14" customWidth="1"/>
    <col min="4616" max="4616" width="7.26953125" style="14" bestFit="1" customWidth="1"/>
    <col min="4617" max="4617" width="6" style="14" customWidth="1"/>
    <col min="4618" max="4618" width="2" style="14" customWidth="1"/>
    <col min="4619" max="4619" width="8.54296875" style="14" customWidth="1"/>
    <col min="4620" max="4620" width="6.54296875" style="14" customWidth="1"/>
    <col min="4621" max="4621" width="8.54296875" style="14" customWidth="1"/>
    <col min="4622" max="4622" width="8.1796875" style="14" customWidth="1"/>
    <col min="4623" max="4623" width="8" style="14" customWidth="1"/>
    <col min="4624" max="4624" width="6.81640625" style="14" customWidth="1"/>
    <col min="4625" max="4625" width="6.54296875" style="14" customWidth="1"/>
    <col min="4626" max="4626" width="7.26953125" style="14" customWidth="1"/>
    <col min="4627" max="4627" width="6.54296875" style="14" customWidth="1"/>
    <col min="4628" max="4628" width="1.54296875" style="14" customWidth="1"/>
    <col min="4629" max="4862" width="9.1796875" style="14"/>
    <col min="4863" max="4863" width="0" style="14" hidden="1" customWidth="1"/>
    <col min="4864" max="4864" width="20.453125" style="14" customWidth="1"/>
    <col min="4865" max="4865" width="8.26953125" style="14" customWidth="1"/>
    <col min="4866" max="4866" width="6.54296875" style="14" customWidth="1"/>
    <col min="4867" max="4867" width="8.453125" style="14" customWidth="1"/>
    <col min="4868" max="4868" width="7.54296875" style="14" customWidth="1"/>
    <col min="4869" max="4869" width="8" style="14" customWidth="1"/>
    <col min="4870" max="4870" width="6.81640625" style="14" bestFit="1" customWidth="1"/>
    <col min="4871" max="4871" width="6.54296875" style="14" customWidth="1"/>
    <col min="4872" max="4872" width="7.26953125" style="14" bestFit="1" customWidth="1"/>
    <col min="4873" max="4873" width="6" style="14" customWidth="1"/>
    <col min="4874" max="4874" width="2" style="14" customWidth="1"/>
    <col min="4875" max="4875" width="8.54296875" style="14" customWidth="1"/>
    <col min="4876" max="4876" width="6.54296875" style="14" customWidth="1"/>
    <col min="4877" max="4877" width="8.54296875" style="14" customWidth="1"/>
    <col min="4878" max="4878" width="8.1796875" style="14" customWidth="1"/>
    <col min="4879" max="4879" width="8" style="14" customWidth="1"/>
    <col min="4880" max="4880" width="6.81640625" style="14" customWidth="1"/>
    <col min="4881" max="4881" width="6.54296875" style="14" customWidth="1"/>
    <col min="4882" max="4882" width="7.26953125" style="14" customWidth="1"/>
    <col min="4883" max="4883" width="6.54296875" style="14" customWidth="1"/>
    <col min="4884" max="4884" width="1.54296875" style="14" customWidth="1"/>
    <col min="4885" max="5118" width="9.1796875" style="14"/>
    <col min="5119" max="5119" width="0" style="14" hidden="1" customWidth="1"/>
    <col min="5120" max="5120" width="20.453125" style="14" customWidth="1"/>
    <col min="5121" max="5121" width="8.26953125" style="14" customWidth="1"/>
    <col min="5122" max="5122" width="6.54296875" style="14" customWidth="1"/>
    <col min="5123" max="5123" width="8.453125" style="14" customWidth="1"/>
    <col min="5124" max="5124" width="7.54296875" style="14" customWidth="1"/>
    <col min="5125" max="5125" width="8" style="14" customWidth="1"/>
    <col min="5126" max="5126" width="6.81640625" style="14" bestFit="1" customWidth="1"/>
    <col min="5127" max="5127" width="6.54296875" style="14" customWidth="1"/>
    <col min="5128" max="5128" width="7.26953125" style="14" bestFit="1" customWidth="1"/>
    <col min="5129" max="5129" width="6" style="14" customWidth="1"/>
    <col min="5130" max="5130" width="2" style="14" customWidth="1"/>
    <col min="5131" max="5131" width="8.54296875" style="14" customWidth="1"/>
    <col min="5132" max="5132" width="6.54296875" style="14" customWidth="1"/>
    <col min="5133" max="5133" width="8.54296875" style="14" customWidth="1"/>
    <col min="5134" max="5134" width="8.1796875" style="14" customWidth="1"/>
    <col min="5135" max="5135" width="8" style="14" customWidth="1"/>
    <col min="5136" max="5136" width="6.81640625" style="14" customWidth="1"/>
    <col min="5137" max="5137" width="6.54296875" style="14" customWidth="1"/>
    <col min="5138" max="5138" width="7.26953125" style="14" customWidth="1"/>
    <col min="5139" max="5139" width="6.54296875" style="14" customWidth="1"/>
    <col min="5140" max="5140" width="1.54296875" style="14" customWidth="1"/>
    <col min="5141" max="5374" width="9.1796875" style="14"/>
    <col min="5375" max="5375" width="0" style="14" hidden="1" customWidth="1"/>
    <col min="5376" max="5376" width="20.453125" style="14" customWidth="1"/>
    <col min="5377" max="5377" width="8.26953125" style="14" customWidth="1"/>
    <col min="5378" max="5378" width="6.54296875" style="14" customWidth="1"/>
    <col min="5379" max="5379" width="8.453125" style="14" customWidth="1"/>
    <col min="5380" max="5380" width="7.54296875" style="14" customWidth="1"/>
    <col min="5381" max="5381" width="8" style="14" customWidth="1"/>
    <col min="5382" max="5382" width="6.81640625" style="14" bestFit="1" customWidth="1"/>
    <col min="5383" max="5383" width="6.54296875" style="14" customWidth="1"/>
    <col min="5384" max="5384" width="7.26953125" style="14" bestFit="1" customWidth="1"/>
    <col min="5385" max="5385" width="6" style="14" customWidth="1"/>
    <col min="5386" max="5386" width="2" style="14" customWidth="1"/>
    <col min="5387" max="5387" width="8.54296875" style="14" customWidth="1"/>
    <col min="5388" max="5388" width="6.54296875" style="14" customWidth="1"/>
    <col min="5389" max="5389" width="8.54296875" style="14" customWidth="1"/>
    <col min="5390" max="5390" width="8.1796875" style="14" customWidth="1"/>
    <col min="5391" max="5391" width="8" style="14" customWidth="1"/>
    <col min="5392" max="5392" width="6.81640625" style="14" customWidth="1"/>
    <col min="5393" max="5393" width="6.54296875" style="14" customWidth="1"/>
    <col min="5394" max="5394" width="7.26953125" style="14" customWidth="1"/>
    <col min="5395" max="5395" width="6.54296875" style="14" customWidth="1"/>
    <col min="5396" max="5396" width="1.54296875" style="14" customWidth="1"/>
    <col min="5397" max="5630" width="9.1796875" style="14"/>
    <col min="5631" max="5631" width="0" style="14" hidden="1" customWidth="1"/>
    <col min="5632" max="5632" width="20.453125" style="14" customWidth="1"/>
    <col min="5633" max="5633" width="8.26953125" style="14" customWidth="1"/>
    <col min="5634" max="5634" width="6.54296875" style="14" customWidth="1"/>
    <col min="5635" max="5635" width="8.453125" style="14" customWidth="1"/>
    <col min="5636" max="5636" width="7.54296875" style="14" customWidth="1"/>
    <col min="5637" max="5637" width="8" style="14" customWidth="1"/>
    <col min="5638" max="5638" width="6.81640625" style="14" bestFit="1" customWidth="1"/>
    <col min="5639" max="5639" width="6.54296875" style="14" customWidth="1"/>
    <col min="5640" max="5640" width="7.26953125" style="14" bestFit="1" customWidth="1"/>
    <col min="5641" max="5641" width="6" style="14" customWidth="1"/>
    <col min="5642" max="5642" width="2" style="14" customWidth="1"/>
    <col min="5643" max="5643" width="8.54296875" style="14" customWidth="1"/>
    <col min="5644" max="5644" width="6.54296875" style="14" customWidth="1"/>
    <col min="5645" max="5645" width="8.54296875" style="14" customWidth="1"/>
    <col min="5646" max="5646" width="8.1796875" style="14" customWidth="1"/>
    <col min="5647" max="5647" width="8" style="14" customWidth="1"/>
    <col min="5648" max="5648" width="6.81640625" style="14" customWidth="1"/>
    <col min="5649" max="5649" width="6.54296875" style="14" customWidth="1"/>
    <col min="5650" max="5650" width="7.26953125" style="14" customWidth="1"/>
    <col min="5651" max="5651" width="6.54296875" style="14" customWidth="1"/>
    <col min="5652" max="5652" width="1.54296875" style="14" customWidth="1"/>
    <col min="5653" max="5886" width="9.1796875" style="14"/>
    <col min="5887" max="5887" width="0" style="14" hidden="1" customWidth="1"/>
    <col min="5888" max="5888" width="20.453125" style="14" customWidth="1"/>
    <col min="5889" max="5889" width="8.26953125" style="14" customWidth="1"/>
    <col min="5890" max="5890" width="6.54296875" style="14" customWidth="1"/>
    <col min="5891" max="5891" width="8.453125" style="14" customWidth="1"/>
    <col min="5892" max="5892" width="7.54296875" style="14" customWidth="1"/>
    <col min="5893" max="5893" width="8" style="14" customWidth="1"/>
    <col min="5894" max="5894" width="6.81640625" style="14" bestFit="1" customWidth="1"/>
    <col min="5895" max="5895" width="6.54296875" style="14" customWidth="1"/>
    <col min="5896" max="5896" width="7.26953125" style="14" bestFit="1" customWidth="1"/>
    <col min="5897" max="5897" width="6" style="14" customWidth="1"/>
    <col min="5898" max="5898" width="2" style="14" customWidth="1"/>
    <col min="5899" max="5899" width="8.54296875" style="14" customWidth="1"/>
    <col min="5900" max="5900" width="6.54296875" style="14" customWidth="1"/>
    <col min="5901" max="5901" width="8.54296875" style="14" customWidth="1"/>
    <col min="5902" max="5902" width="8.1796875" style="14" customWidth="1"/>
    <col min="5903" max="5903" width="8" style="14" customWidth="1"/>
    <col min="5904" max="5904" width="6.81640625" style="14" customWidth="1"/>
    <col min="5905" max="5905" width="6.54296875" style="14" customWidth="1"/>
    <col min="5906" max="5906" width="7.26953125" style="14" customWidth="1"/>
    <col min="5907" max="5907" width="6.54296875" style="14" customWidth="1"/>
    <col min="5908" max="5908" width="1.54296875" style="14" customWidth="1"/>
    <col min="5909" max="6142" width="9.1796875" style="14"/>
    <col min="6143" max="6143" width="0" style="14" hidden="1" customWidth="1"/>
    <col min="6144" max="6144" width="20.453125" style="14" customWidth="1"/>
    <col min="6145" max="6145" width="8.26953125" style="14" customWidth="1"/>
    <col min="6146" max="6146" width="6.54296875" style="14" customWidth="1"/>
    <col min="6147" max="6147" width="8.453125" style="14" customWidth="1"/>
    <col min="6148" max="6148" width="7.54296875" style="14" customWidth="1"/>
    <col min="6149" max="6149" width="8" style="14" customWidth="1"/>
    <col min="6150" max="6150" width="6.81640625" style="14" bestFit="1" customWidth="1"/>
    <col min="6151" max="6151" width="6.54296875" style="14" customWidth="1"/>
    <col min="6152" max="6152" width="7.26953125" style="14" bestFit="1" customWidth="1"/>
    <col min="6153" max="6153" width="6" style="14" customWidth="1"/>
    <col min="6154" max="6154" width="2" style="14" customWidth="1"/>
    <col min="6155" max="6155" width="8.54296875" style="14" customWidth="1"/>
    <col min="6156" max="6156" width="6.54296875" style="14" customWidth="1"/>
    <col min="6157" max="6157" width="8.54296875" style="14" customWidth="1"/>
    <col min="6158" max="6158" width="8.1796875" style="14" customWidth="1"/>
    <col min="6159" max="6159" width="8" style="14" customWidth="1"/>
    <col min="6160" max="6160" width="6.81640625" style="14" customWidth="1"/>
    <col min="6161" max="6161" width="6.54296875" style="14" customWidth="1"/>
    <col min="6162" max="6162" width="7.26953125" style="14" customWidth="1"/>
    <col min="6163" max="6163" width="6.54296875" style="14" customWidth="1"/>
    <col min="6164" max="6164" width="1.54296875" style="14" customWidth="1"/>
    <col min="6165" max="6398" width="9.1796875" style="14"/>
    <col min="6399" max="6399" width="0" style="14" hidden="1" customWidth="1"/>
    <col min="6400" max="6400" width="20.453125" style="14" customWidth="1"/>
    <col min="6401" max="6401" width="8.26953125" style="14" customWidth="1"/>
    <col min="6402" max="6402" width="6.54296875" style="14" customWidth="1"/>
    <col min="6403" max="6403" width="8.453125" style="14" customWidth="1"/>
    <col min="6404" max="6404" width="7.54296875" style="14" customWidth="1"/>
    <col min="6405" max="6405" width="8" style="14" customWidth="1"/>
    <col min="6406" max="6406" width="6.81640625" style="14" bestFit="1" customWidth="1"/>
    <col min="6407" max="6407" width="6.54296875" style="14" customWidth="1"/>
    <col min="6408" max="6408" width="7.26953125" style="14" bestFit="1" customWidth="1"/>
    <col min="6409" max="6409" width="6" style="14" customWidth="1"/>
    <col min="6410" max="6410" width="2" style="14" customWidth="1"/>
    <col min="6411" max="6411" width="8.54296875" style="14" customWidth="1"/>
    <col min="6412" max="6412" width="6.54296875" style="14" customWidth="1"/>
    <col min="6413" max="6413" width="8.54296875" style="14" customWidth="1"/>
    <col min="6414" max="6414" width="8.1796875" style="14" customWidth="1"/>
    <col min="6415" max="6415" width="8" style="14" customWidth="1"/>
    <col min="6416" max="6416" width="6.81640625" style="14" customWidth="1"/>
    <col min="6417" max="6417" width="6.54296875" style="14" customWidth="1"/>
    <col min="6418" max="6418" width="7.26953125" style="14" customWidth="1"/>
    <col min="6419" max="6419" width="6.54296875" style="14" customWidth="1"/>
    <col min="6420" max="6420" width="1.54296875" style="14" customWidth="1"/>
    <col min="6421" max="6654" width="9.1796875" style="14"/>
    <col min="6655" max="6655" width="0" style="14" hidden="1" customWidth="1"/>
    <col min="6656" max="6656" width="20.453125" style="14" customWidth="1"/>
    <col min="6657" max="6657" width="8.26953125" style="14" customWidth="1"/>
    <col min="6658" max="6658" width="6.54296875" style="14" customWidth="1"/>
    <col min="6659" max="6659" width="8.453125" style="14" customWidth="1"/>
    <col min="6660" max="6660" width="7.54296875" style="14" customWidth="1"/>
    <col min="6661" max="6661" width="8" style="14" customWidth="1"/>
    <col min="6662" max="6662" width="6.81640625" style="14" bestFit="1" customWidth="1"/>
    <col min="6663" max="6663" width="6.54296875" style="14" customWidth="1"/>
    <col min="6664" max="6664" width="7.26953125" style="14" bestFit="1" customWidth="1"/>
    <col min="6665" max="6665" width="6" style="14" customWidth="1"/>
    <col min="6666" max="6666" width="2" style="14" customWidth="1"/>
    <col min="6667" max="6667" width="8.54296875" style="14" customWidth="1"/>
    <col min="6668" max="6668" width="6.54296875" style="14" customWidth="1"/>
    <col min="6669" max="6669" width="8.54296875" style="14" customWidth="1"/>
    <col min="6670" max="6670" width="8.1796875" style="14" customWidth="1"/>
    <col min="6671" max="6671" width="8" style="14" customWidth="1"/>
    <col min="6672" max="6672" width="6.81640625" style="14" customWidth="1"/>
    <col min="6673" max="6673" width="6.54296875" style="14" customWidth="1"/>
    <col min="6674" max="6674" width="7.26953125" style="14" customWidth="1"/>
    <col min="6675" max="6675" width="6.54296875" style="14" customWidth="1"/>
    <col min="6676" max="6676" width="1.54296875" style="14" customWidth="1"/>
    <col min="6677" max="6910" width="9.1796875" style="14"/>
    <col min="6911" max="6911" width="0" style="14" hidden="1" customWidth="1"/>
    <col min="6912" max="6912" width="20.453125" style="14" customWidth="1"/>
    <col min="6913" max="6913" width="8.26953125" style="14" customWidth="1"/>
    <col min="6914" max="6914" width="6.54296875" style="14" customWidth="1"/>
    <col min="6915" max="6915" width="8.453125" style="14" customWidth="1"/>
    <col min="6916" max="6916" width="7.54296875" style="14" customWidth="1"/>
    <col min="6917" max="6917" width="8" style="14" customWidth="1"/>
    <col min="6918" max="6918" width="6.81640625" style="14" bestFit="1" customWidth="1"/>
    <col min="6919" max="6919" width="6.54296875" style="14" customWidth="1"/>
    <col min="6920" max="6920" width="7.26953125" style="14" bestFit="1" customWidth="1"/>
    <col min="6921" max="6921" width="6" style="14" customWidth="1"/>
    <col min="6922" max="6922" width="2" style="14" customWidth="1"/>
    <col min="6923" max="6923" width="8.54296875" style="14" customWidth="1"/>
    <col min="6924" max="6924" width="6.54296875" style="14" customWidth="1"/>
    <col min="6925" max="6925" width="8.54296875" style="14" customWidth="1"/>
    <col min="6926" max="6926" width="8.1796875" style="14" customWidth="1"/>
    <col min="6927" max="6927" width="8" style="14" customWidth="1"/>
    <col min="6928" max="6928" width="6.81640625" style="14" customWidth="1"/>
    <col min="6929" max="6929" width="6.54296875" style="14" customWidth="1"/>
    <col min="6930" max="6930" width="7.26953125" style="14" customWidth="1"/>
    <col min="6931" max="6931" width="6.54296875" style="14" customWidth="1"/>
    <col min="6932" max="6932" width="1.54296875" style="14" customWidth="1"/>
    <col min="6933" max="7166" width="9.1796875" style="14"/>
    <col min="7167" max="7167" width="0" style="14" hidden="1" customWidth="1"/>
    <col min="7168" max="7168" width="20.453125" style="14" customWidth="1"/>
    <col min="7169" max="7169" width="8.26953125" style="14" customWidth="1"/>
    <col min="7170" max="7170" width="6.54296875" style="14" customWidth="1"/>
    <col min="7171" max="7171" width="8.453125" style="14" customWidth="1"/>
    <col min="7172" max="7172" width="7.54296875" style="14" customWidth="1"/>
    <col min="7173" max="7173" width="8" style="14" customWidth="1"/>
    <col min="7174" max="7174" width="6.81640625" style="14" bestFit="1" customWidth="1"/>
    <col min="7175" max="7175" width="6.54296875" style="14" customWidth="1"/>
    <col min="7176" max="7176" width="7.26953125" style="14" bestFit="1" customWidth="1"/>
    <col min="7177" max="7177" width="6" style="14" customWidth="1"/>
    <col min="7178" max="7178" width="2" style="14" customWidth="1"/>
    <col min="7179" max="7179" width="8.54296875" style="14" customWidth="1"/>
    <col min="7180" max="7180" width="6.54296875" style="14" customWidth="1"/>
    <col min="7181" max="7181" width="8.54296875" style="14" customWidth="1"/>
    <col min="7182" max="7182" width="8.1796875" style="14" customWidth="1"/>
    <col min="7183" max="7183" width="8" style="14" customWidth="1"/>
    <col min="7184" max="7184" width="6.81640625" style="14" customWidth="1"/>
    <col min="7185" max="7185" width="6.54296875" style="14" customWidth="1"/>
    <col min="7186" max="7186" width="7.26953125" style="14" customWidth="1"/>
    <col min="7187" max="7187" width="6.54296875" style="14" customWidth="1"/>
    <col min="7188" max="7188" width="1.54296875" style="14" customWidth="1"/>
    <col min="7189" max="7422" width="9.1796875" style="14"/>
    <col min="7423" max="7423" width="0" style="14" hidden="1" customWidth="1"/>
    <col min="7424" max="7424" width="20.453125" style="14" customWidth="1"/>
    <col min="7425" max="7425" width="8.26953125" style="14" customWidth="1"/>
    <col min="7426" max="7426" width="6.54296875" style="14" customWidth="1"/>
    <col min="7427" max="7427" width="8.453125" style="14" customWidth="1"/>
    <col min="7428" max="7428" width="7.54296875" style="14" customWidth="1"/>
    <col min="7429" max="7429" width="8" style="14" customWidth="1"/>
    <col min="7430" max="7430" width="6.81640625" style="14" bestFit="1" customWidth="1"/>
    <col min="7431" max="7431" width="6.54296875" style="14" customWidth="1"/>
    <col min="7432" max="7432" width="7.26953125" style="14" bestFit="1" customWidth="1"/>
    <col min="7433" max="7433" width="6" style="14" customWidth="1"/>
    <col min="7434" max="7434" width="2" style="14" customWidth="1"/>
    <col min="7435" max="7435" width="8.54296875" style="14" customWidth="1"/>
    <col min="7436" max="7436" width="6.54296875" style="14" customWidth="1"/>
    <col min="7437" max="7437" width="8.54296875" style="14" customWidth="1"/>
    <col min="7438" max="7438" width="8.1796875" style="14" customWidth="1"/>
    <col min="7439" max="7439" width="8" style="14" customWidth="1"/>
    <col min="7440" max="7440" width="6.81640625" style="14" customWidth="1"/>
    <col min="7441" max="7441" width="6.54296875" style="14" customWidth="1"/>
    <col min="7442" max="7442" width="7.26953125" style="14" customWidth="1"/>
    <col min="7443" max="7443" width="6.54296875" style="14" customWidth="1"/>
    <col min="7444" max="7444" width="1.54296875" style="14" customWidth="1"/>
    <col min="7445" max="7678" width="9.1796875" style="14"/>
    <col min="7679" max="7679" width="0" style="14" hidden="1" customWidth="1"/>
    <col min="7680" max="7680" width="20.453125" style="14" customWidth="1"/>
    <col min="7681" max="7681" width="8.26953125" style="14" customWidth="1"/>
    <col min="7682" max="7682" width="6.54296875" style="14" customWidth="1"/>
    <col min="7683" max="7683" width="8.453125" style="14" customWidth="1"/>
    <col min="7684" max="7684" width="7.54296875" style="14" customWidth="1"/>
    <col min="7685" max="7685" width="8" style="14" customWidth="1"/>
    <col min="7686" max="7686" width="6.81640625" style="14" bestFit="1" customWidth="1"/>
    <col min="7687" max="7687" width="6.54296875" style="14" customWidth="1"/>
    <col min="7688" max="7688" width="7.26953125" style="14" bestFit="1" customWidth="1"/>
    <col min="7689" max="7689" width="6" style="14" customWidth="1"/>
    <col min="7690" max="7690" width="2" style="14" customWidth="1"/>
    <col min="7691" max="7691" width="8.54296875" style="14" customWidth="1"/>
    <col min="7692" max="7692" width="6.54296875" style="14" customWidth="1"/>
    <col min="7693" max="7693" width="8.54296875" style="14" customWidth="1"/>
    <col min="7694" max="7694" width="8.1796875" style="14" customWidth="1"/>
    <col min="7695" max="7695" width="8" style="14" customWidth="1"/>
    <col min="7696" max="7696" width="6.81640625" style="14" customWidth="1"/>
    <col min="7697" max="7697" width="6.54296875" style="14" customWidth="1"/>
    <col min="7698" max="7698" width="7.26953125" style="14" customWidth="1"/>
    <col min="7699" max="7699" width="6.54296875" style="14" customWidth="1"/>
    <col min="7700" max="7700" width="1.54296875" style="14" customWidth="1"/>
    <col min="7701" max="7934" width="9.1796875" style="14"/>
    <col min="7935" max="7935" width="0" style="14" hidden="1" customWidth="1"/>
    <col min="7936" max="7936" width="20.453125" style="14" customWidth="1"/>
    <col min="7937" max="7937" width="8.26953125" style="14" customWidth="1"/>
    <col min="7938" max="7938" width="6.54296875" style="14" customWidth="1"/>
    <col min="7939" max="7939" width="8.453125" style="14" customWidth="1"/>
    <col min="7940" max="7940" width="7.54296875" style="14" customWidth="1"/>
    <col min="7941" max="7941" width="8" style="14" customWidth="1"/>
    <col min="7942" max="7942" width="6.81640625" style="14" bestFit="1" customWidth="1"/>
    <col min="7943" max="7943" width="6.54296875" style="14" customWidth="1"/>
    <col min="7944" max="7944" width="7.26953125" style="14" bestFit="1" customWidth="1"/>
    <col min="7945" max="7945" width="6" style="14" customWidth="1"/>
    <col min="7946" max="7946" width="2" style="14" customWidth="1"/>
    <col min="7947" max="7947" width="8.54296875" style="14" customWidth="1"/>
    <col min="7948" max="7948" width="6.54296875" style="14" customWidth="1"/>
    <col min="7949" max="7949" width="8.54296875" style="14" customWidth="1"/>
    <col min="7950" max="7950" width="8.1796875" style="14" customWidth="1"/>
    <col min="7951" max="7951" width="8" style="14" customWidth="1"/>
    <col min="7952" max="7952" width="6.81640625" style="14" customWidth="1"/>
    <col min="7953" max="7953" width="6.54296875" style="14" customWidth="1"/>
    <col min="7954" max="7954" width="7.26953125" style="14" customWidth="1"/>
    <col min="7955" max="7955" width="6.54296875" style="14" customWidth="1"/>
    <col min="7956" max="7956" width="1.54296875" style="14" customWidth="1"/>
    <col min="7957" max="8190" width="9.1796875" style="14"/>
    <col min="8191" max="8191" width="0" style="14" hidden="1" customWidth="1"/>
    <col min="8192" max="8192" width="20.453125" style="14" customWidth="1"/>
    <col min="8193" max="8193" width="8.26953125" style="14" customWidth="1"/>
    <col min="8194" max="8194" width="6.54296875" style="14" customWidth="1"/>
    <col min="8195" max="8195" width="8.453125" style="14" customWidth="1"/>
    <col min="8196" max="8196" width="7.54296875" style="14" customWidth="1"/>
    <col min="8197" max="8197" width="8" style="14" customWidth="1"/>
    <col min="8198" max="8198" width="6.81640625" style="14" bestFit="1" customWidth="1"/>
    <col min="8199" max="8199" width="6.54296875" style="14" customWidth="1"/>
    <col min="8200" max="8200" width="7.26953125" style="14" bestFit="1" customWidth="1"/>
    <col min="8201" max="8201" width="6" style="14" customWidth="1"/>
    <col min="8202" max="8202" width="2" style="14" customWidth="1"/>
    <col min="8203" max="8203" width="8.54296875" style="14" customWidth="1"/>
    <col min="8204" max="8204" width="6.54296875" style="14" customWidth="1"/>
    <col min="8205" max="8205" width="8.54296875" style="14" customWidth="1"/>
    <col min="8206" max="8206" width="8.1796875" style="14" customWidth="1"/>
    <col min="8207" max="8207" width="8" style="14" customWidth="1"/>
    <col min="8208" max="8208" width="6.81640625" style="14" customWidth="1"/>
    <col min="8209" max="8209" width="6.54296875" style="14" customWidth="1"/>
    <col min="8210" max="8210" width="7.26953125" style="14" customWidth="1"/>
    <col min="8211" max="8211" width="6.54296875" style="14" customWidth="1"/>
    <col min="8212" max="8212" width="1.54296875" style="14" customWidth="1"/>
    <col min="8213" max="8446" width="9.1796875" style="14"/>
    <col min="8447" max="8447" width="0" style="14" hidden="1" customWidth="1"/>
    <col min="8448" max="8448" width="20.453125" style="14" customWidth="1"/>
    <col min="8449" max="8449" width="8.26953125" style="14" customWidth="1"/>
    <col min="8450" max="8450" width="6.54296875" style="14" customWidth="1"/>
    <col min="8451" max="8451" width="8.453125" style="14" customWidth="1"/>
    <col min="8452" max="8452" width="7.54296875" style="14" customWidth="1"/>
    <col min="8453" max="8453" width="8" style="14" customWidth="1"/>
    <col min="8454" max="8454" width="6.81640625" style="14" bestFit="1" customWidth="1"/>
    <col min="8455" max="8455" width="6.54296875" style="14" customWidth="1"/>
    <col min="8456" max="8456" width="7.26953125" style="14" bestFit="1" customWidth="1"/>
    <col min="8457" max="8457" width="6" style="14" customWidth="1"/>
    <col min="8458" max="8458" width="2" style="14" customWidth="1"/>
    <col min="8459" max="8459" width="8.54296875" style="14" customWidth="1"/>
    <col min="8460" max="8460" width="6.54296875" style="14" customWidth="1"/>
    <col min="8461" max="8461" width="8.54296875" style="14" customWidth="1"/>
    <col min="8462" max="8462" width="8.1796875" style="14" customWidth="1"/>
    <col min="8463" max="8463" width="8" style="14" customWidth="1"/>
    <col min="8464" max="8464" width="6.81640625" style="14" customWidth="1"/>
    <col min="8465" max="8465" width="6.54296875" style="14" customWidth="1"/>
    <col min="8466" max="8466" width="7.26953125" style="14" customWidth="1"/>
    <col min="8467" max="8467" width="6.54296875" style="14" customWidth="1"/>
    <col min="8468" max="8468" width="1.54296875" style="14" customWidth="1"/>
    <col min="8469" max="8702" width="9.1796875" style="14"/>
    <col min="8703" max="8703" width="0" style="14" hidden="1" customWidth="1"/>
    <col min="8704" max="8704" width="20.453125" style="14" customWidth="1"/>
    <col min="8705" max="8705" width="8.26953125" style="14" customWidth="1"/>
    <col min="8706" max="8706" width="6.54296875" style="14" customWidth="1"/>
    <col min="8707" max="8707" width="8.453125" style="14" customWidth="1"/>
    <col min="8708" max="8708" width="7.54296875" style="14" customWidth="1"/>
    <col min="8709" max="8709" width="8" style="14" customWidth="1"/>
    <col min="8710" max="8710" width="6.81640625" style="14" bestFit="1" customWidth="1"/>
    <col min="8711" max="8711" width="6.54296875" style="14" customWidth="1"/>
    <col min="8712" max="8712" width="7.26953125" style="14" bestFit="1" customWidth="1"/>
    <col min="8713" max="8713" width="6" style="14" customWidth="1"/>
    <col min="8714" max="8714" width="2" style="14" customWidth="1"/>
    <col min="8715" max="8715" width="8.54296875" style="14" customWidth="1"/>
    <col min="8716" max="8716" width="6.54296875" style="14" customWidth="1"/>
    <col min="8717" max="8717" width="8.54296875" style="14" customWidth="1"/>
    <col min="8718" max="8718" width="8.1796875" style="14" customWidth="1"/>
    <col min="8719" max="8719" width="8" style="14" customWidth="1"/>
    <col min="8720" max="8720" width="6.81640625" style="14" customWidth="1"/>
    <col min="8721" max="8721" width="6.54296875" style="14" customWidth="1"/>
    <col min="8722" max="8722" width="7.26953125" style="14" customWidth="1"/>
    <col min="8723" max="8723" width="6.54296875" style="14" customWidth="1"/>
    <col min="8724" max="8724" width="1.54296875" style="14" customWidth="1"/>
    <col min="8725" max="8958" width="9.1796875" style="14"/>
    <col min="8959" max="8959" width="0" style="14" hidden="1" customWidth="1"/>
    <col min="8960" max="8960" width="20.453125" style="14" customWidth="1"/>
    <col min="8961" max="8961" width="8.26953125" style="14" customWidth="1"/>
    <col min="8962" max="8962" width="6.54296875" style="14" customWidth="1"/>
    <col min="8963" max="8963" width="8.453125" style="14" customWidth="1"/>
    <col min="8964" max="8964" width="7.54296875" style="14" customWidth="1"/>
    <col min="8965" max="8965" width="8" style="14" customWidth="1"/>
    <col min="8966" max="8966" width="6.81640625" style="14" bestFit="1" customWidth="1"/>
    <col min="8967" max="8967" width="6.54296875" style="14" customWidth="1"/>
    <col min="8968" max="8968" width="7.26953125" style="14" bestFit="1" customWidth="1"/>
    <col min="8969" max="8969" width="6" style="14" customWidth="1"/>
    <col min="8970" max="8970" width="2" style="14" customWidth="1"/>
    <col min="8971" max="8971" width="8.54296875" style="14" customWidth="1"/>
    <col min="8972" max="8972" width="6.54296875" style="14" customWidth="1"/>
    <col min="8973" max="8973" width="8.54296875" style="14" customWidth="1"/>
    <col min="8974" max="8974" width="8.1796875" style="14" customWidth="1"/>
    <col min="8975" max="8975" width="8" style="14" customWidth="1"/>
    <col min="8976" max="8976" width="6.81640625" style="14" customWidth="1"/>
    <col min="8977" max="8977" width="6.54296875" style="14" customWidth="1"/>
    <col min="8978" max="8978" width="7.26953125" style="14" customWidth="1"/>
    <col min="8979" max="8979" width="6.54296875" style="14" customWidth="1"/>
    <col min="8980" max="8980" width="1.54296875" style="14" customWidth="1"/>
    <col min="8981" max="9214" width="9.1796875" style="14"/>
    <col min="9215" max="9215" width="0" style="14" hidden="1" customWidth="1"/>
    <col min="9216" max="9216" width="20.453125" style="14" customWidth="1"/>
    <col min="9217" max="9217" width="8.26953125" style="14" customWidth="1"/>
    <col min="9218" max="9218" width="6.54296875" style="14" customWidth="1"/>
    <col min="9219" max="9219" width="8.453125" style="14" customWidth="1"/>
    <col min="9220" max="9220" width="7.54296875" style="14" customWidth="1"/>
    <col min="9221" max="9221" width="8" style="14" customWidth="1"/>
    <col min="9222" max="9222" width="6.81640625" style="14" bestFit="1" customWidth="1"/>
    <col min="9223" max="9223" width="6.54296875" style="14" customWidth="1"/>
    <col min="9224" max="9224" width="7.26953125" style="14" bestFit="1" customWidth="1"/>
    <col min="9225" max="9225" width="6" style="14" customWidth="1"/>
    <col min="9226" max="9226" width="2" style="14" customWidth="1"/>
    <col min="9227" max="9227" width="8.54296875" style="14" customWidth="1"/>
    <col min="9228" max="9228" width="6.54296875" style="14" customWidth="1"/>
    <col min="9229" max="9229" width="8.54296875" style="14" customWidth="1"/>
    <col min="9230" max="9230" width="8.1796875" style="14" customWidth="1"/>
    <col min="9231" max="9231" width="8" style="14" customWidth="1"/>
    <col min="9232" max="9232" width="6.81640625" style="14" customWidth="1"/>
    <col min="9233" max="9233" width="6.54296875" style="14" customWidth="1"/>
    <col min="9234" max="9234" width="7.26953125" style="14" customWidth="1"/>
    <col min="9235" max="9235" width="6.54296875" style="14" customWidth="1"/>
    <col min="9236" max="9236" width="1.54296875" style="14" customWidth="1"/>
    <col min="9237" max="9470" width="9.1796875" style="14"/>
    <col min="9471" max="9471" width="0" style="14" hidden="1" customWidth="1"/>
    <col min="9472" max="9472" width="20.453125" style="14" customWidth="1"/>
    <col min="9473" max="9473" width="8.26953125" style="14" customWidth="1"/>
    <col min="9474" max="9474" width="6.54296875" style="14" customWidth="1"/>
    <col min="9475" max="9475" width="8.453125" style="14" customWidth="1"/>
    <col min="9476" max="9476" width="7.54296875" style="14" customWidth="1"/>
    <col min="9477" max="9477" width="8" style="14" customWidth="1"/>
    <col min="9478" max="9478" width="6.81640625" style="14" bestFit="1" customWidth="1"/>
    <col min="9479" max="9479" width="6.54296875" style="14" customWidth="1"/>
    <col min="9480" max="9480" width="7.26953125" style="14" bestFit="1" customWidth="1"/>
    <col min="9481" max="9481" width="6" style="14" customWidth="1"/>
    <col min="9482" max="9482" width="2" style="14" customWidth="1"/>
    <col min="9483" max="9483" width="8.54296875" style="14" customWidth="1"/>
    <col min="9484" max="9484" width="6.54296875" style="14" customWidth="1"/>
    <col min="9485" max="9485" width="8.54296875" style="14" customWidth="1"/>
    <col min="9486" max="9486" width="8.1796875" style="14" customWidth="1"/>
    <col min="9487" max="9487" width="8" style="14" customWidth="1"/>
    <col min="9488" max="9488" width="6.81640625" style="14" customWidth="1"/>
    <col min="9489" max="9489" width="6.54296875" style="14" customWidth="1"/>
    <col min="9490" max="9490" width="7.26953125" style="14" customWidth="1"/>
    <col min="9491" max="9491" width="6.54296875" style="14" customWidth="1"/>
    <col min="9492" max="9492" width="1.54296875" style="14" customWidth="1"/>
    <col min="9493" max="9726" width="9.1796875" style="14"/>
    <col min="9727" max="9727" width="0" style="14" hidden="1" customWidth="1"/>
    <col min="9728" max="9728" width="20.453125" style="14" customWidth="1"/>
    <col min="9729" max="9729" width="8.26953125" style="14" customWidth="1"/>
    <col min="9730" max="9730" width="6.54296875" style="14" customWidth="1"/>
    <col min="9731" max="9731" width="8.453125" style="14" customWidth="1"/>
    <col min="9732" max="9732" width="7.54296875" style="14" customWidth="1"/>
    <col min="9733" max="9733" width="8" style="14" customWidth="1"/>
    <col min="9734" max="9734" width="6.81640625" style="14" bestFit="1" customWidth="1"/>
    <col min="9735" max="9735" width="6.54296875" style="14" customWidth="1"/>
    <col min="9736" max="9736" width="7.26953125" style="14" bestFit="1" customWidth="1"/>
    <col min="9737" max="9737" width="6" style="14" customWidth="1"/>
    <col min="9738" max="9738" width="2" style="14" customWidth="1"/>
    <col min="9739" max="9739" width="8.54296875" style="14" customWidth="1"/>
    <col min="9740" max="9740" width="6.54296875" style="14" customWidth="1"/>
    <col min="9741" max="9741" width="8.54296875" style="14" customWidth="1"/>
    <col min="9742" max="9742" width="8.1796875" style="14" customWidth="1"/>
    <col min="9743" max="9743" width="8" style="14" customWidth="1"/>
    <col min="9744" max="9744" width="6.81640625" style="14" customWidth="1"/>
    <col min="9745" max="9745" width="6.54296875" style="14" customWidth="1"/>
    <col min="9746" max="9746" width="7.26953125" style="14" customWidth="1"/>
    <col min="9747" max="9747" width="6.54296875" style="14" customWidth="1"/>
    <col min="9748" max="9748" width="1.54296875" style="14" customWidth="1"/>
    <col min="9749" max="9982" width="9.1796875" style="14"/>
    <col min="9983" max="9983" width="0" style="14" hidden="1" customWidth="1"/>
    <col min="9984" max="9984" width="20.453125" style="14" customWidth="1"/>
    <col min="9985" max="9985" width="8.26953125" style="14" customWidth="1"/>
    <col min="9986" max="9986" width="6.54296875" style="14" customWidth="1"/>
    <col min="9987" max="9987" width="8.453125" style="14" customWidth="1"/>
    <col min="9988" max="9988" width="7.54296875" style="14" customWidth="1"/>
    <col min="9989" max="9989" width="8" style="14" customWidth="1"/>
    <col min="9990" max="9990" width="6.81640625" style="14" bestFit="1" customWidth="1"/>
    <col min="9991" max="9991" width="6.54296875" style="14" customWidth="1"/>
    <col min="9992" max="9992" width="7.26953125" style="14" bestFit="1" customWidth="1"/>
    <col min="9993" max="9993" width="6" style="14" customWidth="1"/>
    <col min="9994" max="9994" width="2" style="14" customWidth="1"/>
    <col min="9995" max="9995" width="8.54296875" style="14" customWidth="1"/>
    <col min="9996" max="9996" width="6.54296875" style="14" customWidth="1"/>
    <col min="9997" max="9997" width="8.54296875" style="14" customWidth="1"/>
    <col min="9998" max="9998" width="8.1796875" style="14" customWidth="1"/>
    <col min="9999" max="9999" width="8" style="14" customWidth="1"/>
    <col min="10000" max="10000" width="6.81640625" style="14" customWidth="1"/>
    <col min="10001" max="10001" width="6.54296875" style="14" customWidth="1"/>
    <col min="10002" max="10002" width="7.26953125" style="14" customWidth="1"/>
    <col min="10003" max="10003" width="6.54296875" style="14" customWidth="1"/>
    <col min="10004" max="10004" width="1.54296875" style="14" customWidth="1"/>
    <col min="10005" max="10238" width="9.1796875" style="14"/>
    <col min="10239" max="10239" width="0" style="14" hidden="1" customWidth="1"/>
    <col min="10240" max="10240" width="20.453125" style="14" customWidth="1"/>
    <col min="10241" max="10241" width="8.26953125" style="14" customWidth="1"/>
    <col min="10242" max="10242" width="6.54296875" style="14" customWidth="1"/>
    <col min="10243" max="10243" width="8.453125" style="14" customWidth="1"/>
    <col min="10244" max="10244" width="7.54296875" style="14" customWidth="1"/>
    <col min="10245" max="10245" width="8" style="14" customWidth="1"/>
    <col min="10246" max="10246" width="6.81640625" style="14" bestFit="1" customWidth="1"/>
    <col min="10247" max="10247" width="6.54296875" style="14" customWidth="1"/>
    <col min="10248" max="10248" width="7.26953125" style="14" bestFit="1" customWidth="1"/>
    <col min="10249" max="10249" width="6" style="14" customWidth="1"/>
    <col min="10250" max="10250" width="2" style="14" customWidth="1"/>
    <col min="10251" max="10251" width="8.54296875" style="14" customWidth="1"/>
    <col min="10252" max="10252" width="6.54296875" style="14" customWidth="1"/>
    <col min="10253" max="10253" width="8.54296875" style="14" customWidth="1"/>
    <col min="10254" max="10254" width="8.1796875" style="14" customWidth="1"/>
    <col min="10255" max="10255" width="8" style="14" customWidth="1"/>
    <col min="10256" max="10256" width="6.81640625" style="14" customWidth="1"/>
    <col min="10257" max="10257" width="6.54296875" style="14" customWidth="1"/>
    <col min="10258" max="10258" width="7.26953125" style="14" customWidth="1"/>
    <col min="10259" max="10259" width="6.54296875" style="14" customWidth="1"/>
    <col min="10260" max="10260" width="1.54296875" style="14" customWidth="1"/>
    <col min="10261" max="10494" width="9.1796875" style="14"/>
    <col min="10495" max="10495" width="0" style="14" hidden="1" customWidth="1"/>
    <col min="10496" max="10496" width="20.453125" style="14" customWidth="1"/>
    <col min="10497" max="10497" width="8.26953125" style="14" customWidth="1"/>
    <col min="10498" max="10498" width="6.54296875" style="14" customWidth="1"/>
    <col min="10499" max="10499" width="8.453125" style="14" customWidth="1"/>
    <col min="10500" max="10500" width="7.54296875" style="14" customWidth="1"/>
    <col min="10501" max="10501" width="8" style="14" customWidth="1"/>
    <col min="10502" max="10502" width="6.81640625" style="14" bestFit="1" customWidth="1"/>
    <col min="10503" max="10503" width="6.54296875" style="14" customWidth="1"/>
    <col min="10504" max="10504" width="7.26953125" style="14" bestFit="1" customWidth="1"/>
    <col min="10505" max="10505" width="6" style="14" customWidth="1"/>
    <col min="10506" max="10506" width="2" style="14" customWidth="1"/>
    <col min="10507" max="10507" width="8.54296875" style="14" customWidth="1"/>
    <col min="10508" max="10508" width="6.54296875" style="14" customWidth="1"/>
    <col min="10509" max="10509" width="8.54296875" style="14" customWidth="1"/>
    <col min="10510" max="10510" width="8.1796875" style="14" customWidth="1"/>
    <col min="10511" max="10511" width="8" style="14" customWidth="1"/>
    <col min="10512" max="10512" width="6.81640625" style="14" customWidth="1"/>
    <col min="10513" max="10513" width="6.54296875" style="14" customWidth="1"/>
    <col min="10514" max="10514" width="7.26953125" style="14" customWidth="1"/>
    <col min="10515" max="10515" width="6.54296875" style="14" customWidth="1"/>
    <col min="10516" max="10516" width="1.54296875" style="14" customWidth="1"/>
    <col min="10517" max="10750" width="9.1796875" style="14"/>
    <col min="10751" max="10751" width="0" style="14" hidden="1" customWidth="1"/>
    <col min="10752" max="10752" width="20.453125" style="14" customWidth="1"/>
    <col min="10753" max="10753" width="8.26953125" style="14" customWidth="1"/>
    <col min="10754" max="10754" width="6.54296875" style="14" customWidth="1"/>
    <col min="10755" max="10755" width="8.453125" style="14" customWidth="1"/>
    <col min="10756" max="10756" width="7.54296875" style="14" customWidth="1"/>
    <col min="10757" max="10757" width="8" style="14" customWidth="1"/>
    <col min="10758" max="10758" width="6.81640625" style="14" bestFit="1" customWidth="1"/>
    <col min="10759" max="10759" width="6.54296875" style="14" customWidth="1"/>
    <col min="10760" max="10760" width="7.26953125" style="14" bestFit="1" customWidth="1"/>
    <col min="10761" max="10761" width="6" style="14" customWidth="1"/>
    <col min="10762" max="10762" width="2" style="14" customWidth="1"/>
    <col min="10763" max="10763" width="8.54296875" style="14" customWidth="1"/>
    <col min="10764" max="10764" width="6.54296875" style="14" customWidth="1"/>
    <col min="10765" max="10765" width="8.54296875" style="14" customWidth="1"/>
    <col min="10766" max="10766" width="8.1796875" style="14" customWidth="1"/>
    <col min="10767" max="10767" width="8" style="14" customWidth="1"/>
    <col min="10768" max="10768" width="6.81640625" style="14" customWidth="1"/>
    <col min="10769" max="10769" width="6.54296875" style="14" customWidth="1"/>
    <col min="10770" max="10770" width="7.26953125" style="14" customWidth="1"/>
    <col min="10771" max="10771" width="6.54296875" style="14" customWidth="1"/>
    <col min="10772" max="10772" width="1.54296875" style="14" customWidth="1"/>
    <col min="10773" max="11006" width="9.1796875" style="14"/>
    <col min="11007" max="11007" width="0" style="14" hidden="1" customWidth="1"/>
    <col min="11008" max="11008" width="20.453125" style="14" customWidth="1"/>
    <col min="11009" max="11009" width="8.26953125" style="14" customWidth="1"/>
    <col min="11010" max="11010" width="6.54296875" style="14" customWidth="1"/>
    <col min="11011" max="11011" width="8.453125" style="14" customWidth="1"/>
    <col min="11012" max="11012" width="7.54296875" style="14" customWidth="1"/>
    <col min="11013" max="11013" width="8" style="14" customWidth="1"/>
    <col min="11014" max="11014" width="6.81640625" style="14" bestFit="1" customWidth="1"/>
    <col min="11015" max="11015" width="6.54296875" style="14" customWidth="1"/>
    <col min="11016" max="11016" width="7.26953125" style="14" bestFit="1" customWidth="1"/>
    <col min="11017" max="11017" width="6" style="14" customWidth="1"/>
    <col min="11018" max="11018" width="2" style="14" customWidth="1"/>
    <col min="11019" max="11019" width="8.54296875" style="14" customWidth="1"/>
    <col min="11020" max="11020" width="6.54296875" style="14" customWidth="1"/>
    <col min="11021" max="11021" width="8.54296875" style="14" customWidth="1"/>
    <col min="11022" max="11022" width="8.1796875" style="14" customWidth="1"/>
    <col min="11023" max="11023" width="8" style="14" customWidth="1"/>
    <col min="11024" max="11024" width="6.81640625" style="14" customWidth="1"/>
    <col min="11025" max="11025" width="6.54296875" style="14" customWidth="1"/>
    <col min="11026" max="11026" width="7.26953125" style="14" customWidth="1"/>
    <col min="11027" max="11027" width="6.54296875" style="14" customWidth="1"/>
    <col min="11028" max="11028" width="1.54296875" style="14" customWidth="1"/>
    <col min="11029" max="11262" width="9.1796875" style="14"/>
    <col min="11263" max="11263" width="0" style="14" hidden="1" customWidth="1"/>
    <col min="11264" max="11264" width="20.453125" style="14" customWidth="1"/>
    <col min="11265" max="11265" width="8.26953125" style="14" customWidth="1"/>
    <col min="11266" max="11266" width="6.54296875" style="14" customWidth="1"/>
    <col min="11267" max="11267" width="8.453125" style="14" customWidth="1"/>
    <col min="11268" max="11268" width="7.54296875" style="14" customWidth="1"/>
    <col min="11269" max="11269" width="8" style="14" customWidth="1"/>
    <col min="11270" max="11270" width="6.81640625" style="14" bestFit="1" customWidth="1"/>
    <col min="11271" max="11271" width="6.54296875" style="14" customWidth="1"/>
    <col min="11272" max="11272" width="7.26953125" style="14" bestFit="1" customWidth="1"/>
    <col min="11273" max="11273" width="6" style="14" customWidth="1"/>
    <col min="11274" max="11274" width="2" style="14" customWidth="1"/>
    <col min="11275" max="11275" width="8.54296875" style="14" customWidth="1"/>
    <col min="11276" max="11276" width="6.54296875" style="14" customWidth="1"/>
    <col min="11277" max="11277" width="8.54296875" style="14" customWidth="1"/>
    <col min="11278" max="11278" width="8.1796875" style="14" customWidth="1"/>
    <col min="11279" max="11279" width="8" style="14" customWidth="1"/>
    <col min="11280" max="11280" width="6.81640625" style="14" customWidth="1"/>
    <col min="11281" max="11281" width="6.54296875" style="14" customWidth="1"/>
    <col min="11282" max="11282" width="7.26953125" style="14" customWidth="1"/>
    <col min="11283" max="11283" width="6.54296875" style="14" customWidth="1"/>
    <col min="11284" max="11284" width="1.54296875" style="14" customWidth="1"/>
    <col min="11285" max="11518" width="9.1796875" style="14"/>
    <col min="11519" max="11519" width="0" style="14" hidden="1" customWidth="1"/>
    <col min="11520" max="11520" width="20.453125" style="14" customWidth="1"/>
    <col min="11521" max="11521" width="8.26953125" style="14" customWidth="1"/>
    <col min="11522" max="11522" width="6.54296875" style="14" customWidth="1"/>
    <col min="11523" max="11523" width="8.453125" style="14" customWidth="1"/>
    <col min="11524" max="11524" width="7.54296875" style="14" customWidth="1"/>
    <col min="11525" max="11525" width="8" style="14" customWidth="1"/>
    <col min="11526" max="11526" width="6.81640625" style="14" bestFit="1" customWidth="1"/>
    <col min="11527" max="11527" width="6.54296875" style="14" customWidth="1"/>
    <col min="11528" max="11528" width="7.26953125" style="14" bestFit="1" customWidth="1"/>
    <col min="11529" max="11529" width="6" style="14" customWidth="1"/>
    <col min="11530" max="11530" width="2" style="14" customWidth="1"/>
    <col min="11531" max="11531" width="8.54296875" style="14" customWidth="1"/>
    <col min="11532" max="11532" width="6.54296875" style="14" customWidth="1"/>
    <col min="11533" max="11533" width="8.54296875" style="14" customWidth="1"/>
    <col min="11534" max="11534" width="8.1796875" style="14" customWidth="1"/>
    <col min="11535" max="11535" width="8" style="14" customWidth="1"/>
    <col min="11536" max="11536" width="6.81640625" style="14" customWidth="1"/>
    <col min="11537" max="11537" width="6.54296875" style="14" customWidth="1"/>
    <col min="11538" max="11538" width="7.26953125" style="14" customWidth="1"/>
    <col min="11539" max="11539" width="6.54296875" style="14" customWidth="1"/>
    <col min="11540" max="11540" width="1.54296875" style="14" customWidth="1"/>
    <col min="11541" max="11774" width="9.1796875" style="14"/>
    <col min="11775" max="11775" width="0" style="14" hidden="1" customWidth="1"/>
    <col min="11776" max="11776" width="20.453125" style="14" customWidth="1"/>
    <col min="11777" max="11777" width="8.26953125" style="14" customWidth="1"/>
    <col min="11778" max="11778" width="6.54296875" style="14" customWidth="1"/>
    <col min="11779" max="11779" width="8.453125" style="14" customWidth="1"/>
    <col min="11780" max="11780" width="7.54296875" style="14" customWidth="1"/>
    <col min="11781" max="11781" width="8" style="14" customWidth="1"/>
    <col min="11782" max="11782" width="6.81640625" style="14" bestFit="1" customWidth="1"/>
    <col min="11783" max="11783" width="6.54296875" style="14" customWidth="1"/>
    <col min="11784" max="11784" width="7.26953125" style="14" bestFit="1" customWidth="1"/>
    <col min="11785" max="11785" width="6" style="14" customWidth="1"/>
    <col min="11786" max="11786" width="2" style="14" customWidth="1"/>
    <col min="11787" max="11787" width="8.54296875" style="14" customWidth="1"/>
    <col min="11788" max="11788" width="6.54296875" style="14" customWidth="1"/>
    <col min="11789" max="11789" width="8.54296875" style="14" customWidth="1"/>
    <col min="11790" max="11790" width="8.1796875" style="14" customWidth="1"/>
    <col min="11791" max="11791" width="8" style="14" customWidth="1"/>
    <col min="11792" max="11792" width="6.81640625" style="14" customWidth="1"/>
    <col min="11793" max="11793" width="6.54296875" style="14" customWidth="1"/>
    <col min="11794" max="11794" width="7.26953125" style="14" customWidth="1"/>
    <col min="11795" max="11795" width="6.54296875" style="14" customWidth="1"/>
    <col min="11796" max="11796" width="1.54296875" style="14" customWidth="1"/>
    <col min="11797" max="12030" width="9.1796875" style="14"/>
    <col min="12031" max="12031" width="0" style="14" hidden="1" customWidth="1"/>
    <col min="12032" max="12032" width="20.453125" style="14" customWidth="1"/>
    <col min="12033" max="12033" width="8.26953125" style="14" customWidth="1"/>
    <col min="12034" max="12034" width="6.54296875" style="14" customWidth="1"/>
    <col min="12035" max="12035" width="8.453125" style="14" customWidth="1"/>
    <col min="12036" max="12036" width="7.54296875" style="14" customWidth="1"/>
    <col min="12037" max="12037" width="8" style="14" customWidth="1"/>
    <col min="12038" max="12038" width="6.81640625" style="14" bestFit="1" customWidth="1"/>
    <col min="12039" max="12039" width="6.54296875" style="14" customWidth="1"/>
    <col min="12040" max="12040" width="7.26953125" style="14" bestFit="1" customWidth="1"/>
    <col min="12041" max="12041" width="6" style="14" customWidth="1"/>
    <col min="12042" max="12042" width="2" style="14" customWidth="1"/>
    <col min="12043" max="12043" width="8.54296875" style="14" customWidth="1"/>
    <col min="12044" max="12044" width="6.54296875" style="14" customWidth="1"/>
    <col min="12045" max="12045" width="8.54296875" style="14" customWidth="1"/>
    <col min="12046" max="12046" width="8.1796875" style="14" customWidth="1"/>
    <col min="12047" max="12047" width="8" style="14" customWidth="1"/>
    <col min="12048" max="12048" width="6.81640625" style="14" customWidth="1"/>
    <col min="12049" max="12049" width="6.54296875" style="14" customWidth="1"/>
    <col min="12050" max="12050" width="7.26953125" style="14" customWidth="1"/>
    <col min="12051" max="12051" width="6.54296875" style="14" customWidth="1"/>
    <col min="12052" max="12052" width="1.54296875" style="14" customWidth="1"/>
    <col min="12053" max="12286" width="9.1796875" style="14"/>
    <col min="12287" max="12287" width="0" style="14" hidden="1" customWidth="1"/>
    <col min="12288" max="12288" width="20.453125" style="14" customWidth="1"/>
    <col min="12289" max="12289" width="8.26953125" style="14" customWidth="1"/>
    <col min="12290" max="12290" width="6.54296875" style="14" customWidth="1"/>
    <col min="12291" max="12291" width="8.453125" style="14" customWidth="1"/>
    <col min="12292" max="12292" width="7.54296875" style="14" customWidth="1"/>
    <col min="12293" max="12293" width="8" style="14" customWidth="1"/>
    <col min="12294" max="12294" width="6.81640625" style="14" bestFit="1" customWidth="1"/>
    <col min="12295" max="12295" width="6.54296875" style="14" customWidth="1"/>
    <col min="12296" max="12296" width="7.26953125" style="14" bestFit="1" customWidth="1"/>
    <col min="12297" max="12297" width="6" style="14" customWidth="1"/>
    <col min="12298" max="12298" width="2" style="14" customWidth="1"/>
    <col min="12299" max="12299" width="8.54296875" style="14" customWidth="1"/>
    <col min="12300" max="12300" width="6.54296875" style="14" customWidth="1"/>
    <col min="12301" max="12301" width="8.54296875" style="14" customWidth="1"/>
    <col min="12302" max="12302" width="8.1796875" style="14" customWidth="1"/>
    <col min="12303" max="12303" width="8" style="14" customWidth="1"/>
    <col min="12304" max="12304" width="6.81640625" style="14" customWidth="1"/>
    <col min="12305" max="12305" width="6.54296875" style="14" customWidth="1"/>
    <col min="12306" max="12306" width="7.26953125" style="14" customWidth="1"/>
    <col min="12307" max="12307" width="6.54296875" style="14" customWidth="1"/>
    <col min="12308" max="12308" width="1.54296875" style="14" customWidth="1"/>
    <col min="12309" max="12542" width="9.1796875" style="14"/>
    <col min="12543" max="12543" width="0" style="14" hidden="1" customWidth="1"/>
    <col min="12544" max="12544" width="20.453125" style="14" customWidth="1"/>
    <col min="12545" max="12545" width="8.26953125" style="14" customWidth="1"/>
    <col min="12546" max="12546" width="6.54296875" style="14" customWidth="1"/>
    <col min="12547" max="12547" width="8.453125" style="14" customWidth="1"/>
    <col min="12548" max="12548" width="7.54296875" style="14" customWidth="1"/>
    <col min="12549" max="12549" width="8" style="14" customWidth="1"/>
    <col min="12550" max="12550" width="6.81640625" style="14" bestFit="1" customWidth="1"/>
    <col min="12551" max="12551" width="6.54296875" style="14" customWidth="1"/>
    <col min="12552" max="12552" width="7.26953125" style="14" bestFit="1" customWidth="1"/>
    <col min="12553" max="12553" width="6" style="14" customWidth="1"/>
    <col min="12554" max="12554" width="2" style="14" customWidth="1"/>
    <col min="12555" max="12555" width="8.54296875" style="14" customWidth="1"/>
    <col min="12556" max="12556" width="6.54296875" style="14" customWidth="1"/>
    <col min="12557" max="12557" width="8.54296875" style="14" customWidth="1"/>
    <col min="12558" max="12558" width="8.1796875" style="14" customWidth="1"/>
    <col min="12559" max="12559" width="8" style="14" customWidth="1"/>
    <col min="12560" max="12560" width="6.81640625" style="14" customWidth="1"/>
    <col min="12561" max="12561" width="6.54296875" style="14" customWidth="1"/>
    <col min="12562" max="12562" width="7.26953125" style="14" customWidth="1"/>
    <col min="12563" max="12563" width="6.54296875" style="14" customWidth="1"/>
    <col min="12564" max="12564" width="1.54296875" style="14" customWidth="1"/>
    <col min="12565" max="12798" width="9.1796875" style="14"/>
    <col min="12799" max="12799" width="0" style="14" hidden="1" customWidth="1"/>
    <col min="12800" max="12800" width="20.453125" style="14" customWidth="1"/>
    <col min="12801" max="12801" width="8.26953125" style="14" customWidth="1"/>
    <col min="12802" max="12802" width="6.54296875" style="14" customWidth="1"/>
    <col min="12803" max="12803" width="8.453125" style="14" customWidth="1"/>
    <col min="12804" max="12804" width="7.54296875" style="14" customWidth="1"/>
    <col min="12805" max="12805" width="8" style="14" customWidth="1"/>
    <col min="12806" max="12806" width="6.81640625" style="14" bestFit="1" customWidth="1"/>
    <col min="12807" max="12807" width="6.54296875" style="14" customWidth="1"/>
    <col min="12808" max="12808" width="7.26953125" style="14" bestFit="1" customWidth="1"/>
    <col min="12809" max="12809" width="6" style="14" customWidth="1"/>
    <col min="12810" max="12810" width="2" style="14" customWidth="1"/>
    <col min="12811" max="12811" width="8.54296875" style="14" customWidth="1"/>
    <col min="12812" max="12812" width="6.54296875" style="14" customWidth="1"/>
    <col min="12813" max="12813" width="8.54296875" style="14" customWidth="1"/>
    <col min="12814" max="12814" width="8.1796875" style="14" customWidth="1"/>
    <col min="12815" max="12815" width="8" style="14" customWidth="1"/>
    <col min="12816" max="12816" width="6.81640625" style="14" customWidth="1"/>
    <col min="12817" max="12817" width="6.54296875" style="14" customWidth="1"/>
    <col min="12818" max="12818" width="7.26953125" style="14" customWidth="1"/>
    <col min="12819" max="12819" width="6.54296875" style="14" customWidth="1"/>
    <col min="12820" max="12820" width="1.54296875" style="14" customWidth="1"/>
    <col min="12821" max="13054" width="9.1796875" style="14"/>
    <col min="13055" max="13055" width="0" style="14" hidden="1" customWidth="1"/>
    <col min="13056" max="13056" width="20.453125" style="14" customWidth="1"/>
    <col min="13057" max="13057" width="8.26953125" style="14" customWidth="1"/>
    <col min="13058" max="13058" width="6.54296875" style="14" customWidth="1"/>
    <col min="13059" max="13059" width="8.453125" style="14" customWidth="1"/>
    <col min="13060" max="13060" width="7.54296875" style="14" customWidth="1"/>
    <col min="13061" max="13061" width="8" style="14" customWidth="1"/>
    <col min="13062" max="13062" width="6.81640625" style="14" bestFit="1" customWidth="1"/>
    <col min="13063" max="13063" width="6.54296875" style="14" customWidth="1"/>
    <col min="13064" max="13064" width="7.26953125" style="14" bestFit="1" customWidth="1"/>
    <col min="13065" max="13065" width="6" style="14" customWidth="1"/>
    <col min="13066" max="13066" width="2" style="14" customWidth="1"/>
    <col min="13067" max="13067" width="8.54296875" style="14" customWidth="1"/>
    <col min="13068" max="13068" width="6.54296875" style="14" customWidth="1"/>
    <col min="13069" max="13069" width="8.54296875" style="14" customWidth="1"/>
    <col min="13070" max="13070" width="8.1796875" style="14" customWidth="1"/>
    <col min="13071" max="13071" width="8" style="14" customWidth="1"/>
    <col min="13072" max="13072" width="6.81640625" style="14" customWidth="1"/>
    <col min="13073" max="13073" width="6.54296875" style="14" customWidth="1"/>
    <col min="13074" max="13074" width="7.26953125" style="14" customWidth="1"/>
    <col min="13075" max="13075" width="6.54296875" style="14" customWidth="1"/>
    <col min="13076" max="13076" width="1.54296875" style="14" customWidth="1"/>
    <col min="13077" max="13310" width="9.1796875" style="14"/>
    <col min="13311" max="13311" width="0" style="14" hidden="1" customWidth="1"/>
    <col min="13312" max="13312" width="20.453125" style="14" customWidth="1"/>
    <col min="13313" max="13313" width="8.26953125" style="14" customWidth="1"/>
    <col min="13314" max="13314" width="6.54296875" style="14" customWidth="1"/>
    <col min="13315" max="13315" width="8.453125" style="14" customWidth="1"/>
    <col min="13316" max="13316" width="7.54296875" style="14" customWidth="1"/>
    <col min="13317" max="13317" width="8" style="14" customWidth="1"/>
    <col min="13318" max="13318" width="6.81640625" style="14" bestFit="1" customWidth="1"/>
    <col min="13319" max="13319" width="6.54296875" style="14" customWidth="1"/>
    <col min="13320" max="13320" width="7.26953125" style="14" bestFit="1" customWidth="1"/>
    <col min="13321" max="13321" width="6" style="14" customWidth="1"/>
    <col min="13322" max="13322" width="2" style="14" customWidth="1"/>
    <col min="13323" max="13323" width="8.54296875" style="14" customWidth="1"/>
    <col min="13324" max="13324" width="6.54296875" style="14" customWidth="1"/>
    <col min="13325" max="13325" width="8.54296875" style="14" customWidth="1"/>
    <col min="13326" max="13326" width="8.1796875" style="14" customWidth="1"/>
    <col min="13327" max="13327" width="8" style="14" customWidth="1"/>
    <col min="13328" max="13328" width="6.81640625" style="14" customWidth="1"/>
    <col min="13329" max="13329" width="6.54296875" style="14" customWidth="1"/>
    <col min="13330" max="13330" width="7.26953125" style="14" customWidth="1"/>
    <col min="13331" max="13331" width="6.54296875" style="14" customWidth="1"/>
    <col min="13332" max="13332" width="1.54296875" style="14" customWidth="1"/>
    <col min="13333" max="13566" width="9.1796875" style="14"/>
    <col min="13567" max="13567" width="0" style="14" hidden="1" customWidth="1"/>
    <col min="13568" max="13568" width="20.453125" style="14" customWidth="1"/>
    <col min="13569" max="13569" width="8.26953125" style="14" customWidth="1"/>
    <col min="13570" max="13570" width="6.54296875" style="14" customWidth="1"/>
    <col min="13571" max="13571" width="8.453125" style="14" customWidth="1"/>
    <col min="13572" max="13572" width="7.54296875" style="14" customWidth="1"/>
    <col min="13573" max="13573" width="8" style="14" customWidth="1"/>
    <col min="13574" max="13574" width="6.81640625" style="14" bestFit="1" customWidth="1"/>
    <col min="13575" max="13575" width="6.54296875" style="14" customWidth="1"/>
    <col min="13576" max="13576" width="7.26953125" style="14" bestFit="1" customWidth="1"/>
    <col min="13577" max="13577" width="6" style="14" customWidth="1"/>
    <col min="13578" max="13578" width="2" style="14" customWidth="1"/>
    <col min="13579" max="13579" width="8.54296875" style="14" customWidth="1"/>
    <col min="13580" max="13580" width="6.54296875" style="14" customWidth="1"/>
    <col min="13581" max="13581" width="8.54296875" style="14" customWidth="1"/>
    <col min="13582" max="13582" width="8.1796875" style="14" customWidth="1"/>
    <col min="13583" max="13583" width="8" style="14" customWidth="1"/>
    <col min="13584" max="13584" width="6.81640625" style="14" customWidth="1"/>
    <col min="13585" max="13585" width="6.54296875" style="14" customWidth="1"/>
    <col min="13586" max="13586" width="7.26953125" style="14" customWidth="1"/>
    <col min="13587" max="13587" width="6.54296875" style="14" customWidth="1"/>
    <col min="13588" max="13588" width="1.54296875" style="14" customWidth="1"/>
    <col min="13589" max="13822" width="9.1796875" style="14"/>
    <col min="13823" max="13823" width="0" style="14" hidden="1" customWidth="1"/>
    <col min="13824" max="13824" width="20.453125" style="14" customWidth="1"/>
    <col min="13825" max="13825" width="8.26953125" style="14" customWidth="1"/>
    <col min="13826" max="13826" width="6.54296875" style="14" customWidth="1"/>
    <col min="13827" max="13827" width="8.453125" style="14" customWidth="1"/>
    <col min="13828" max="13828" width="7.54296875" style="14" customWidth="1"/>
    <col min="13829" max="13829" width="8" style="14" customWidth="1"/>
    <col min="13830" max="13830" width="6.81640625" style="14" bestFit="1" customWidth="1"/>
    <col min="13831" max="13831" width="6.54296875" style="14" customWidth="1"/>
    <col min="13832" max="13832" width="7.26953125" style="14" bestFit="1" customWidth="1"/>
    <col min="13833" max="13833" width="6" style="14" customWidth="1"/>
    <col min="13834" max="13834" width="2" style="14" customWidth="1"/>
    <col min="13835" max="13835" width="8.54296875" style="14" customWidth="1"/>
    <col min="13836" max="13836" width="6.54296875" style="14" customWidth="1"/>
    <col min="13837" max="13837" width="8.54296875" style="14" customWidth="1"/>
    <col min="13838" max="13838" width="8.1796875" style="14" customWidth="1"/>
    <col min="13839" max="13839" width="8" style="14" customWidth="1"/>
    <col min="13840" max="13840" width="6.81640625" style="14" customWidth="1"/>
    <col min="13841" max="13841" width="6.54296875" style="14" customWidth="1"/>
    <col min="13842" max="13842" width="7.26953125" style="14" customWidth="1"/>
    <col min="13843" max="13843" width="6.54296875" style="14" customWidth="1"/>
    <col min="13844" max="13844" width="1.54296875" style="14" customWidth="1"/>
    <col min="13845" max="14078" width="9.1796875" style="14"/>
    <col min="14079" max="14079" width="0" style="14" hidden="1" customWidth="1"/>
    <col min="14080" max="14080" width="20.453125" style="14" customWidth="1"/>
    <col min="14081" max="14081" width="8.26953125" style="14" customWidth="1"/>
    <col min="14082" max="14082" width="6.54296875" style="14" customWidth="1"/>
    <col min="14083" max="14083" width="8.453125" style="14" customWidth="1"/>
    <col min="14084" max="14084" width="7.54296875" style="14" customWidth="1"/>
    <col min="14085" max="14085" width="8" style="14" customWidth="1"/>
    <col min="14086" max="14086" width="6.81640625" style="14" bestFit="1" customWidth="1"/>
    <col min="14087" max="14087" width="6.54296875" style="14" customWidth="1"/>
    <col min="14088" max="14088" width="7.26953125" style="14" bestFit="1" customWidth="1"/>
    <col min="14089" max="14089" width="6" style="14" customWidth="1"/>
    <col min="14090" max="14090" width="2" style="14" customWidth="1"/>
    <col min="14091" max="14091" width="8.54296875" style="14" customWidth="1"/>
    <col min="14092" max="14092" width="6.54296875" style="14" customWidth="1"/>
    <col min="14093" max="14093" width="8.54296875" style="14" customWidth="1"/>
    <col min="14094" max="14094" width="8.1796875" style="14" customWidth="1"/>
    <col min="14095" max="14095" width="8" style="14" customWidth="1"/>
    <col min="14096" max="14096" width="6.81640625" style="14" customWidth="1"/>
    <col min="14097" max="14097" width="6.54296875" style="14" customWidth="1"/>
    <col min="14098" max="14098" width="7.26953125" style="14" customWidth="1"/>
    <col min="14099" max="14099" width="6.54296875" style="14" customWidth="1"/>
    <col min="14100" max="14100" width="1.54296875" style="14" customWidth="1"/>
    <col min="14101" max="14334" width="9.1796875" style="14"/>
    <col min="14335" max="14335" width="0" style="14" hidden="1" customWidth="1"/>
    <col min="14336" max="14336" width="20.453125" style="14" customWidth="1"/>
    <col min="14337" max="14337" width="8.26953125" style="14" customWidth="1"/>
    <col min="14338" max="14338" width="6.54296875" style="14" customWidth="1"/>
    <col min="14339" max="14339" width="8.453125" style="14" customWidth="1"/>
    <col min="14340" max="14340" width="7.54296875" style="14" customWidth="1"/>
    <col min="14341" max="14341" width="8" style="14" customWidth="1"/>
    <col min="14342" max="14342" width="6.81640625" style="14" bestFit="1" customWidth="1"/>
    <col min="14343" max="14343" width="6.54296875" style="14" customWidth="1"/>
    <col min="14344" max="14344" width="7.26953125" style="14" bestFit="1" customWidth="1"/>
    <col min="14345" max="14345" width="6" style="14" customWidth="1"/>
    <col min="14346" max="14346" width="2" style="14" customWidth="1"/>
    <col min="14347" max="14347" width="8.54296875" style="14" customWidth="1"/>
    <col min="14348" max="14348" width="6.54296875" style="14" customWidth="1"/>
    <col min="14349" max="14349" width="8.54296875" style="14" customWidth="1"/>
    <col min="14350" max="14350" width="8.1796875" style="14" customWidth="1"/>
    <col min="14351" max="14351" width="8" style="14" customWidth="1"/>
    <col min="14352" max="14352" width="6.81640625" style="14" customWidth="1"/>
    <col min="14353" max="14353" width="6.54296875" style="14" customWidth="1"/>
    <col min="14354" max="14354" width="7.26953125" style="14" customWidth="1"/>
    <col min="14355" max="14355" width="6.54296875" style="14" customWidth="1"/>
    <col min="14356" max="14356" width="1.54296875" style="14" customWidth="1"/>
    <col min="14357" max="14590" width="9.1796875" style="14"/>
    <col min="14591" max="14591" width="0" style="14" hidden="1" customWidth="1"/>
    <col min="14592" max="14592" width="20.453125" style="14" customWidth="1"/>
    <col min="14593" max="14593" width="8.26953125" style="14" customWidth="1"/>
    <col min="14594" max="14594" width="6.54296875" style="14" customWidth="1"/>
    <col min="14595" max="14595" width="8.453125" style="14" customWidth="1"/>
    <col min="14596" max="14596" width="7.54296875" style="14" customWidth="1"/>
    <col min="14597" max="14597" width="8" style="14" customWidth="1"/>
    <col min="14598" max="14598" width="6.81640625" style="14" bestFit="1" customWidth="1"/>
    <col min="14599" max="14599" width="6.54296875" style="14" customWidth="1"/>
    <col min="14600" max="14600" width="7.26953125" style="14" bestFit="1" customWidth="1"/>
    <col min="14601" max="14601" width="6" style="14" customWidth="1"/>
    <col min="14602" max="14602" width="2" style="14" customWidth="1"/>
    <col min="14603" max="14603" width="8.54296875" style="14" customWidth="1"/>
    <col min="14604" max="14604" width="6.54296875" style="14" customWidth="1"/>
    <col min="14605" max="14605" width="8.54296875" style="14" customWidth="1"/>
    <col min="14606" max="14606" width="8.1796875" style="14" customWidth="1"/>
    <col min="14607" max="14607" width="8" style="14" customWidth="1"/>
    <col min="14608" max="14608" width="6.81640625" style="14" customWidth="1"/>
    <col min="14609" max="14609" width="6.54296875" style="14" customWidth="1"/>
    <col min="14610" max="14610" width="7.26953125" style="14" customWidth="1"/>
    <col min="14611" max="14611" width="6.54296875" style="14" customWidth="1"/>
    <col min="14612" max="14612" width="1.54296875" style="14" customWidth="1"/>
    <col min="14613" max="14846" width="9.1796875" style="14"/>
    <col min="14847" max="14847" width="0" style="14" hidden="1" customWidth="1"/>
    <col min="14848" max="14848" width="20.453125" style="14" customWidth="1"/>
    <col min="14849" max="14849" width="8.26953125" style="14" customWidth="1"/>
    <col min="14850" max="14850" width="6.54296875" style="14" customWidth="1"/>
    <col min="14851" max="14851" width="8.453125" style="14" customWidth="1"/>
    <col min="14852" max="14852" width="7.54296875" style="14" customWidth="1"/>
    <col min="14853" max="14853" width="8" style="14" customWidth="1"/>
    <col min="14854" max="14854" width="6.81640625" style="14" bestFit="1" customWidth="1"/>
    <col min="14855" max="14855" width="6.54296875" style="14" customWidth="1"/>
    <col min="14856" max="14856" width="7.26953125" style="14" bestFit="1" customWidth="1"/>
    <col min="14857" max="14857" width="6" style="14" customWidth="1"/>
    <col min="14858" max="14858" width="2" style="14" customWidth="1"/>
    <col min="14859" max="14859" width="8.54296875" style="14" customWidth="1"/>
    <col min="14860" max="14860" width="6.54296875" style="14" customWidth="1"/>
    <col min="14861" max="14861" width="8.54296875" style="14" customWidth="1"/>
    <col min="14862" max="14862" width="8.1796875" style="14" customWidth="1"/>
    <col min="14863" max="14863" width="8" style="14" customWidth="1"/>
    <col min="14864" max="14864" width="6.81640625" style="14" customWidth="1"/>
    <col min="14865" max="14865" width="6.54296875" style="14" customWidth="1"/>
    <col min="14866" max="14866" width="7.26953125" style="14" customWidth="1"/>
    <col min="14867" max="14867" width="6.54296875" style="14" customWidth="1"/>
    <col min="14868" max="14868" width="1.54296875" style="14" customWidth="1"/>
    <col min="14869" max="15102" width="9.1796875" style="14"/>
    <col min="15103" max="15103" width="0" style="14" hidden="1" customWidth="1"/>
    <col min="15104" max="15104" width="20.453125" style="14" customWidth="1"/>
    <col min="15105" max="15105" width="8.26953125" style="14" customWidth="1"/>
    <col min="15106" max="15106" width="6.54296875" style="14" customWidth="1"/>
    <col min="15107" max="15107" width="8.453125" style="14" customWidth="1"/>
    <col min="15108" max="15108" width="7.54296875" style="14" customWidth="1"/>
    <col min="15109" max="15109" width="8" style="14" customWidth="1"/>
    <col min="15110" max="15110" width="6.81640625" style="14" bestFit="1" customWidth="1"/>
    <col min="15111" max="15111" width="6.54296875" style="14" customWidth="1"/>
    <col min="15112" max="15112" width="7.26953125" style="14" bestFit="1" customWidth="1"/>
    <col min="15113" max="15113" width="6" style="14" customWidth="1"/>
    <col min="15114" max="15114" width="2" style="14" customWidth="1"/>
    <col min="15115" max="15115" width="8.54296875" style="14" customWidth="1"/>
    <col min="15116" max="15116" width="6.54296875" style="14" customWidth="1"/>
    <col min="15117" max="15117" width="8.54296875" style="14" customWidth="1"/>
    <col min="15118" max="15118" width="8.1796875" style="14" customWidth="1"/>
    <col min="15119" max="15119" width="8" style="14" customWidth="1"/>
    <col min="15120" max="15120" width="6.81640625" style="14" customWidth="1"/>
    <col min="15121" max="15121" width="6.54296875" style="14" customWidth="1"/>
    <col min="15122" max="15122" width="7.26953125" style="14" customWidth="1"/>
    <col min="15123" max="15123" width="6.54296875" style="14" customWidth="1"/>
    <col min="15124" max="15124" width="1.54296875" style="14" customWidth="1"/>
    <col min="15125" max="15358" width="9.1796875" style="14"/>
    <col min="15359" max="15359" width="0" style="14" hidden="1" customWidth="1"/>
    <col min="15360" max="15360" width="20.453125" style="14" customWidth="1"/>
    <col min="15361" max="15361" width="8.26953125" style="14" customWidth="1"/>
    <col min="15362" max="15362" width="6.54296875" style="14" customWidth="1"/>
    <col min="15363" max="15363" width="8.453125" style="14" customWidth="1"/>
    <col min="15364" max="15364" width="7.54296875" style="14" customWidth="1"/>
    <col min="15365" max="15365" width="8" style="14" customWidth="1"/>
    <col min="15366" max="15366" width="6.81640625" style="14" bestFit="1" customWidth="1"/>
    <col min="15367" max="15367" width="6.54296875" style="14" customWidth="1"/>
    <col min="15368" max="15368" width="7.26953125" style="14" bestFit="1" customWidth="1"/>
    <col min="15369" max="15369" width="6" style="14" customWidth="1"/>
    <col min="15370" max="15370" width="2" style="14" customWidth="1"/>
    <col min="15371" max="15371" width="8.54296875" style="14" customWidth="1"/>
    <col min="15372" max="15372" width="6.54296875" style="14" customWidth="1"/>
    <col min="15373" max="15373" width="8.54296875" style="14" customWidth="1"/>
    <col min="15374" max="15374" width="8.1796875" style="14" customWidth="1"/>
    <col min="15375" max="15375" width="8" style="14" customWidth="1"/>
    <col min="15376" max="15376" width="6.81640625" style="14" customWidth="1"/>
    <col min="15377" max="15377" width="6.54296875" style="14" customWidth="1"/>
    <col min="15378" max="15378" width="7.26953125" style="14" customWidth="1"/>
    <col min="15379" max="15379" width="6.54296875" style="14" customWidth="1"/>
    <col min="15380" max="15380" width="1.54296875" style="14" customWidth="1"/>
    <col min="15381" max="15614" width="9.1796875" style="14"/>
    <col min="15615" max="15615" width="0" style="14" hidden="1" customWidth="1"/>
    <col min="15616" max="15616" width="20.453125" style="14" customWidth="1"/>
    <col min="15617" max="15617" width="8.26953125" style="14" customWidth="1"/>
    <col min="15618" max="15618" width="6.54296875" style="14" customWidth="1"/>
    <col min="15619" max="15619" width="8.453125" style="14" customWidth="1"/>
    <col min="15620" max="15620" width="7.54296875" style="14" customWidth="1"/>
    <col min="15621" max="15621" width="8" style="14" customWidth="1"/>
    <col min="15622" max="15622" width="6.81640625" style="14" bestFit="1" customWidth="1"/>
    <col min="15623" max="15623" width="6.54296875" style="14" customWidth="1"/>
    <col min="15624" max="15624" width="7.26953125" style="14" bestFit="1" customWidth="1"/>
    <col min="15625" max="15625" width="6" style="14" customWidth="1"/>
    <col min="15626" max="15626" width="2" style="14" customWidth="1"/>
    <col min="15627" max="15627" width="8.54296875" style="14" customWidth="1"/>
    <col min="15628" max="15628" width="6.54296875" style="14" customWidth="1"/>
    <col min="15629" max="15629" width="8.54296875" style="14" customWidth="1"/>
    <col min="15630" max="15630" width="8.1796875" style="14" customWidth="1"/>
    <col min="15631" max="15631" width="8" style="14" customWidth="1"/>
    <col min="15632" max="15632" width="6.81640625" style="14" customWidth="1"/>
    <col min="15633" max="15633" width="6.54296875" style="14" customWidth="1"/>
    <col min="15634" max="15634" width="7.26953125" style="14" customWidth="1"/>
    <col min="15635" max="15635" width="6.54296875" style="14" customWidth="1"/>
    <col min="15636" max="15636" width="1.54296875" style="14" customWidth="1"/>
    <col min="15637" max="15870" width="9.1796875" style="14"/>
    <col min="15871" max="15871" width="0" style="14" hidden="1" customWidth="1"/>
    <col min="15872" max="15872" width="20.453125" style="14" customWidth="1"/>
    <col min="15873" max="15873" width="8.26953125" style="14" customWidth="1"/>
    <col min="15874" max="15874" width="6.54296875" style="14" customWidth="1"/>
    <col min="15875" max="15875" width="8.453125" style="14" customWidth="1"/>
    <col min="15876" max="15876" width="7.54296875" style="14" customWidth="1"/>
    <col min="15877" max="15877" width="8" style="14" customWidth="1"/>
    <col min="15878" max="15878" width="6.81640625" style="14" bestFit="1" customWidth="1"/>
    <col min="15879" max="15879" width="6.54296875" style="14" customWidth="1"/>
    <col min="15880" max="15880" width="7.26953125" style="14" bestFit="1" customWidth="1"/>
    <col min="15881" max="15881" width="6" style="14" customWidth="1"/>
    <col min="15882" max="15882" width="2" style="14" customWidth="1"/>
    <col min="15883" max="15883" width="8.54296875" style="14" customWidth="1"/>
    <col min="15884" max="15884" width="6.54296875" style="14" customWidth="1"/>
    <col min="15885" max="15885" width="8.54296875" style="14" customWidth="1"/>
    <col min="15886" max="15886" width="8.1796875" style="14" customWidth="1"/>
    <col min="15887" max="15887" width="8" style="14" customWidth="1"/>
    <col min="15888" max="15888" width="6.81640625" style="14" customWidth="1"/>
    <col min="15889" max="15889" width="6.54296875" style="14" customWidth="1"/>
    <col min="15890" max="15890" width="7.26953125" style="14" customWidth="1"/>
    <col min="15891" max="15891" width="6.54296875" style="14" customWidth="1"/>
    <col min="15892" max="15892" width="1.54296875" style="14" customWidth="1"/>
    <col min="15893" max="16126" width="9.1796875" style="14"/>
    <col min="16127" max="16127" width="0" style="14" hidden="1" customWidth="1"/>
    <col min="16128" max="16128" width="20.453125" style="14" customWidth="1"/>
    <col min="16129" max="16129" width="8.26953125" style="14" customWidth="1"/>
    <col min="16130" max="16130" width="6.54296875" style="14" customWidth="1"/>
    <col min="16131" max="16131" width="8.453125" style="14" customWidth="1"/>
    <col min="16132" max="16132" width="7.54296875" style="14" customWidth="1"/>
    <col min="16133" max="16133" width="8" style="14" customWidth="1"/>
    <col min="16134" max="16134" width="6.81640625" style="14" bestFit="1" customWidth="1"/>
    <col min="16135" max="16135" width="6.54296875" style="14" customWidth="1"/>
    <col min="16136" max="16136" width="7.26953125" style="14" bestFit="1" customWidth="1"/>
    <col min="16137" max="16137" width="6" style="14" customWidth="1"/>
    <col min="16138" max="16138" width="2" style="14" customWidth="1"/>
    <col min="16139" max="16139" width="8.54296875" style="14" customWidth="1"/>
    <col min="16140" max="16140" width="6.54296875" style="14" customWidth="1"/>
    <col min="16141" max="16141" width="8.54296875" style="14" customWidth="1"/>
    <col min="16142" max="16142" width="8.1796875" style="14" customWidth="1"/>
    <col min="16143" max="16143" width="8" style="14" customWidth="1"/>
    <col min="16144" max="16144" width="6.81640625" style="14" customWidth="1"/>
    <col min="16145" max="16145" width="6.54296875" style="14" customWidth="1"/>
    <col min="16146" max="16146" width="7.26953125" style="14" customWidth="1"/>
    <col min="16147" max="16147" width="6.54296875" style="14" customWidth="1"/>
    <col min="16148" max="16148" width="1.54296875" style="14" customWidth="1"/>
    <col min="16149" max="16384" width="9.1796875" style="14"/>
  </cols>
  <sheetData>
    <row r="1" spans="1:19" s="12" customFormat="1" ht="28.5" x14ac:dyDescent="0.25">
      <c r="A1" s="38" t="s">
        <v>475</v>
      </c>
      <c r="B1" s="105"/>
      <c r="C1" s="105"/>
      <c r="D1" s="106"/>
      <c r="E1" s="106"/>
      <c r="F1" s="106"/>
      <c r="G1" s="106"/>
      <c r="H1" s="106"/>
      <c r="I1" s="106"/>
      <c r="J1" s="106"/>
      <c r="K1" s="106"/>
      <c r="L1" s="106"/>
      <c r="M1" s="106"/>
      <c r="N1" s="106"/>
    </row>
    <row r="2" spans="1:19" s="12" customFormat="1" ht="15.5" x14ac:dyDescent="0.25">
      <c r="A2" s="3" t="s">
        <v>15</v>
      </c>
      <c r="B2" s="105"/>
      <c r="C2" s="105"/>
      <c r="D2" s="106"/>
      <c r="E2" s="106"/>
      <c r="F2" s="106"/>
      <c r="G2" s="106"/>
      <c r="H2" s="106"/>
      <c r="I2" s="106"/>
      <c r="J2" s="106"/>
      <c r="K2" s="106"/>
      <c r="L2" s="106"/>
      <c r="M2" s="106"/>
      <c r="N2" s="106"/>
    </row>
    <row r="3" spans="1:19" s="12" customFormat="1" ht="15.5" x14ac:dyDescent="0.25">
      <c r="A3" s="44" t="s">
        <v>158</v>
      </c>
      <c r="B3" s="105"/>
      <c r="C3" s="105"/>
      <c r="D3" s="106"/>
      <c r="E3" s="106"/>
      <c r="F3" s="106"/>
      <c r="G3" s="106"/>
      <c r="H3" s="106"/>
      <c r="I3" s="106"/>
      <c r="J3" s="106"/>
      <c r="K3" s="106"/>
      <c r="L3" s="106"/>
      <c r="M3" s="106"/>
      <c r="N3" s="106"/>
    </row>
    <row r="4" spans="1:19" ht="15.75" customHeight="1" x14ac:dyDescent="0.35">
      <c r="A4" s="123"/>
      <c r="B4" s="147" t="str">
        <f ca="1">INDIRECT(calculation3b_hide!C6,FALSE)</f>
        <v>Quarter 4 2024</v>
      </c>
      <c r="C4" s="148"/>
      <c r="D4" s="148"/>
      <c r="E4" s="148"/>
      <c r="F4" s="149"/>
      <c r="G4" s="148"/>
      <c r="H4" s="148"/>
      <c r="I4" s="148"/>
      <c r="J4" s="150"/>
      <c r="K4" s="147" t="str">
        <f ca="1">INDIRECT(calculation3b_hide!O6,FALSE)</f>
        <v>Quarter 4 2025 [provisional]</v>
      </c>
      <c r="L4" s="151"/>
      <c r="M4" s="151"/>
      <c r="N4" s="151"/>
      <c r="O4" s="149"/>
      <c r="P4" s="151"/>
      <c r="Q4" s="151"/>
      <c r="R4" s="151"/>
      <c r="S4" s="152"/>
    </row>
    <row r="5" spans="1:19" ht="65.25" customHeight="1" x14ac:dyDescent="0.25">
      <c r="A5" s="131" t="s">
        <v>470</v>
      </c>
      <c r="B5" s="144" t="s">
        <v>56</v>
      </c>
      <c r="C5" s="145" t="s">
        <v>314</v>
      </c>
      <c r="D5" s="145" t="s">
        <v>57</v>
      </c>
      <c r="E5" s="145" t="s">
        <v>340</v>
      </c>
      <c r="F5" s="145" t="s">
        <v>313</v>
      </c>
      <c r="G5" s="145" t="s">
        <v>471</v>
      </c>
      <c r="H5" s="145" t="s">
        <v>58</v>
      </c>
      <c r="I5" s="146" t="s">
        <v>59</v>
      </c>
      <c r="J5" s="145" t="s">
        <v>60</v>
      </c>
      <c r="K5" s="136" t="s">
        <v>288</v>
      </c>
      <c r="L5" s="137" t="s">
        <v>320</v>
      </c>
      <c r="M5" s="137" t="s">
        <v>281</v>
      </c>
      <c r="N5" s="137" t="s">
        <v>472</v>
      </c>
      <c r="O5" s="137" t="s">
        <v>318</v>
      </c>
      <c r="P5" s="137" t="s">
        <v>473</v>
      </c>
      <c r="Q5" s="137" t="s">
        <v>344</v>
      </c>
      <c r="R5" s="138" t="s">
        <v>345</v>
      </c>
      <c r="S5" s="153" t="s">
        <v>474</v>
      </c>
    </row>
    <row r="6" spans="1:19" ht="15.5" x14ac:dyDescent="0.35">
      <c r="A6" s="140" t="s">
        <v>161</v>
      </c>
      <c r="B6" s="171">
        <f ca="1">INDIRECT(calculation3b_hide!C10,FALSE)</f>
        <v>27.04</v>
      </c>
      <c r="C6" s="172">
        <v>0</v>
      </c>
      <c r="D6" s="156">
        <f ca="1">INDIRECT(calculation3b_hide!E10,FALSE)</f>
        <v>8693.41</v>
      </c>
      <c r="E6" s="172">
        <v>0</v>
      </c>
      <c r="F6" s="156">
        <f ca="1">INDIRECT(calculation3b_hide!G10,FALSE)</f>
        <v>7880.22</v>
      </c>
      <c r="G6" s="156">
        <f ca="1">INDIRECT(calculation3b_hide!H10,FALSE)</f>
        <v>3821.98</v>
      </c>
      <c r="H6" s="156">
        <f ca="1">INDIRECT(calculation3b_hide!I10,FALSE)</f>
        <v>4385.21</v>
      </c>
      <c r="I6" s="172">
        <v>0</v>
      </c>
      <c r="J6" s="157">
        <v>0</v>
      </c>
      <c r="K6" s="154">
        <f ca="1">INDIRECT(calculation3b_hide!O10,FALSE)</f>
        <v>20.91</v>
      </c>
      <c r="L6" s="155">
        <v>0</v>
      </c>
      <c r="M6" s="155">
        <f ca="1">INDIRECT(calculation3b_hide!Q10,FALSE)</f>
        <v>8680.64</v>
      </c>
      <c r="N6" s="155">
        <v>0</v>
      </c>
      <c r="O6" s="156">
        <f ca="1">INDIRECT(calculation3b_hide!S10,FALSE)</f>
        <v>7323.57</v>
      </c>
      <c r="P6" s="155">
        <f ca="1">INDIRECT(calculation3b_hide!T10,FALSE)</f>
        <v>3586.98</v>
      </c>
      <c r="Q6" s="155">
        <f ca="1">INDIRECT(calculation3b_hide!U10,FALSE)</f>
        <v>4625.01</v>
      </c>
      <c r="R6" s="155">
        <v>0</v>
      </c>
      <c r="S6" s="157">
        <v>0</v>
      </c>
    </row>
    <row r="7" spans="1:19" ht="15.5" x14ac:dyDescent="0.35">
      <c r="A7" s="141" t="s">
        <v>70</v>
      </c>
      <c r="B7" s="166">
        <f ca="1">INDIRECT(calculation3b_hide!C11,FALSE)</f>
        <v>197.45</v>
      </c>
      <c r="C7" s="124">
        <f ca="1">INDIRECT(calculation3b_hide!D11,FALSE)</f>
        <v>26.79</v>
      </c>
      <c r="D7" s="124">
        <f ca="1">INDIRECT(calculation3b_hide!E11,FALSE)</f>
        <v>14073.36</v>
      </c>
      <c r="E7" s="124">
        <f ca="1">INDIRECT(calculation3b_hide!F11,FALSE)</f>
        <v>8301.52</v>
      </c>
      <c r="F7" s="124">
        <f ca="1">INDIRECT(calculation3b_hide!G11,FALSE)</f>
        <v>11881.96</v>
      </c>
      <c r="G7" s="124">
        <f ca="1">INDIRECT(calculation3b_hide!H11,FALSE)</f>
        <v>1858.52</v>
      </c>
      <c r="H7" s="126">
        <v>0</v>
      </c>
      <c r="I7" s="126">
        <f ca="1">INDIRECT(calculation3b_hide!J11,FALSE)</f>
        <v>803.8</v>
      </c>
      <c r="J7" s="159">
        <v>0</v>
      </c>
      <c r="K7" s="158">
        <f ca="1">INDIRECT(calculation3b_hide!O11,FALSE)</f>
        <v>255.57</v>
      </c>
      <c r="L7" s="126">
        <f ca="1">INDIRECT(calculation3b_hide!P11,FALSE)</f>
        <v>93.53</v>
      </c>
      <c r="M7" s="126">
        <f ca="1">INDIRECT(calculation3b_hide!Q11,FALSE)</f>
        <v>11236.86</v>
      </c>
      <c r="N7" s="126">
        <f ca="1">INDIRECT(calculation3b_hide!R11,FALSE)</f>
        <v>8838.9699999999993</v>
      </c>
      <c r="O7" s="126">
        <f ca="1">INDIRECT(calculation3b_hide!S11,FALSE)</f>
        <v>12225.65</v>
      </c>
      <c r="P7" s="126">
        <f ca="1">INDIRECT(calculation3b_hide!T11,FALSE)</f>
        <v>1773.34</v>
      </c>
      <c r="Q7" s="126">
        <v>0</v>
      </c>
      <c r="R7" s="126">
        <f ca="1">INDIRECT(calculation3b_hide!V11,FALSE)</f>
        <v>903.5</v>
      </c>
      <c r="S7" s="159">
        <v>0</v>
      </c>
    </row>
    <row r="8" spans="1:19" ht="15.5" x14ac:dyDescent="0.35">
      <c r="A8" s="141" t="s">
        <v>71</v>
      </c>
      <c r="B8" s="158">
        <f ca="1">INDIRECT(calculation3b_hide!C12,FALSE)</f>
        <v>-154.03</v>
      </c>
      <c r="C8" s="126">
        <f ca="1">INDIRECT(calculation3b_hide!D12,FALSE)</f>
        <v>-1.81</v>
      </c>
      <c r="D8" s="124">
        <f ca="1">INDIRECT(calculation3b_hide!E12,FALSE)</f>
        <v>-8491.4699999999993</v>
      </c>
      <c r="E8" s="126">
        <f ca="1">INDIRECT(calculation3b_hide!F12,FALSE)</f>
        <v>-4908.95</v>
      </c>
      <c r="F8" s="126">
        <f ca="1">INDIRECT(calculation3b_hide!G12,FALSE)</f>
        <v>-1525.62</v>
      </c>
      <c r="G8" s="126">
        <f ca="1">INDIRECT(calculation3b_hide!H12,FALSE)</f>
        <v>-150.82</v>
      </c>
      <c r="H8" s="126">
        <v>0</v>
      </c>
      <c r="I8" s="126">
        <f ca="1">INDIRECT(calculation3b_hide!J12,FALSE)</f>
        <v>-199.67</v>
      </c>
      <c r="J8" s="165">
        <v>0</v>
      </c>
      <c r="K8" s="158">
        <f ca="1">INDIRECT(calculation3b_hide!O12,FALSE)</f>
        <v>-77.319999999999993</v>
      </c>
      <c r="L8" s="126">
        <f ca="1">INDIRECT(calculation3b_hide!P12,FALSE)</f>
        <v>-1.02</v>
      </c>
      <c r="M8" s="126">
        <f ca="1">INDIRECT(calculation3b_hide!Q12,FALSE)</f>
        <v>-7074.85</v>
      </c>
      <c r="N8" s="126">
        <f ca="1">INDIRECT(calculation3b_hide!R12,FALSE)</f>
        <v>-4401.54</v>
      </c>
      <c r="O8" s="126">
        <f ca="1">INDIRECT(calculation3b_hide!S12,FALSE)</f>
        <v>-1919.03</v>
      </c>
      <c r="P8" s="126">
        <f ca="1">INDIRECT(calculation3b_hide!T12,FALSE)</f>
        <v>-138.58000000000001</v>
      </c>
      <c r="Q8" s="126">
        <v>0</v>
      </c>
      <c r="R8" s="126">
        <f ca="1">INDIRECT(calculation3b_hide!V12,FALSE)</f>
        <v>-351.85</v>
      </c>
      <c r="S8" s="159">
        <v>0</v>
      </c>
    </row>
    <row r="9" spans="1:19" ht="15.5" x14ac:dyDescent="0.35">
      <c r="A9" s="141" t="s">
        <v>72</v>
      </c>
      <c r="B9" s="158">
        <v>0</v>
      </c>
      <c r="C9" s="126">
        <v>0</v>
      </c>
      <c r="D9" s="124">
        <v>0</v>
      </c>
      <c r="E9" s="126">
        <f ca="1">INDIRECT(calculation3b_hide!F13,FALSE)</f>
        <v>-469.91</v>
      </c>
      <c r="F9" s="126">
        <v>0</v>
      </c>
      <c r="G9" s="126">
        <v>0</v>
      </c>
      <c r="H9" s="126">
        <v>0</v>
      </c>
      <c r="I9" s="126">
        <v>0</v>
      </c>
      <c r="J9" s="159">
        <v>0</v>
      </c>
      <c r="K9" s="158">
        <v>0</v>
      </c>
      <c r="L9" s="126">
        <v>0</v>
      </c>
      <c r="M9" s="126">
        <v>0</v>
      </c>
      <c r="N9" s="126">
        <f ca="1">INDIRECT(calculation3b_hide!R13,FALSE)</f>
        <v>-411.4</v>
      </c>
      <c r="O9" s="126">
        <v>0</v>
      </c>
      <c r="P9" s="126">
        <v>0</v>
      </c>
      <c r="Q9" s="126">
        <v>0</v>
      </c>
      <c r="R9" s="126">
        <v>0</v>
      </c>
      <c r="S9" s="159">
        <v>0</v>
      </c>
    </row>
    <row r="10" spans="1:19" ht="15.5" x14ac:dyDescent="0.35">
      <c r="A10" s="141" t="s">
        <v>166</v>
      </c>
      <c r="B10" s="166">
        <f ca="1">INDIRECT(calculation3b_hide!C14,FALSE)</f>
        <v>106.89</v>
      </c>
      <c r="C10" s="126">
        <f ca="1">INDIRECT(calculation3b_hide!D14,FALSE)</f>
        <v>73.010000000000005</v>
      </c>
      <c r="D10" s="124">
        <f ca="1">INDIRECT(calculation3b_hide!E14,FALSE)</f>
        <v>-189.18</v>
      </c>
      <c r="E10" s="126">
        <f ca="1">INDIRECT(calculation3b_hide!F14,FALSE)</f>
        <v>-237.64</v>
      </c>
      <c r="F10" s="126">
        <f ca="1">INDIRECT(calculation3b_hide!G14,FALSE)</f>
        <v>402.65</v>
      </c>
      <c r="G10" s="126">
        <f ca="1">INDIRECT(calculation3b_hide!H14,FALSE)</f>
        <v>-1.1200000000000001</v>
      </c>
      <c r="H10" s="126">
        <v>0</v>
      </c>
      <c r="I10" s="126">
        <v>0</v>
      </c>
      <c r="J10" s="159">
        <v>0</v>
      </c>
      <c r="K10" s="158">
        <f ca="1">INDIRECT(calculation3b_hide!O14,FALSE)</f>
        <v>-50.7</v>
      </c>
      <c r="L10" s="126">
        <f ca="1">INDIRECT(calculation3b_hide!P14,FALSE)</f>
        <v>50.11</v>
      </c>
      <c r="M10" s="126">
        <f ca="1">INDIRECT(calculation3b_hide!Q14,FALSE)</f>
        <v>253.61</v>
      </c>
      <c r="N10" s="126">
        <f ca="1">INDIRECT(calculation3b_hide!R14,FALSE)</f>
        <v>-238.17</v>
      </c>
      <c r="O10" s="126">
        <f ca="1">INDIRECT(calculation3b_hide!S14,FALSE)</f>
        <v>-302.14</v>
      </c>
      <c r="P10" s="126">
        <f ca="1">INDIRECT(calculation3b_hide!T14,FALSE)</f>
        <v>-1.1200000000000001</v>
      </c>
      <c r="Q10" s="126">
        <v>0</v>
      </c>
      <c r="R10" s="126">
        <v>0</v>
      </c>
      <c r="S10" s="159">
        <v>0</v>
      </c>
    </row>
    <row r="11" spans="1:19" s="16" customFormat="1" ht="15.5" x14ac:dyDescent="0.35">
      <c r="A11" s="142" t="s">
        <v>36</v>
      </c>
      <c r="B11" s="160">
        <f ca="1">INDIRECT(calculation3b_hide!C16,FALSE)</f>
        <v>177.34999999999997</v>
      </c>
      <c r="C11" s="127">
        <f ca="1">INDIRECT(calculation3b_hide!D16,FALSE)</f>
        <v>97.990000000000009</v>
      </c>
      <c r="D11" s="127">
        <f ca="1">INDIRECT(calculation3b_hide!E16,FALSE)</f>
        <v>14086.12</v>
      </c>
      <c r="E11" s="128">
        <f ca="1">INDIRECT(calculation3b_hide!F16,FALSE)</f>
        <v>2685.0200000000009</v>
      </c>
      <c r="F11" s="127">
        <f ca="1">INDIRECT(calculation3b_hide!G16,FALSE)</f>
        <v>18639.210000000003</v>
      </c>
      <c r="G11" s="127">
        <f ca="1">INDIRECT(calculation3b_hide!H16,FALSE)</f>
        <v>5528.56</v>
      </c>
      <c r="H11" s="127">
        <f ca="1">INDIRECT(calculation3b_hide!I16,FALSE)</f>
        <v>4385.21</v>
      </c>
      <c r="I11" s="128">
        <f ca="1">INDIRECT(calculation3b_hide!J16,FALSE)</f>
        <v>604.13</v>
      </c>
      <c r="J11" s="161">
        <v>0</v>
      </c>
      <c r="K11" s="160">
        <f ca="1">INDIRECT(calculation3b_hide!O16,FALSE)</f>
        <v>148.46000000000004</v>
      </c>
      <c r="L11" s="128">
        <f ca="1">INDIRECT(calculation3b_hide!P16,FALSE)</f>
        <v>142.62</v>
      </c>
      <c r="M11" s="128">
        <f ca="1">INDIRECT(calculation3b_hide!Q16,FALSE)</f>
        <v>13096.26</v>
      </c>
      <c r="N11" s="128">
        <f ca="1">INDIRECT(calculation3b_hide!R16,FALSE)</f>
        <v>3787.8599999999992</v>
      </c>
      <c r="O11" s="127">
        <f ca="1">INDIRECT(calculation3b_hide!S16,FALSE)</f>
        <v>17328.050000000003</v>
      </c>
      <c r="P11" s="127">
        <f ca="1">INDIRECT(calculation3b_hide!T16,FALSE)</f>
        <v>5220.62</v>
      </c>
      <c r="Q11" s="127">
        <f ca="1">INDIRECT(calculation3b_hide!U16,FALSE)</f>
        <v>4625.01</v>
      </c>
      <c r="R11" s="127">
        <f ca="1">INDIRECT(calculation3b_hide!V16,FALSE)</f>
        <v>551.65</v>
      </c>
      <c r="S11" s="161">
        <v>0</v>
      </c>
    </row>
    <row r="12" spans="1:19" ht="15.5" x14ac:dyDescent="0.35">
      <c r="A12" s="141" t="s">
        <v>167</v>
      </c>
      <c r="B12" s="158">
        <f ca="1">INDIRECT(calculation3b_hide!C17,FALSE)</f>
        <v>-1.1299999999999955</v>
      </c>
      <c r="C12" s="126">
        <f ca="1">INDIRECT(calculation3b_hide!D17,FALSE)</f>
        <v>1.0000000000019327E-2</v>
      </c>
      <c r="D12" s="124">
        <f ca="1">INDIRECT(calculation3b_hide!E17,FALSE)</f>
        <v>-25.93999999999869</v>
      </c>
      <c r="E12" s="126">
        <f ca="1">INDIRECT(calculation3b_hide!F17,FALSE)</f>
        <v>-6.4400000000000546</v>
      </c>
      <c r="F12" s="124">
        <f ca="1">INDIRECT(calculation3b_hide!G17,FALSE)</f>
        <v>154.44000000000233</v>
      </c>
      <c r="G12" s="124">
        <f ca="1">INDIRECT(calculation3b_hide!H17,FALSE)</f>
        <v>0</v>
      </c>
      <c r="H12" s="124">
        <f ca="1">INDIRECT(calculation3b_hide!I17,FALSE)</f>
        <v>0</v>
      </c>
      <c r="I12" s="124">
        <f ca="1">INDIRECT(calculation3b_hide!J17,FALSE)</f>
        <v>-9.4499999999999318</v>
      </c>
      <c r="J12" s="159">
        <v>0</v>
      </c>
      <c r="K12" s="158">
        <f ca="1">INDIRECT(calculation3b_hide!O17,FALSE)</f>
        <v>6.2900000000000205</v>
      </c>
      <c r="L12" s="126">
        <f ca="1">INDIRECT(calculation3b_hide!P17,FALSE)</f>
        <v>-0.36000000000001364</v>
      </c>
      <c r="M12" s="126">
        <f ca="1">INDIRECT(calculation3b_hide!Q17,FALSE)</f>
        <v>-19.1299999999992</v>
      </c>
      <c r="N12" s="126">
        <f ca="1">INDIRECT(calculation3b_hide!R17,FALSE)</f>
        <v>-38.690000000000055</v>
      </c>
      <c r="O12" s="124">
        <f ca="1">INDIRECT(calculation3b_hide!S17,FALSE)</f>
        <v>-244.38999999999942</v>
      </c>
      <c r="P12" s="124">
        <f ca="1">INDIRECT(calculation3b_hide!T17,FALSE)</f>
        <v>0</v>
      </c>
      <c r="Q12" s="124">
        <f ca="1">INDIRECT(calculation3b_hide!U17,FALSE)</f>
        <v>-1.0000000000218279E-2</v>
      </c>
      <c r="R12" s="124">
        <f ca="1">INDIRECT(calculation3b_hide!V17,FALSE)</f>
        <v>-6.4400000000001683</v>
      </c>
      <c r="S12" s="159">
        <v>0</v>
      </c>
    </row>
    <row r="13" spans="1:19" s="16" customFormat="1" ht="15.5" x14ac:dyDescent="0.35">
      <c r="A13" s="142" t="s">
        <v>37</v>
      </c>
      <c r="B13" s="160">
        <f ca="1">INDIRECT(calculation3b_hide!C18,FALSE)</f>
        <v>178.47999999999996</v>
      </c>
      <c r="C13" s="127">
        <f ca="1">INDIRECT(calculation3b_hide!D18,FALSE)</f>
        <v>97.97999999999999</v>
      </c>
      <c r="D13" s="127">
        <f ca="1">INDIRECT(calculation3b_hide!E18,FALSE)</f>
        <v>14112.06</v>
      </c>
      <c r="E13" s="128">
        <f ca="1">INDIRECT(calculation3b_hide!F18,FALSE)</f>
        <v>2691.4600000000009</v>
      </c>
      <c r="F13" s="127">
        <f ca="1">INDIRECT(calculation3b_hide!G18,FALSE)</f>
        <v>18484.77</v>
      </c>
      <c r="G13" s="127">
        <f ca="1">INDIRECT(calculation3b_hide!H18,FALSE)</f>
        <v>5528.56</v>
      </c>
      <c r="H13" s="127">
        <f ca="1">INDIRECT(calculation3b_hide!I18,FALSE)</f>
        <v>4385.21</v>
      </c>
      <c r="I13" s="127">
        <f ca="1">INDIRECT(calculation3b_hide!J18,FALSE)</f>
        <v>613.57999999999993</v>
      </c>
      <c r="J13" s="161">
        <v>0</v>
      </c>
      <c r="K13" s="160">
        <f ca="1">INDIRECT(calculation3b_hide!O18,FALSE)</f>
        <v>142.17000000000002</v>
      </c>
      <c r="L13" s="127">
        <f ca="1">INDIRECT(calculation3b_hide!P18,FALSE)</f>
        <v>142.98000000000002</v>
      </c>
      <c r="M13" s="127">
        <f ca="1">INDIRECT(calculation3b_hide!Q18,FALSE)</f>
        <v>13115.39</v>
      </c>
      <c r="N13" s="127">
        <f ca="1">INDIRECT(calculation3b_hide!R18,FALSE)</f>
        <v>3826.5499999999993</v>
      </c>
      <c r="O13" s="127">
        <f ca="1">INDIRECT(calculation3b_hide!S18,FALSE)</f>
        <v>17572.440000000002</v>
      </c>
      <c r="P13" s="127">
        <f ca="1">INDIRECT(calculation3b_hide!T18,FALSE)</f>
        <v>5220.6200000000008</v>
      </c>
      <c r="Q13" s="127">
        <f ca="1">INDIRECT(calculation3b_hide!U18,FALSE)</f>
        <v>4625.0200000000004</v>
      </c>
      <c r="R13" s="127">
        <f ca="1">INDIRECT(calculation3b_hide!V18,FALSE)</f>
        <v>558.09000000000015</v>
      </c>
      <c r="S13" s="161">
        <v>0</v>
      </c>
    </row>
    <row r="14" spans="1:19" ht="15.5" x14ac:dyDescent="0.35">
      <c r="A14" s="141" t="s">
        <v>168</v>
      </c>
      <c r="B14" s="162">
        <v>0</v>
      </c>
      <c r="C14" s="124">
        <f ca="1">INDIRECT(calculation3b_hide!D20,FALSE)</f>
        <v>-0.6</v>
      </c>
      <c r="D14" s="124">
        <f ca="1">INDIRECT(calculation3b_hide!E20,FALSE)</f>
        <v>573.44000000000005</v>
      </c>
      <c r="E14" s="126">
        <f ca="1">INDIRECT(calculation3b_hide!F20,FALSE)</f>
        <v>-443.71</v>
      </c>
      <c r="F14" s="126">
        <f ca="1">INDIRECT(calculation3b_hide!G20,FALSE)</f>
        <v>162.65</v>
      </c>
      <c r="G14" s="126">
        <f ca="1">INDIRECT(calculation3b_hide!H20,FALSE)</f>
        <v>-170.55</v>
      </c>
      <c r="H14" s="126">
        <f ca="1">INDIRECT(calculation3b_hide!I20,FALSE)</f>
        <v>-2292.9</v>
      </c>
      <c r="I14" s="126">
        <f ca="1">INDIRECT(calculation3b_hide!J20,FALSE)</f>
        <v>2292.9</v>
      </c>
      <c r="J14" s="159">
        <v>0</v>
      </c>
      <c r="K14" s="162">
        <v>0</v>
      </c>
      <c r="L14" s="126">
        <f ca="1">INDIRECT(calculation3b_hide!P20,FALSE)</f>
        <v>-1.45</v>
      </c>
      <c r="M14" s="124">
        <f ca="1">INDIRECT(calculation3b_hide!Q20,FALSE)</f>
        <v>3.39</v>
      </c>
      <c r="N14" s="126">
        <f ca="1">INDIRECT(calculation3b_hide!R20,FALSE)</f>
        <v>-45.92</v>
      </c>
      <c r="O14" s="126">
        <f ca="1">INDIRECT(calculation3b_hide!S20,FALSE)</f>
        <v>161.57</v>
      </c>
      <c r="P14" s="126">
        <f ca="1">INDIRECT(calculation3b_hide!T20,FALSE)</f>
        <v>-170.55</v>
      </c>
      <c r="Q14" s="126">
        <f ca="1">INDIRECT(calculation3b_hide!U20,FALSE)</f>
        <v>-2814.36</v>
      </c>
      <c r="R14" s="126">
        <f ca="1">INDIRECT(calculation3b_hide!V20,FALSE)</f>
        <v>2814.36</v>
      </c>
      <c r="S14" s="159">
        <v>0</v>
      </c>
    </row>
    <row r="15" spans="1:19" s="16" customFormat="1" ht="15.5" x14ac:dyDescent="0.35">
      <c r="A15" s="142" t="s">
        <v>163</v>
      </c>
      <c r="B15" s="160">
        <f ca="1">INDIRECT(calculation3b_hide!C21,FALSE)</f>
        <v>-45.58</v>
      </c>
      <c r="C15" s="128">
        <f ca="1">INDIRECT(calculation3b_hide!D21,FALSE)</f>
        <v>-26.689999999999991</v>
      </c>
      <c r="D15" s="127">
        <f ca="1">INDIRECT(calculation3b_hide!E21,FALSE)</f>
        <v>-14685.5</v>
      </c>
      <c r="E15" s="128">
        <f ca="1">INDIRECT(calculation3b_hide!F21,FALSE)</f>
        <v>14330.49</v>
      </c>
      <c r="F15" s="127">
        <f ca="1">INDIRECT(calculation3b_hide!G21,FALSE)</f>
        <v>-5572.67</v>
      </c>
      <c r="G15" s="127">
        <f ca="1">INDIRECT(calculation3b_hide!H21,FALSE)</f>
        <v>-3179.4100000000003</v>
      </c>
      <c r="H15" s="127">
        <f ca="1">INDIRECT(calculation3b_hide!I21,FALSE)</f>
        <v>-2092.31</v>
      </c>
      <c r="I15" s="128">
        <f ca="1">INDIRECT(calculation3b_hide!J21,FALSE)</f>
        <v>4279.7700000000004</v>
      </c>
      <c r="J15" s="161">
        <f ca="1">INDIRECT(calculation3b_hide!K21,FALSE)</f>
        <v>436.83</v>
      </c>
      <c r="K15" s="160">
        <f ca="1">INDIRECT(calculation3b_hide!O21,FALSE)</f>
        <v>-31.37</v>
      </c>
      <c r="L15" s="127">
        <f ca="1">INDIRECT(calculation3b_hide!P21,FALSE)</f>
        <v>-90.580000000000013</v>
      </c>
      <c r="M15" s="127">
        <f ca="1">INDIRECT(calculation3b_hide!Q21,FALSE)</f>
        <v>-13118.779999999999</v>
      </c>
      <c r="N15" s="127">
        <f ca="1">INDIRECT(calculation3b_hide!R21,FALSE)</f>
        <v>12887.1</v>
      </c>
      <c r="O15" s="127">
        <f ca="1">INDIRECT(calculation3b_hide!S21,FALSE)</f>
        <v>-4996.1000000000004</v>
      </c>
      <c r="P15" s="127">
        <f ca="1">INDIRECT(calculation3b_hide!T21,FALSE)</f>
        <v>-2997.8300000000004</v>
      </c>
      <c r="Q15" s="128">
        <f ca="1">INDIRECT(calculation3b_hide!U21,FALSE)</f>
        <v>-1810.66</v>
      </c>
      <c r="R15" s="128">
        <f ca="1">INDIRECT(calculation3b_hide!V21,FALSE)</f>
        <v>3862.61</v>
      </c>
      <c r="S15" s="161">
        <f ca="1">INDIRECT(calculation3b_hide!W21,FALSE)</f>
        <v>436.83</v>
      </c>
    </row>
    <row r="16" spans="1:19" ht="15.5" x14ac:dyDescent="0.35">
      <c r="A16" s="141" t="s">
        <v>91</v>
      </c>
      <c r="B16" s="166">
        <f ca="1">INDIRECT(calculation3b_hide!C22,FALSE)</f>
        <v>-0.05</v>
      </c>
      <c r="C16" s="126">
        <f ca="1">INDIRECT(calculation3b_hide!D22,FALSE)</f>
        <v>-24.31</v>
      </c>
      <c r="D16" s="124">
        <v>0</v>
      </c>
      <c r="E16" s="126">
        <f ca="1">INDIRECT(calculation3b_hide!F22,FALSE)</f>
        <v>-97.3</v>
      </c>
      <c r="F16" s="126">
        <f ca="1">INDIRECT(calculation3b_hide!G22,FALSE)</f>
        <v>-4919.88</v>
      </c>
      <c r="G16" s="126">
        <f ca="1">INDIRECT(calculation3b_hide!H22,FALSE)</f>
        <v>-3111.32</v>
      </c>
      <c r="H16" s="124">
        <f ca="1">INDIRECT(calculation3b_hide!I22,FALSE)</f>
        <v>-2092.31</v>
      </c>
      <c r="I16" s="126">
        <f ca="1">INDIRECT(calculation3b_hide!J22,FALSE)</f>
        <v>4279.7700000000004</v>
      </c>
      <c r="J16" s="159">
        <v>0</v>
      </c>
      <c r="K16" s="158">
        <f ca="1">INDIRECT(calculation3b_hide!O22,FALSE)</f>
        <v>0</v>
      </c>
      <c r="L16" s="126">
        <f ca="1">INDIRECT(calculation3b_hide!P22,FALSE)</f>
        <v>-27.12</v>
      </c>
      <c r="M16" s="126">
        <v>0</v>
      </c>
      <c r="N16" s="126">
        <f ca="1">INDIRECT(calculation3b_hide!R22,FALSE)</f>
        <v>-97.3</v>
      </c>
      <c r="O16" s="126">
        <f ca="1">INDIRECT(calculation3b_hide!S22,FALSE)</f>
        <v>-4343.3100000000004</v>
      </c>
      <c r="P16" s="126">
        <f ca="1">INDIRECT(calculation3b_hide!T22,FALSE)</f>
        <v>-2929.76</v>
      </c>
      <c r="Q16" s="126">
        <f ca="1">INDIRECT(calculation3b_hide!U22,FALSE)</f>
        <v>-1810.66</v>
      </c>
      <c r="R16" s="126">
        <f ca="1">INDIRECT(calculation3b_hide!V22,FALSE)</f>
        <v>3862.61</v>
      </c>
      <c r="S16" s="159">
        <v>0</v>
      </c>
    </row>
    <row r="17" spans="1:19" ht="15.5" x14ac:dyDescent="0.35">
      <c r="A17" s="141" t="s">
        <v>483</v>
      </c>
      <c r="B17" s="166">
        <f ca="1">INDIRECT(calculation3b_hide!C23,FALSE)</f>
        <v>0</v>
      </c>
      <c r="C17" s="124">
        <f ca="1">INDIRECT(calculation3b_hide!D23,FALSE)</f>
        <v>0</v>
      </c>
      <c r="D17" s="124">
        <v>0</v>
      </c>
      <c r="E17" s="126">
        <f ca="1">INDIRECT(calculation3b_hide!F23,FALSE)</f>
        <v>-12.69</v>
      </c>
      <c r="F17" s="126">
        <f ca="1">INDIRECT(calculation3b_hide!G23,FALSE)</f>
        <v>-652.79</v>
      </c>
      <c r="G17" s="126">
        <f ca="1">INDIRECT(calculation3b_hide!H23,FALSE)</f>
        <v>-68.09</v>
      </c>
      <c r="H17" s="126">
        <v>0</v>
      </c>
      <c r="I17" s="126">
        <v>0</v>
      </c>
      <c r="J17" s="159">
        <f ca="1">INDIRECT(calculation3b_hide!K23,FALSE)</f>
        <v>436.83</v>
      </c>
      <c r="K17" s="158">
        <f ca="1">INDIRECT(calculation3b_hide!O23,FALSE)</f>
        <v>0</v>
      </c>
      <c r="L17" s="126">
        <f ca="1">INDIRECT(calculation3b_hide!P23,FALSE)</f>
        <v>0</v>
      </c>
      <c r="M17" s="126">
        <v>0</v>
      </c>
      <c r="N17" s="126">
        <f ca="1">INDIRECT(calculation3b_hide!R23,FALSE)</f>
        <v>-12.69</v>
      </c>
      <c r="O17" s="126">
        <f ca="1">INDIRECT(calculation3b_hide!S23,FALSE)</f>
        <v>-652.79</v>
      </c>
      <c r="P17" s="126">
        <f ca="1">INDIRECT(calculation3b_hide!T23,FALSE)</f>
        <v>-68.069999999999993</v>
      </c>
      <c r="Q17" s="126">
        <v>0</v>
      </c>
      <c r="R17" s="126">
        <v>0</v>
      </c>
      <c r="S17" s="159">
        <f ca="1">INDIRECT(calculation3b_hide!W23,FALSE)</f>
        <v>436.83</v>
      </c>
    </row>
    <row r="18" spans="1:19" ht="15.5" x14ac:dyDescent="0.35">
      <c r="A18" s="141" t="s">
        <v>75</v>
      </c>
      <c r="B18" s="158">
        <v>0</v>
      </c>
      <c r="C18" s="126">
        <v>0</v>
      </c>
      <c r="D18" s="124">
        <f ca="1">INDIRECT(calculation3b_hide!E24,FALSE)</f>
        <v>-14723.84</v>
      </c>
      <c r="E18" s="126">
        <f ca="1">INDIRECT(calculation3b_hide!F24,FALSE)</f>
        <v>14497.92</v>
      </c>
      <c r="F18" s="126">
        <v>0</v>
      </c>
      <c r="G18" s="126">
        <v>0</v>
      </c>
      <c r="H18" s="126">
        <v>0</v>
      </c>
      <c r="I18" s="126">
        <v>0</v>
      </c>
      <c r="J18" s="159">
        <v>0</v>
      </c>
      <c r="K18" s="158">
        <v>0</v>
      </c>
      <c r="L18" s="126">
        <v>0</v>
      </c>
      <c r="M18" s="124">
        <f ca="1">INDIRECT(calculation3b_hide!Q24,FALSE)</f>
        <v>-13198.23</v>
      </c>
      <c r="N18" s="124">
        <f ca="1">INDIRECT(calculation3b_hide!R24,FALSE)</f>
        <v>13095.32</v>
      </c>
      <c r="O18" s="126">
        <v>0</v>
      </c>
      <c r="P18" s="126">
        <v>0</v>
      </c>
      <c r="Q18" s="126">
        <v>0</v>
      </c>
      <c r="R18" s="126">
        <v>0</v>
      </c>
      <c r="S18" s="159">
        <v>0</v>
      </c>
    </row>
    <row r="19" spans="1:19" ht="15.5" x14ac:dyDescent="0.35">
      <c r="A19" s="141" t="s">
        <v>76</v>
      </c>
      <c r="B19" s="166">
        <f ca="1">INDIRECT(calculation3b_hide!C25,FALSE)</f>
        <v>-0.25</v>
      </c>
      <c r="C19" s="126">
        <f ca="1">INDIRECT(calculation3b_hide!D25,FALSE)</f>
        <v>0</v>
      </c>
      <c r="D19" s="124">
        <v>0</v>
      </c>
      <c r="E19" s="126">
        <v>0</v>
      </c>
      <c r="F19" s="126">
        <v>0</v>
      </c>
      <c r="G19" s="126">
        <v>0</v>
      </c>
      <c r="H19" s="126">
        <v>0</v>
      </c>
      <c r="I19" s="126">
        <v>0</v>
      </c>
      <c r="J19" s="159">
        <v>0</v>
      </c>
      <c r="K19" s="158">
        <f ca="1">INDIRECT(calculation3b_hide!O25,FALSE)</f>
        <v>0</v>
      </c>
      <c r="L19" s="126">
        <f ca="1">INDIRECT(calculation3b_hide!P25,FALSE)</f>
        <v>0</v>
      </c>
      <c r="M19" s="126">
        <v>0</v>
      </c>
      <c r="N19" s="126">
        <v>0</v>
      </c>
      <c r="O19" s="126">
        <v>0</v>
      </c>
      <c r="P19" s="126">
        <v>0</v>
      </c>
      <c r="Q19" s="126">
        <v>0</v>
      </c>
      <c r="R19" s="126">
        <v>0</v>
      </c>
      <c r="S19" s="159">
        <v>0</v>
      </c>
    </row>
    <row r="20" spans="1:19" ht="15.5" x14ac:dyDescent="0.35">
      <c r="A20" s="141" t="s">
        <v>77</v>
      </c>
      <c r="B20" s="158">
        <f ca="1">INDIRECT(calculation3b_hide!C26,FALSE)</f>
        <v>-23.88</v>
      </c>
      <c r="C20" s="126">
        <f ca="1">INDIRECT(calculation3b_hide!D26,FALSE)</f>
        <v>-42.48</v>
      </c>
      <c r="D20" s="124">
        <v>0</v>
      </c>
      <c r="E20" s="126">
        <v>0</v>
      </c>
      <c r="F20" s="126">
        <v>0</v>
      </c>
      <c r="G20" s="126">
        <v>0</v>
      </c>
      <c r="H20" s="126">
        <v>0</v>
      </c>
      <c r="I20" s="126">
        <v>0</v>
      </c>
      <c r="J20" s="159">
        <v>0</v>
      </c>
      <c r="K20" s="158">
        <f ca="1">INDIRECT(calculation3b_hide!O26,FALSE)</f>
        <v>-22.94</v>
      </c>
      <c r="L20" s="126">
        <f ca="1">INDIRECT(calculation3b_hide!P26,FALSE)</f>
        <v>-91.64</v>
      </c>
      <c r="M20" s="126">
        <v>0</v>
      </c>
      <c r="N20" s="126">
        <v>0</v>
      </c>
      <c r="O20" s="126">
        <v>0</v>
      </c>
      <c r="P20" s="126">
        <v>0</v>
      </c>
      <c r="Q20" s="126">
        <v>0</v>
      </c>
      <c r="R20" s="126">
        <v>0</v>
      </c>
      <c r="S20" s="159">
        <v>0</v>
      </c>
    </row>
    <row r="21" spans="1:19" ht="15.5" x14ac:dyDescent="0.35">
      <c r="A21" s="141" t="s">
        <v>78</v>
      </c>
      <c r="B21" s="158">
        <f ca="1">INDIRECT(calculation3b_hide!C27,FALSE)</f>
        <v>-21.4</v>
      </c>
      <c r="C21" s="126">
        <f ca="1">INDIRECT(calculation3b_hide!D27,FALSE)</f>
        <v>40.1</v>
      </c>
      <c r="D21" s="126">
        <v>0</v>
      </c>
      <c r="E21" s="126">
        <f ca="1">INDIRECT(calculation3b_hide!F27,FALSE)</f>
        <v>-15.44</v>
      </c>
      <c r="F21" s="126">
        <v>0</v>
      </c>
      <c r="G21" s="126">
        <v>0</v>
      </c>
      <c r="H21" s="126">
        <v>0</v>
      </c>
      <c r="I21" s="126">
        <v>0</v>
      </c>
      <c r="J21" s="159">
        <v>0</v>
      </c>
      <c r="K21" s="158">
        <f ca="1">INDIRECT(calculation3b_hide!O27,FALSE)</f>
        <v>-8.43</v>
      </c>
      <c r="L21" s="126">
        <f ca="1">INDIRECT(calculation3b_hide!P27,FALSE)</f>
        <v>28.18</v>
      </c>
      <c r="M21" s="126">
        <v>0</v>
      </c>
      <c r="N21" s="126">
        <f ca="1">INDIRECT(calculation3b_hide!R27,FALSE)</f>
        <v>-11.18</v>
      </c>
      <c r="O21" s="126">
        <v>0</v>
      </c>
      <c r="P21" s="126">
        <v>0</v>
      </c>
      <c r="Q21" s="126">
        <v>0</v>
      </c>
      <c r="R21" s="126">
        <v>0</v>
      </c>
      <c r="S21" s="159">
        <v>0</v>
      </c>
    </row>
    <row r="22" spans="1:19" ht="15.5" x14ac:dyDescent="0.35">
      <c r="A22" s="141" t="s">
        <v>169</v>
      </c>
      <c r="B22" s="158">
        <v>0</v>
      </c>
      <c r="C22" s="126">
        <v>0</v>
      </c>
      <c r="D22" s="126">
        <f ca="1">INDIRECT(calculation3b_hide!E28,FALSE)</f>
        <v>38.340000000000003</v>
      </c>
      <c r="E22" s="126">
        <f ca="1">INDIRECT(calculation3b_hide!F28,FALSE)</f>
        <v>-42</v>
      </c>
      <c r="F22" s="126">
        <v>0</v>
      </c>
      <c r="G22" s="126">
        <v>0</v>
      </c>
      <c r="H22" s="126">
        <v>0</v>
      </c>
      <c r="I22" s="126">
        <v>0</v>
      </c>
      <c r="J22" s="159">
        <v>0</v>
      </c>
      <c r="K22" s="158">
        <v>0</v>
      </c>
      <c r="L22" s="126">
        <v>0</v>
      </c>
      <c r="M22" s="126">
        <f ca="1">INDIRECT(calculation3b_hide!Q28,FALSE)</f>
        <v>79.45</v>
      </c>
      <c r="N22" s="126">
        <f ca="1">INDIRECT(calculation3b_hide!R28,FALSE)</f>
        <v>-87.05</v>
      </c>
      <c r="O22" s="126">
        <v>0</v>
      </c>
      <c r="P22" s="126">
        <v>0</v>
      </c>
      <c r="Q22" s="126">
        <v>0</v>
      </c>
      <c r="R22" s="126">
        <v>0</v>
      </c>
      <c r="S22" s="159">
        <v>0</v>
      </c>
    </row>
    <row r="23" spans="1:19" ht="15.5" x14ac:dyDescent="0.35">
      <c r="A23" s="141" t="s">
        <v>45</v>
      </c>
      <c r="B23" s="162">
        <f ca="1">INDIRECT(calculation3b_hide!C29,FALSE)</f>
        <v>0</v>
      </c>
      <c r="C23" s="126">
        <f ca="1">INDIRECT(calculation3b_hide!D29,FALSE)</f>
        <v>12.21</v>
      </c>
      <c r="D23" s="126">
        <v>0</v>
      </c>
      <c r="E23" s="126">
        <f ca="1">INDIRECT(calculation3b_hide!F29,FALSE)</f>
        <v>826.76</v>
      </c>
      <c r="F23" s="126">
        <f ca="1">INDIRECT(calculation3b_hide!G29,FALSE)</f>
        <v>1066.17</v>
      </c>
      <c r="G23" s="126">
        <v>0</v>
      </c>
      <c r="H23" s="126">
        <v>0</v>
      </c>
      <c r="I23" s="126">
        <f ca="1">INDIRECT(calculation3b_hide!J29,FALSE)</f>
        <v>357.16</v>
      </c>
      <c r="J23" s="159">
        <f ca="1">INDIRECT(calculation3b_hide!K29,FALSE)</f>
        <v>80.790000000000006</v>
      </c>
      <c r="K23" s="162">
        <f ca="1">INDIRECT(calculation3b_hide!O29,FALSE)</f>
        <v>0</v>
      </c>
      <c r="L23" s="126">
        <f ca="1">INDIRECT(calculation3b_hide!P29,FALSE)</f>
        <v>14.84</v>
      </c>
      <c r="M23" s="126">
        <v>0</v>
      </c>
      <c r="N23" s="126">
        <f ca="1">INDIRECT(calculation3b_hide!R29,FALSE)</f>
        <v>789.9</v>
      </c>
      <c r="O23" s="126">
        <f ca="1">INDIRECT(calculation3b_hide!S29,FALSE)</f>
        <v>942.82</v>
      </c>
      <c r="P23" s="126">
        <v>0</v>
      </c>
      <c r="Q23" s="126">
        <v>0</v>
      </c>
      <c r="R23" s="126">
        <f ca="1">INDIRECT(calculation3b_hide!V29,FALSE)</f>
        <v>328.37</v>
      </c>
      <c r="S23" s="159">
        <f ca="1">INDIRECT(calculation3b_hide!W29,FALSE)</f>
        <v>80.790000000000006</v>
      </c>
    </row>
    <row r="24" spans="1:19" ht="15.5" x14ac:dyDescent="0.35">
      <c r="A24" s="141" t="s">
        <v>46</v>
      </c>
      <c r="B24" s="158">
        <v>0</v>
      </c>
      <c r="C24" s="124">
        <f ca="1">INDIRECT(calculation3b_hide!D30,FALSE)</f>
        <v>1.92</v>
      </c>
      <c r="D24" s="126">
        <v>0</v>
      </c>
      <c r="E24" s="125">
        <v>0</v>
      </c>
      <c r="F24" s="124">
        <f ca="1">INDIRECT(calculation3b_hide!G30,FALSE)</f>
        <v>114.25</v>
      </c>
      <c r="G24" s="125">
        <v>0</v>
      </c>
      <c r="H24" s="126">
        <v>0</v>
      </c>
      <c r="I24" s="124">
        <f ca="1">INDIRECT(calculation3b_hide!J30,FALSE)</f>
        <v>700.99</v>
      </c>
      <c r="J24" s="159">
        <v>0</v>
      </c>
      <c r="K24" s="158">
        <v>0</v>
      </c>
      <c r="L24" s="126">
        <f ca="1">INDIRECT(calculation3b_hide!P30,FALSE)</f>
        <v>3.22</v>
      </c>
      <c r="M24" s="126">
        <v>0</v>
      </c>
      <c r="N24" s="125">
        <v>0</v>
      </c>
      <c r="O24" s="126">
        <f ca="1">INDIRECT(calculation3b_hide!S30,FALSE)</f>
        <v>130.91</v>
      </c>
      <c r="P24" s="126">
        <v>0</v>
      </c>
      <c r="Q24" s="126">
        <v>0</v>
      </c>
      <c r="R24" s="126">
        <f ca="1">INDIRECT(calculation3b_hide!V30,FALSE)</f>
        <v>730.05</v>
      </c>
      <c r="S24" s="159">
        <v>0</v>
      </c>
    </row>
    <row r="25" spans="1:19" s="16" customFormat="1" ht="15.5" x14ac:dyDescent="0.35">
      <c r="A25" s="142" t="s">
        <v>164</v>
      </c>
      <c r="B25" s="173">
        <f ca="1">INDIRECT(calculation3b_hide!C32,FALSE)</f>
        <v>132.89999999999998</v>
      </c>
      <c r="C25" s="128">
        <f ca="1">INDIRECT(calculation3b_hide!D32,FALSE)</f>
        <v>56.56</v>
      </c>
      <c r="D25" s="127">
        <v>0</v>
      </c>
      <c r="E25" s="128">
        <f ca="1">INDIRECT(calculation3b_hide!F32,FALSE)</f>
        <v>15751.480000000001</v>
      </c>
      <c r="F25" s="127">
        <f ca="1">INDIRECT(calculation3b_hide!G32,FALSE)</f>
        <v>11894.33</v>
      </c>
      <c r="G25" s="127">
        <f ca="1">INDIRECT(calculation3b_hide!H32,FALSE)</f>
        <v>2178.6</v>
      </c>
      <c r="H25" s="128">
        <v>0</v>
      </c>
      <c r="I25" s="127">
        <f ca="1">INDIRECT(calculation3b_hide!J32,FALSE)</f>
        <v>6128.1</v>
      </c>
      <c r="J25" s="163">
        <f ca="1">INDIRECT(calculation3b_hide!K32,FALSE)</f>
        <v>363.01</v>
      </c>
      <c r="K25" s="160">
        <f ca="1">INDIRECT(calculation3b_hide!O32,FALSE)</f>
        <v>110.80000000000001</v>
      </c>
      <c r="L25" s="127">
        <f ca="1">INDIRECT(calculation3b_hide!P32,FALSE)</f>
        <v>32.89</v>
      </c>
      <c r="M25" s="128">
        <v>0</v>
      </c>
      <c r="N25" s="127">
        <f ca="1">INDIRECT(calculation3b_hide!R32,FALSE)</f>
        <v>15877.83</v>
      </c>
      <c r="O25" s="127">
        <f ca="1">INDIRECT(calculation3b_hide!S32,FALSE)</f>
        <v>11664.18</v>
      </c>
      <c r="P25" s="127">
        <f ca="1">INDIRECT(calculation3b_hide!T32,FALSE)</f>
        <v>2052.2399999999998</v>
      </c>
      <c r="Q25" s="128">
        <v>0</v>
      </c>
      <c r="R25" s="127">
        <f ca="1">INDIRECT(calculation3b_hide!V32,FALSE)</f>
        <v>6176.64</v>
      </c>
      <c r="S25" s="163">
        <f ca="1">INDIRECT(calculation3b_hide!W32,FALSE)</f>
        <v>363.01</v>
      </c>
    </row>
    <row r="26" spans="1:19" ht="15.5" x14ac:dyDescent="0.35">
      <c r="A26" s="141" t="s">
        <v>80</v>
      </c>
      <c r="B26" s="166">
        <f ca="1">INDIRECT(calculation3b_hide!C33,FALSE)</f>
        <v>3.07</v>
      </c>
      <c r="C26" s="124">
        <f ca="1">INDIRECT(calculation3b_hide!D33,FALSE)</f>
        <v>12.86</v>
      </c>
      <c r="D26" s="124">
        <v>0</v>
      </c>
      <c r="E26" s="58">
        <f ca="1">INDIRECT(calculation3b_hide!F33,FALSE)</f>
        <v>4.53</v>
      </c>
      <c r="F26" s="124">
        <f ca="1">INDIRECT(calculation3b_hide!G33,FALSE)</f>
        <v>84.25</v>
      </c>
      <c r="G26" s="124">
        <f ca="1">INDIRECT(calculation3b_hide!H33,FALSE)</f>
        <v>0.01</v>
      </c>
      <c r="H26" s="126">
        <v>0</v>
      </c>
      <c r="I26" s="124">
        <f ca="1">INDIRECT(calculation3b_hide!J33,FALSE)</f>
        <v>33.979999999999997</v>
      </c>
      <c r="J26" s="165">
        <v>0</v>
      </c>
      <c r="K26" s="164">
        <f ca="1">INDIRECT(calculation3b_hide!O33,FALSE)</f>
        <v>0.76</v>
      </c>
      <c r="L26" s="124">
        <f ca="1">INDIRECT(calculation3b_hide!P33,FALSE)</f>
        <v>0.59</v>
      </c>
      <c r="M26" s="126">
        <v>0</v>
      </c>
      <c r="N26" s="125">
        <f ca="1">INDIRECT(calculation3b_hide!R33,FALSE)</f>
        <v>5.09</v>
      </c>
      <c r="O26" s="124">
        <f ca="1">INDIRECT(calculation3b_hide!S33,FALSE)</f>
        <v>81.150000000000006</v>
      </c>
      <c r="P26" s="124">
        <f ca="1">INDIRECT(calculation3b_hide!T33,FALSE)</f>
        <v>0</v>
      </c>
      <c r="Q26" s="126">
        <v>0</v>
      </c>
      <c r="R26" s="126">
        <f ca="1">INDIRECT(calculation3b_hide!V33,FALSE)</f>
        <v>35.590000000000003</v>
      </c>
      <c r="S26" s="165">
        <v>0</v>
      </c>
    </row>
    <row r="27" spans="1:19" ht="15.5" x14ac:dyDescent="0.35">
      <c r="A27" s="141" t="s">
        <v>81</v>
      </c>
      <c r="B27" s="166">
        <f ca="1">INDIRECT(calculation3b_hide!C34,FALSE)</f>
        <v>120.56</v>
      </c>
      <c r="C27" s="126">
        <v>0</v>
      </c>
      <c r="D27" s="124">
        <v>0</v>
      </c>
      <c r="E27" s="126">
        <f ca="1">INDIRECT(calculation3b_hide!F34,FALSE)</f>
        <v>522.89</v>
      </c>
      <c r="F27" s="126">
        <f ca="1">INDIRECT(calculation3b_hide!G34,FALSE)</f>
        <v>1779.82</v>
      </c>
      <c r="G27" s="126">
        <f ca="1">INDIRECT(calculation3b_hide!H34,FALSE)</f>
        <v>468.67</v>
      </c>
      <c r="H27" s="126">
        <v>0</v>
      </c>
      <c r="I27" s="126">
        <f ca="1">INDIRECT(calculation3b_hide!J34,FALSE)</f>
        <v>1720.8</v>
      </c>
      <c r="J27" s="159">
        <f ca="1">INDIRECT(calculation3b_hide!K34,FALSE)</f>
        <v>153.54</v>
      </c>
      <c r="K27" s="166">
        <f ca="1">INDIRECT(calculation3b_hide!O34,FALSE)</f>
        <v>100.81</v>
      </c>
      <c r="L27" s="126">
        <v>0</v>
      </c>
      <c r="M27" s="126">
        <v>0</v>
      </c>
      <c r="N27" s="126">
        <f ca="1">INDIRECT(calculation3b_hide!R34,FALSE)</f>
        <v>520.57000000000005</v>
      </c>
      <c r="O27" s="126">
        <f ca="1">INDIRECT(calculation3b_hide!S34,FALSE)</f>
        <v>1600.7</v>
      </c>
      <c r="P27" s="126">
        <f ca="1">INDIRECT(calculation3b_hide!T34,FALSE)</f>
        <v>422.86</v>
      </c>
      <c r="Q27" s="126">
        <v>0</v>
      </c>
      <c r="R27" s="126">
        <f ca="1">INDIRECT(calculation3b_hide!V34,FALSE)</f>
        <v>1670</v>
      </c>
      <c r="S27" s="159">
        <f ca="1">INDIRECT(calculation3b_hide!W34,FALSE)</f>
        <v>153.54</v>
      </c>
    </row>
    <row r="28" spans="1:19" ht="15.5" x14ac:dyDescent="0.35">
      <c r="A28" s="141" t="s">
        <v>64</v>
      </c>
      <c r="B28" s="166">
        <f ca="1">INDIRECT(calculation3b_hide!C35,FALSE)</f>
        <v>2.69</v>
      </c>
      <c r="C28" s="126">
        <v>0</v>
      </c>
      <c r="D28" s="124">
        <v>0</v>
      </c>
      <c r="E28" s="125">
        <f ca="1">INDIRECT(calculation3b_hide!F35,FALSE)</f>
        <v>12248.68</v>
      </c>
      <c r="F28" s="126">
        <f ca="1">INDIRECT(calculation3b_hide!G35,FALSE)</f>
        <v>41.8</v>
      </c>
      <c r="G28" s="126">
        <f ca="1">INDIRECT(calculation3b_hide!H35,FALSE)</f>
        <v>801.09</v>
      </c>
      <c r="H28" s="126">
        <v>0</v>
      </c>
      <c r="I28" s="126">
        <f ca="1">INDIRECT(calculation3b_hide!J35,FALSE)</f>
        <v>300.14</v>
      </c>
      <c r="J28" s="159">
        <v>0</v>
      </c>
      <c r="K28" s="166">
        <f ca="1">INDIRECT(calculation3b_hide!O35,FALSE)</f>
        <v>2.69</v>
      </c>
      <c r="L28" s="126">
        <v>0</v>
      </c>
      <c r="M28" s="126">
        <v>0</v>
      </c>
      <c r="N28" s="126">
        <f ca="1">INDIRECT(calculation3b_hide!R35,FALSE)</f>
        <v>12433.36</v>
      </c>
      <c r="O28" s="125">
        <f ca="1">INDIRECT(calculation3b_hide!S35,FALSE)</f>
        <v>41.8</v>
      </c>
      <c r="P28" s="126">
        <f ca="1">INDIRECT(calculation3b_hide!T35,FALSE)</f>
        <v>727.57</v>
      </c>
      <c r="Q28" s="126">
        <v>0</v>
      </c>
      <c r="R28" s="126">
        <f ca="1">INDIRECT(calculation3b_hide!V35,FALSE)</f>
        <v>364.63</v>
      </c>
      <c r="S28" s="159">
        <v>0</v>
      </c>
    </row>
    <row r="29" spans="1:19" ht="15.5" x14ac:dyDescent="0.35">
      <c r="A29" s="141" t="s">
        <v>65</v>
      </c>
      <c r="B29" s="166">
        <f ca="1">INDIRECT(calculation3b_hide!C36,FALSE)</f>
        <v>4.4800000000000004</v>
      </c>
      <c r="C29" s="124">
        <f ca="1">INDIRECT(calculation3b_hide!D36,FALSE)</f>
        <v>43.7</v>
      </c>
      <c r="D29" s="124">
        <v>0</v>
      </c>
      <c r="E29" s="126">
        <f ca="1">INDIRECT(calculation3b_hide!F36,FALSE)</f>
        <v>895.26</v>
      </c>
      <c r="F29" s="126">
        <f ca="1">INDIRECT(calculation3b_hide!G36,FALSE)</f>
        <v>7486.53</v>
      </c>
      <c r="G29" s="126">
        <f ca="1">INDIRECT(calculation3b_hide!H36,FALSE)</f>
        <v>463.32</v>
      </c>
      <c r="H29" s="126">
        <v>0</v>
      </c>
      <c r="I29" s="126">
        <f ca="1">INDIRECT(calculation3b_hide!J36,FALSE)</f>
        <v>2225.33</v>
      </c>
      <c r="J29" s="159">
        <f ca="1">INDIRECT(calculation3b_hide!K36,FALSE)</f>
        <v>93.83</v>
      </c>
      <c r="K29" s="166">
        <f ca="1">INDIRECT(calculation3b_hide!O36,FALSE)</f>
        <v>4.32</v>
      </c>
      <c r="L29" s="126">
        <f ca="1">INDIRECT(calculation3b_hide!P36,FALSE)</f>
        <v>32.299999999999997</v>
      </c>
      <c r="M29" s="126">
        <v>0</v>
      </c>
      <c r="N29" s="126">
        <f ca="1">INDIRECT(calculation3b_hide!R36,FALSE)</f>
        <v>825.06</v>
      </c>
      <c r="O29" s="126">
        <f ca="1">INDIRECT(calculation3b_hide!S36,FALSE)</f>
        <v>7556.58</v>
      </c>
      <c r="P29" s="126">
        <f ca="1">INDIRECT(calculation3b_hide!T36,FALSE)</f>
        <v>467.65</v>
      </c>
      <c r="Q29" s="126">
        <v>0</v>
      </c>
      <c r="R29" s="126">
        <f ca="1">INDIRECT(calculation3b_hide!V36,FALSE)</f>
        <v>2216.0500000000002</v>
      </c>
      <c r="S29" s="159">
        <f ca="1">INDIRECT(calculation3b_hide!W36,FALSE)</f>
        <v>93.83</v>
      </c>
    </row>
    <row r="30" spans="1:19" ht="15.5" x14ac:dyDescent="0.35">
      <c r="A30" s="141" t="s">
        <v>66</v>
      </c>
      <c r="B30" s="158">
        <f ca="1">INDIRECT(calculation3b_hide!C37,FALSE)</f>
        <v>2.1</v>
      </c>
      <c r="C30" s="125">
        <v>0</v>
      </c>
      <c r="D30" s="124">
        <v>0</v>
      </c>
      <c r="E30" s="126">
        <f ca="1">INDIRECT(calculation3b_hide!F37,FALSE)</f>
        <v>1014.61</v>
      </c>
      <c r="F30" s="124">
        <f ca="1">INDIRECT(calculation3b_hide!G37,FALSE)</f>
        <v>2501.9299999999998</v>
      </c>
      <c r="G30" s="124">
        <f ca="1">INDIRECT(calculation3b_hide!H37,FALSE)</f>
        <v>445.51</v>
      </c>
      <c r="H30" s="126">
        <v>0</v>
      </c>
      <c r="I30" s="124">
        <f ca="1">INDIRECT(calculation3b_hide!J37,FALSE)</f>
        <v>1847.85</v>
      </c>
      <c r="J30" s="167">
        <f ca="1">INDIRECT(calculation3b_hide!K37,FALSE)</f>
        <v>115.64000000000001</v>
      </c>
      <c r="K30" s="166">
        <f ca="1">INDIRECT(calculation3b_hide!O37,FALSE)</f>
        <v>2.2200000000000002</v>
      </c>
      <c r="L30" s="125">
        <v>0</v>
      </c>
      <c r="M30" s="126">
        <v>0</v>
      </c>
      <c r="N30" s="124">
        <f ca="1">INDIRECT(calculation3b_hide!R37,FALSE)</f>
        <v>978.77</v>
      </c>
      <c r="O30" s="124">
        <f ca="1">INDIRECT(calculation3b_hide!S37,FALSE)</f>
        <v>2383.9499999999998</v>
      </c>
      <c r="P30" s="124">
        <f ca="1">INDIRECT(calculation3b_hide!T37,FALSE)</f>
        <v>434.16000000000008</v>
      </c>
      <c r="Q30" s="126">
        <v>0</v>
      </c>
      <c r="R30" s="124">
        <f ca="1">INDIRECT(calculation3b_hide!V37,FALSE)</f>
        <v>1890.37</v>
      </c>
      <c r="S30" s="167">
        <f ca="1">INDIRECT(calculation3b_hide!W37,FALSE)</f>
        <v>115.64000000000001</v>
      </c>
    </row>
    <row r="31" spans="1:19" ht="15.5" x14ac:dyDescent="0.35">
      <c r="A31" s="143" t="s">
        <v>87</v>
      </c>
      <c r="B31" s="168">
        <v>0</v>
      </c>
      <c r="C31" s="169">
        <f ca="1">INDIRECT(calculation3b_hide!D38,FALSE)</f>
        <v>0</v>
      </c>
      <c r="D31" s="169">
        <v>0</v>
      </c>
      <c r="E31" s="169">
        <f ca="1">INDIRECT(calculation3b_hide!F38,FALSE)</f>
        <v>1065.51</v>
      </c>
      <c r="F31" s="169">
        <f ca="1">INDIRECT(calculation3b_hide!G38,FALSE)</f>
        <v>0</v>
      </c>
      <c r="G31" s="169">
        <v>0</v>
      </c>
      <c r="H31" s="169">
        <v>0</v>
      </c>
      <c r="I31" s="169">
        <v>0</v>
      </c>
      <c r="J31" s="170">
        <v>0</v>
      </c>
      <c r="K31" s="168">
        <v>0</v>
      </c>
      <c r="L31" s="169">
        <f ca="1">INDIRECT(calculation3b_hide!P38,FALSE)</f>
        <v>0</v>
      </c>
      <c r="M31" s="169">
        <v>0</v>
      </c>
      <c r="N31" s="169">
        <f ca="1">INDIRECT(calculation3b_hide!R38,FALSE)</f>
        <v>1114.98</v>
      </c>
      <c r="O31" s="169">
        <f ca="1">INDIRECT(calculation3b_hide!S38,FALSE)</f>
        <v>0</v>
      </c>
      <c r="P31" s="169">
        <v>0</v>
      </c>
      <c r="Q31" s="169">
        <v>0</v>
      </c>
      <c r="R31" s="169">
        <v>0</v>
      </c>
      <c r="S31" s="170">
        <v>0</v>
      </c>
    </row>
  </sheetData>
  <pageMargins left="0.51181102362204722" right="0.51181102362204722" top="0.78740157480314965" bottom="0.78740157480314965" header="0.51181102362204722" footer="0.51181102362204722"/>
  <pageSetup paperSize="9" scale="26" orientation="landscape" verticalDpi="4" r:id="rId1"/>
  <headerFooter alignWithMargins="0"/>
  <ignoredErrors>
    <ignoredError sqref="E6:S11 E13:S25 E12:F12 I12:O12 R12:S12 E27:S31 E26:F26 H26:O26 Q26:S26"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8314C-4C8F-4EEC-9B3F-A5A86EBEE977}">
  <sheetPr>
    <pageSetUpPr fitToPage="1"/>
  </sheetPr>
  <dimension ref="A1:N22"/>
  <sheetViews>
    <sheetView showGridLines="0" zoomScaleNormal="100" workbookViewId="0"/>
  </sheetViews>
  <sheetFormatPr defaultColWidth="9.1796875" defaultRowHeight="12.5" x14ac:dyDescent="0.25"/>
  <cols>
    <col min="1" max="1" width="71.54296875" style="12" customWidth="1"/>
    <col min="2" max="2" width="8.81640625" style="106" customWidth="1"/>
    <col min="3" max="3" width="13.453125" style="106" customWidth="1"/>
    <col min="4" max="4" width="14.453125" style="106" customWidth="1"/>
    <col min="5" max="12" width="15.453125" style="106" customWidth="1"/>
    <col min="13" max="13" width="14.81640625" style="106" bestFit="1" customWidth="1"/>
    <col min="14" max="14" width="16.54296875" style="106" bestFit="1" customWidth="1"/>
    <col min="15" max="15" width="3" style="12" customWidth="1"/>
    <col min="16" max="16" width="9.26953125" style="12" customWidth="1"/>
    <col min="17" max="18" width="11" style="12" bestFit="1" customWidth="1"/>
    <col min="19" max="254" width="9.1796875" style="12"/>
    <col min="255" max="255" width="0" style="12" hidden="1" customWidth="1"/>
    <col min="256" max="256" width="23.54296875" style="12" customWidth="1"/>
    <col min="257" max="259" width="8.81640625" style="12" customWidth="1"/>
    <col min="260" max="260" width="2.81640625" style="12" customWidth="1"/>
    <col min="261" max="268" width="7.81640625" style="12" customWidth="1"/>
    <col min="269" max="269" width="8.1796875" style="12" customWidth="1"/>
    <col min="270" max="270" width="8.81640625" style="12" customWidth="1"/>
    <col min="271" max="271" width="3" style="12" customWidth="1"/>
    <col min="272" max="272" width="9.26953125" style="12" customWidth="1"/>
    <col min="273" max="273" width="9.7265625" style="12" bestFit="1" customWidth="1"/>
    <col min="274" max="510" width="9.1796875" style="12"/>
    <col min="511" max="511" width="0" style="12" hidden="1" customWidth="1"/>
    <col min="512" max="512" width="23.54296875" style="12" customWidth="1"/>
    <col min="513" max="515" width="8.81640625" style="12" customWidth="1"/>
    <col min="516" max="516" width="2.81640625" style="12" customWidth="1"/>
    <col min="517" max="524" width="7.81640625" style="12" customWidth="1"/>
    <col min="525" max="525" width="8.1796875" style="12" customWidth="1"/>
    <col min="526" max="526" width="8.81640625" style="12" customWidth="1"/>
    <col min="527" max="527" width="3" style="12" customWidth="1"/>
    <col min="528" max="528" width="9.26953125" style="12" customWidth="1"/>
    <col min="529" max="529" width="9.7265625" style="12" bestFit="1" customWidth="1"/>
    <col min="530" max="766" width="9.1796875" style="12"/>
    <col min="767" max="767" width="0" style="12" hidden="1" customWidth="1"/>
    <col min="768" max="768" width="23.54296875" style="12" customWidth="1"/>
    <col min="769" max="771" width="8.81640625" style="12" customWidth="1"/>
    <col min="772" max="772" width="2.81640625" style="12" customWidth="1"/>
    <col min="773" max="780" width="7.81640625" style="12" customWidth="1"/>
    <col min="781" max="781" width="8.1796875" style="12" customWidth="1"/>
    <col min="782" max="782" width="8.81640625" style="12" customWidth="1"/>
    <col min="783" max="783" width="3" style="12" customWidth="1"/>
    <col min="784" max="784" width="9.26953125" style="12" customWidth="1"/>
    <col min="785" max="785" width="9.7265625" style="12" bestFit="1" customWidth="1"/>
    <col min="786" max="1022" width="9.1796875" style="12"/>
    <col min="1023" max="1023" width="0" style="12" hidden="1" customWidth="1"/>
    <col min="1024" max="1024" width="23.54296875" style="12" customWidth="1"/>
    <col min="1025" max="1027" width="8.81640625" style="12" customWidth="1"/>
    <col min="1028" max="1028" width="2.81640625" style="12" customWidth="1"/>
    <col min="1029" max="1036" width="7.81640625" style="12" customWidth="1"/>
    <col min="1037" max="1037" width="8.1796875" style="12" customWidth="1"/>
    <col min="1038" max="1038" width="8.81640625" style="12" customWidth="1"/>
    <col min="1039" max="1039" width="3" style="12" customWidth="1"/>
    <col min="1040" max="1040" width="9.26953125" style="12" customWidth="1"/>
    <col min="1041" max="1041" width="9.7265625" style="12" bestFit="1" customWidth="1"/>
    <col min="1042" max="1278" width="9.1796875" style="12"/>
    <col min="1279" max="1279" width="0" style="12" hidden="1" customWidth="1"/>
    <col min="1280" max="1280" width="23.54296875" style="12" customWidth="1"/>
    <col min="1281" max="1283" width="8.81640625" style="12" customWidth="1"/>
    <col min="1284" max="1284" width="2.81640625" style="12" customWidth="1"/>
    <col min="1285" max="1292" width="7.81640625" style="12" customWidth="1"/>
    <col min="1293" max="1293" width="8.1796875" style="12" customWidth="1"/>
    <col min="1294" max="1294" width="8.81640625" style="12" customWidth="1"/>
    <col min="1295" max="1295" width="3" style="12" customWidth="1"/>
    <col min="1296" max="1296" width="9.26953125" style="12" customWidth="1"/>
    <col min="1297" max="1297" width="9.7265625" style="12" bestFit="1" customWidth="1"/>
    <col min="1298" max="1534" width="9.1796875" style="12"/>
    <col min="1535" max="1535" width="0" style="12" hidden="1" customWidth="1"/>
    <col min="1536" max="1536" width="23.54296875" style="12" customWidth="1"/>
    <col min="1537" max="1539" width="8.81640625" style="12" customWidth="1"/>
    <col min="1540" max="1540" width="2.81640625" style="12" customWidth="1"/>
    <col min="1541" max="1548" width="7.81640625" style="12" customWidth="1"/>
    <col min="1549" max="1549" width="8.1796875" style="12" customWidth="1"/>
    <col min="1550" max="1550" width="8.81640625" style="12" customWidth="1"/>
    <col min="1551" max="1551" width="3" style="12" customWidth="1"/>
    <col min="1552" max="1552" width="9.26953125" style="12" customWidth="1"/>
    <col min="1553" max="1553" width="9.7265625" style="12" bestFit="1" customWidth="1"/>
    <col min="1554" max="1790" width="9.1796875" style="12"/>
    <col min="1791" max="1791" width="0" style="12" hidden="1" customWidth="1"/>
    <col min="1792" max="1792" width="23.54296875" style="12" customWidth="1"/>
    <col min="1793" max="1795" width="8.81640625" style="12" customWidth="1"/>
    <col min="1796" max="1796" width="2.81640625" style="12" customWidth="1"/>
    <col min="1797" max="1804" width="7.81640625" style="12" customWidth="1"/>
    <col min="1805" max="1805" width="8.1796875" style="12" customWidth="1"/>
    <col min="1806" max="1806" width="8.81640625" style="12" customWidth="1"/>
    <col min="1807" max="1807" width="3" style="12" customWidth="1"/>
    <col min="1808" max="1808" width="9.26953125" style="12" customWidth="1"/>
    <col min="1809" max="1809" width="9.7265625" style="12" bestFit="1" customWidth="1"/>
    <col min="1810" max="2046" width="9.1796875" style="12"/>
    <col min="2047" max="2047" width="0" style="12" hidden="1" customWidth="1"/>
    <col min="2048" max="2048" width="23.54296875" style="12" customWidth="1"/>
    <col min="2049" max="2051" width="8.81640625" style="12" customWidth="1"/>
    <col min="2052" max="2052" width="2.81640625" style="12" customWidth="1"/>
    <col min="2053" max="2060" width="7.81640625" style="12" customWidth="1"/>
    <col min="2061" max="2061" width="8.1796875" style="12" customWidth="1"/>
    <col min="2062" max="2062" width="8.81640625" style="12" customWidth="1"/>
    <col min="2063" max="2063" width="3" style="12" customWidth="1"/>
    <col min="2064" max="2064" width="9.26953125" style="12" customWidth="1"/>
    <col min="2065" max="2065" width="9.7265625" style="12" bestFit="1" customWidth="1"/>
    <col min="2066" max="2302" width="9.1796875" style="12"/>
    <col min="2303" max="2303" width="0" style="12" hidden="1" customWidth="1"/>
    <col min="2304" max="2304" width="23.54296875" style="12" customWidth="1"/>
    <col min="2305" max="2307" width="8.81640625" style="12" customWidth="1"/>
    <col min="2308" max="2308" width="2.81640625" style="12" customWidth="1"/>
    <col min="2309" max="2316" width="7.81640625" style="12" customWidth="1"/>
    <col min="2317" max="2317" width="8.1796875" style="12" customWidth="1"/>
    <col min="2318" max="2318" width="8.81640625" style="12" customWidth="1"/>
    <col min="2319" max="2319" width="3" style="12" customWidth="1"/>
    <col min="2320" max="2320" width="9.26953125" style="12" customWidth="1"/>
    <col min="2321" max="2321" width="9.7265625" style="12" bestFit="1" customWidth="1"/>
    <col min="2322" max="2558" width="9.1796875" style="12"/>
    <col min="2559" max="2559" width="0" style="12" hidden="1" customWidth="1"/>
    <col min="2560" max="2560" width="23.54296875" style="12" customWidth="1"/>
    <col min="2561" max="2563" width="8.81640625" style="12" customWidth="1"/>
    <col min="2564" max="2564" width="2.81640625" style="12" customWidth="1"/>
    <col min="2565" max="2572" width="7.81640625" style="12" customWidth="1"/>
    <col min="2573" max="2573" width="8.1796875" style="12" customWidth="1"/>
    <col min="2574" max="2574" width="8.81640625" style="12" customWidth="1"/>
    <col min="2575" max="2575" width="3" style="12" customWidth="1"/>
    <col min="2576" max="2576" width="9.26953125" style="12" customWidth="1"/>
    <col min="2577" max="2577" width="9.7265625" style="12" bestFit="1" customWidth="1"/>
    <col min="2578" max="2814" width="9.1796875" style="12"/>
    <col min="2815" max="2815" width="0" style="12" hidden="1" customWidth="1"/>
    <col min="2816" max="2816" width="23.54296875" style="12" customWidth="1"/>
    <col min="2817" max="2819" width="8.81640625" style="12" customWidth="1"/>
    <col min="2820" max="2820" width="2.81640625" style="12" customWidth="1"/>
    <col min="2821" max="2828" width="7.81640625" style="12" customWidth="1"/>
    <col min="2829" max="2829" width="8.1796875" style="12" customWidth="1"/>
    <col min="2830" max="2830" width="8.81640625" style="12" customWidth="1"/>
    <col min="2831" max="2831" width="3" style="12" customWidth="1"/>
    <col min="2832" max="2832" width="9.26953125" style="12" customWidth="1"/>
    <col min="2833" max="2833" width="9.7265625" style="12" bestFit="1" customWidth="1"/>
    <col min="2834" max="3070" width="9.1796875" style="12"/>
    <col min="3071" max="3071" width="0" style="12" hidden="1" customWidth="1"/>
    <col min="3072" max="3072" width="23.54296875" style="12" customWidth="1"/>
    <col min="3073" max="3075" width="8.81640625" style="12" customWidth="1"/>
    <col min="3076" max="3076" width="2.81640625" style="12" customWidth="1"/>
    <col min="3077" max="3084" width="7.81640625" style="12" customWidth="1"/>
    <col min="3085" max="3085" width="8.1796875" style="12" customWidth="1"/>
    <col min="3086" max="3086" width="8.81640625" style="12" customWidth="1"/>
    <col min="3087" max="3087" width="3" style="12" customWidth="1"/>
    <col min="3088" max="3088" width="9.26953125" style="12" customWidth="1"/>
    <col min="3089" max="3089" width="9.7265625" style="12" bestFit="1" customWidth="1"/>
    <col min="3090" max="3326" width="9.1796875" style="12"/>
    <col min="3327" max="3327" width="0" style="12" hidden="1" customWidth="1"/>
    <col min="3328" max="3328" width="23.54296875" style="12" customWidth="1"/>
    <col min="3329" max="3331" width="8.81640625" style="12" customWidth="1"/>
    <col min="3332" max="3332" width="2.81640625" style="12" customWidth="1"/>
    <col min="3333" max="3340" width="7.81640625" style="12" customWidth="1"/>
    <col min="3341" max="3341" width="8.1796875" style="12" customWidth="1"/>
    <col min="3342" max="3342" width="8.81640625" style="12" customWidth="1"/>
    <col min="3343" max="3343" width="3" style="12" customWidth="1"/>
    <col min="3344" max="3344" width="9.26953125" style="12" customWidth="1"/>
    <col min="3345" max="3345" width="9.7265625" style="12" bestFit="1" customWidth="1"/>
    <col min="3346" max="3582" width="9.1796875" style="12"/>
    <col min="3583" max="3583" width="0" style="12" hidden="1" customWidth="1"/>
    <col min="3584" max="3584" width="23.54296875" style="12" customWidth="1"/>
    <col min="3585" max="3587" width="8.81640625" style="12" customWidth="1"/>
    <col min="3588" max="3588" width="2.81640625" style="12" customWidth="1"/>
    <col min="3589" max="3596" width="7.81640625" style="12" customWidth="1"/>
    <col min="3597" max="3597" width="8.1796875" style="12" customWidth="1"/>
    <col min="3598" max="3598" width="8.81640625" style="12" customWidth="1"/>
    <col min="3599" max="3599" width="3" style="12" customWidth="1"/>
    <col min="3600" max="3600" width="9.26953125" style="12" customWidth="1"/>
    <col min="3601" max="3601" width="9.7265625" style="12" bestFit="1" customWidth="1"/>
    <col min="3602" max="3838" width="9.1796875" style="12"/>
    <col min="3839" max="3839" width="0" style="12" hidden="1" customWidth="1"/>
    <col min="3840" max="3840" width="23.54296875" style="12" customWidth="1"/>
    <col min="3841" max="3843" width="8.81640625" style="12" customWidth="1"/>
    <col min="3844" max="3844" width="2.81640625" style="12" customWidth="1"/>
    <col min="3845" max="3852" width="7.81640625" style="12" customWidth="1"/>
    <col min="3853" max="3853" width="8.1796875" style="12" customWidth="1"/>
    <col min="3854" max="3854" width="8.81640625" style="12" customWidth="1"/>
    <col min="3855" max="3855" width="3" style="12" customWidth="1"/>
    <col min="3856" max="3856" width="9.26953125" style="12" customWidth="1"/>
    <col min="3857" max="3857" width="9.7265625" style="12" bestFit="1" customWidth="1"/>
    <col min="3858" max="4094" width="9.1796875" style="12"/>
    <col min="4095" max="4095" width="0" style="12" hidden="1" customWidth="1"/>
    <col min="4096" max="4096" width="23.54296875" style="12" customWidth="1"/>
    <col min="4097" max="4099" width="8.81640625" style="12" customWidth="1"/>
    <col min="4100" max="4100" width="2.81640625" style="12" customWidth="1"/>
    <col min="4101" max="4108" width="7.81640625" style="12" customWidth="1"/>
    <col min="4109" max="4109" width="8.1796875" style="12" customWidth="1"/>
    <col min="4110" max="4110" width="8.81640625" style="12" customWidth="1"/>
    <col min="4111" max="4111" width="3" style="12" customWidth="1"/>
    <col min="4112" max="4112" width="9.26953125" style="12" customWidth="1"/>
    <col min="4113" max="4113" width="9.7265625" style="12" bestFit="1" customWidth="1"/>
    <col min="4114" max="4350" width="9.1796875" style="12"/>
    <col min="4351" max="4351" width="0" style="12" hidden="1" customWidth="1"/>
    <col min="4352" max="4352" width="23.54296875" style="12" customWidth="1"/>
    <col min="4353" max="4355" width="8.81640625" style="12" customWidth="1"/>
    <col min="4356" max="4356" width="2.81640625" style="12" customWidth="1"/>
    <col min="4357" max="4364" width="7.81640625" style="12" customWidth="1"/>
    <col min="4365" max="4365" width="8.1796875" style="12" customWidth="1"/>
    <col min="4366" max="4366" width="8.81640625" style="12" customWidth="1"/>
    <col min="4367" max="4367" width="3" style="12" customWidth="1"/>
    <col min="4368" max="4368" width="9.26953125" style="12" customWidth="1"/>
    <col min="4369" max="4369" width="9.7265625" style="12" bestFit="1" customWidth="1"/>
    <col min="4370" max="4606" width="9.1796875" style="12"/>
    <col min="4607" max="4607" width="0" style="12" hidden="1" customWidth="1"/>
    <col min="4608" max="4608" width="23.54296875" style="12" customWidth="1"/>
    <col min="4609" max="4611" width="8.81640625" style="12" customWidth="1"/>
    <col min="4612" max="4612" width="2.81640625" style="12" customWidth="1"/>
    <col min="4613" max="4620" width="7.81640625" style="12" customWidth="1"/>
    <col min="4621" max="4621" width="8.1796875" style="12" customWidth="1"/>
    <col min="4622" max="4622" width="8.81640625" style="12" customWidth="1"/>
    <col min="4623" max="4623" width="3" style="12" customWidth="1"/>
    <col min="4624" max="4624" width="9.26953125" style="12" customWidth="1"/>
    <col min="4625" max="4625" width="9.7265625" style="12" bestFit="1" customWidth="1"/>
    <col min="4626" max="4862" width="9.1796875" style="12"/>
    <col min="4863" max="4863" width="0" style="12" hidden="1" customWidth="1"/>
    <col min="4864" max="4864" width="23.54296875" style="12" customWidth="1"/>
    <col min="4865" max="4867" width="8.81640625" style="12" customWidth="1"/>
    <col min="4868" max="4868" width="2.81640625" style="12" customWidth="1"/>
    <col min="4869" max="4876" width="7.81640625" style="12" customWidth="1"/>
    <col min="4877" max="4877" width="8.1796875" style="12" customWidth="1"/>
    <col min="4878" max="4878" width="8.81640625" style="12" customWidth="1"/>
    <col min="4879" max="4879" width="3" style="12" customWidth="1"/>
    <col min="4880" max="4880" width="9.26953125" style="12" customWidth="1"/>
    <col min="4881" max="4881" width="9.7265625" style="12" bestFit="1" customWidth="1"/>
    <col min="4882" max="5118" width="9.1796875" style="12"/>
    <col min="5119" max="5119" width="0" style="12" hidden="1" customWidth="1"/>
    <col min="5120" max="5120" width="23.54296875" style="12" customWidth="1"/>
    <col min="5121" max="5123" width="8.81640625" style="12" customWidth="1"/>
    <col min="5124" max="5124" width="2.81640625" style="12" customWidth="1"/>
    <col min="5125" max="5132" width="7.81640625" style="12" customWidth="1"/>
    <col min="5133" max="5133" width="8.1796875" style="12" customWidth="1"/>
    <col min="5134" max="5134" width="8.81640625" style="12" customWidth="1"/>
    <col min="5135" max="5135" width="3" style="12" customWidth="1"/>
    <col min="5136" max="5136" width="9.26953125" style="12" customWidth="1"/>
    <col min="5137" max="5137" width="9.7265625" style="12" bestFit="1" customWidth="1"/>
    <col min="5138" max="5374" width="9.1796875" style="12"/>
    <col min="5375" max="5375" width="0" style="12" hidden="1" customWidth="1"/>
    <col min="5376" max="5376" width="23.54296875" style="12" customWidth="1"/>
    <col min="5377" max="5379" width="8.81640625" style="12" customWidth="1"/>
    <col min="5380" max="5380" width="2.81640625" style="12" customWidth="1"/>
    <col min="5381" max="5388" width="7.81640625" style="12" customWidth="1"/>
    <col min="5389" max="5389" width="8.1796875" style="12" customWidth="1"/>
    <col min="5390" max="5390" width="8.81640625" style="12" customWidth="1"/>
    <col min="5391" max="5391" width="3" style="12" customWidth="1"/>
    <col min="5392" max="5392" width="9.26953125" style="12" customWidth="1"/>
    <col min="5393" max="5393" width="9.7265625" style="12" bestFit="1" customWidth="1"/>
    <col min="5394" max="5630" width="9.1796875" style="12"/>
    <col min="5631" max="5631" width="0" style="12" hidden="1" customWidth="1"/>
    <col min="5632" max="5632" width="23.54296875" style="12" customWidth="1"/>
    <col min="5633" max="5635" width="8.81640625" style="12" customWidth="1"/>
    <col min="5636" max="5636" width="2.81640625" style="12" customWidth="1"/>
    <col min="5637" max="5644" width="7.81640625" style="12" customWidth="1"/>
    <col min="5645" max="5645" width="8.1796875" style="12" customWidth="1"/>
    <col min="5646" max="5646" width="8.81640625" style="12" customWidth="1"/>
    <col min="5647" max="5647" width="3" style="12" customWidth="1"/>
    <col min="5648" max="5648" width="9.26953125" style="12" customWidth="1"/>
    <col min="5649" max="5649" width="9.7265625" style="12" bestFit="1" customWidth="1"/>
    <col min="5650" max="5886" width="9.1796875" style="12"/>
    <col min="5887" max="5887" width="0" style="12" hidden="1" customWidth="1"/>
    <col min="5888" max="5888" width="23.54296875" style="12" customWidth="1"/>
    <col min="5889" max="5891" width="8.81640625" style="12" customWidth="1"/>
    <col min="5892" max="5892" width="2.81640625" style="12" customWidth="1"/>
    <col min="5893" max="5900" width="7.81640625" style="12" customWidth="1"/>
    <col min="5901" max="5901" width="8.1796875" style="12" customWidth="1"/>
    <col min="5902" max="5902" width="8.81640625" style="12" customWidth="1"/>
    <col min="5903" max="5903" width="3" style="12" customWidth="1"/>
    <col min="5904" max="5904" width="9.26953125" style="12" customWidth="1"/>
    <col min="5905" max="5905" width="9.7265625" style="12" bestFit="1" customWidth="1"/>
    <col min="5906" max="6142" width="9.1796875" style="12"/>
    <col min="6143" max="6143" width="0" style="12" hidden="1" customWidth="1"/>
    <col min="6144" max="6144" width="23.54296875" style="12" customWidth="1"/>
    <col min="6145" max="6147" width="8.81640625" style="12" customWidth="1"/>
    <col min="6148" max="6148" width="2.81640625" style="12" customWidth="1"/>
    <col min="6149" max="6156" width="7.81640625" style="12" customWidth="1"/>
    <col min="6157" max="6157" width="8.1796875" style="12" customWidth="1"/>
    <col min="6158" max="6158" width="8.81640625" style="12" customWidth="1"/>
    <col min="6159" max="6159" width="3" style="12" customWidth="1"/>
    <col min="6160" max="6160" width="9.26953125" style="12" customWidth="1"/>
    <col min="6161" max="6161" width="9.7265625" style="12" bestFit="1" customWidth="1"/>
    <col min="6162" max="6398" width="9.1796875" style="12"/>
    <col min="6399" max="6399" width="0" style="12" hidden="1" customWidth="1"/>
    <col min="6400" max="6400" width="23.54296875" style="12" customWidth="1"/>
    <col min="6401" max="6403" width="8.81640625" style="12" customWidth="1"/>
    <col min="6404" max="6404" width="2.81640625" style="12" customWidth="1"/>
    <col min="6405" max="6412" width="7.81640625" style="12" customWidth="1"/>
    <col min="6413" max="6413" width="8.1796875" style="12" customWidth="1"/>
    <col min="6414" max="6414" width="8.81640625" style="12" customWidth="1"/>
    <col min="6415" max="6415" width="3" style="12" customWidth="1"/>
    <col min="6416" max="6416" width="9.26953125" style="12" customWidth="1"/>
    <col min="6417" max="6417" width="9.7265625" style="12" bestFit="1" customWidth="1"/>
    <col min="6418" max="6654" width="9.1796875" style="12"/>
    <col min="6655" max="6655" width="0" style="12" hidden="1" customWidth="1"/>
    <col min="6656" max="6656" width="23.54296875" style="12" customWidth="1"/>
    <col min="6657" max="6659" width="8.81640625" style="12" customWidth="1"/>
    <col min="6660" max="6660" width="2.81640625" style="12" customWidth="1"/>
    <col min="6661" max="6668" width="7.81640625" style="12" customWidth="1"/>
    <col min="6669" max="6669" width="8.1796875" style="12" customWidth="1"/>
    <col min="6670" max="6670" width="8.81640625" style="12" customWidth="1"/>
    <col min="6671" max="6671" width="3" style="12" customWidth="1"/>
    <col min="6672" max="6672" width="9.26953125" style="12" customWidth="1"/>
    <col min="6673" max="6673" width="9.7265625" style="12" bestFit="1" customWidth="1"/>
    <col min="6674" max="6910" width="9.1796875" style="12"/>
    <col min="6911" max="6911" width="0" style="12" hidden="1" customWidth="1"/>
    <col min="6912" max="6912" width="23.54296875" style="12" customWidth="1"/>
    <col min="6913" max="6915" width="8.81640625" style="12" customWidth="1"/>
    <col min="6916" max="6916" width="2.81640625" style="12" customWidth="1"/>
    <col min="6917" max="6924" width="7.81640625" style="12" customWidth="1"/>
    <col min="6925" max="6925" width="8.1796875" style="12" customWidth="1"/>
    <col min="6926" max="6926" width="8.81640625" style="12" customWidth="1"/>
    <col min="6927" max="6927" width="3" style="12" customWidth="1"/>
    <col min="6928" max="6928" width="9.26953125" style="12" customWidth="1"/>
    <col min="6929" max="6929" width="9.7265625" style="12" bestFit="1" customWidth="1"/>
    <col min="6930" max="7166" width="9.1796875" style="12"/>
    <col min="7167" max="7167" width="0" style="12" hidden="1" customWidth="1"/>
    <col min="7168" max="7168" width="23.54296875" style="12" customWidth="1"/>
    <col min="7169" max="7171" width="8.81640625" style="12" customWidth="1"/>
    <col min="7172" max="7172" width="2.81640625" style="12" customWidth="1"/>
    <col min="7173" max="7180" width="7.81640625" style="12" customWidth="1"/>
    <col min="7181" max="7181" width="8.1796875" style="12" customWidth="1"/>
    <col min="7182" max="7182" width="8.81640625" style="12" customWidth="1"/>
    <col min="7183" max="7183" width="3" style="12" customWidth="1"/>
    <col min="7184" max="7184" width="9.26953125" style="12" customWidth="1"/>
    <col min="7185" max="7185" width="9.7265625" style="12" bestFit="1" customWidth="1"/>
    <col min="7186" max="7422" width="9.1796875" style="12"/>
    <col min="7423" max="7423" width="0" style="12" hidden="1" customWidth="1"/>
    <col min="7424" max="7424" width="23.54296875" style="12" customWidth="1"/>
    <col min="7425" max="7427" width="8.81640625" style="12" customWidth="1"/>
    <col min="7428" max="7428" width="2.81640625" style="12" customWidth="1"/>
    <col min="7429" max="7436" width="7.81640625" style="12" customWidth="1"/>
    <col min="7437" max="7437" width="8.1796875" style="12" customWidth="1"/>
    <col min="7438" max="7438" width="8.81640625" style="12" customWidth="1"/>
    <col min="7439" max="7439" width="3" style="12" customWidth="1"/>
    <col min="7440" max="7440" width="9.26953125" style="12" customWidth="1"/>
    <col min="7441" max="7441" width="9.7265625" style="12" bestFit="1" customWidth="1"/>
    <col min="7442" max="7678" width="9.1796875" style="12"/>
    <col min="7679" max="7679" width="0" style="12" hidden="1" customWidth="1"/>
    <col min="7680" max="7680" width="23.54296875" style="12" customWidth="1"/>
    <col min="7681" max="7683" width="8.81640625" style="12" customWidth="1"/>
    <col min="7684" max="7684" width="2.81640625" style="12" customWidth="1"/>
    <col min="7685" max="7692" width="7.81640625" style="12" customWidth="1"/>
    <col min="7693" max="7693" width="8.1796875" style="12" customWidth="1"/>
    <col min="7694" max="7694" width="8.81640625" style="12" customWidth="1"/>
    <col min="7695" max="7695" width="3" style="12" customWidth="1"/>
    <col min="7696" max="7696" width="9.26953125" style="12" customWidth="1"/>
    <col min="7697" max="7697" width="9.7265625" style="12" bestFit="1" customWidth="1"/>
    <col min="7698" max="7934" width="9.1796875" style="12"/>
    <col min="7935" max="7935" width="0" style="12" hidden="1" customWidth="1"/>
    <col min="7936" max="7936" width="23.54296875" style="12" customWidth="1"/>
    <col min="7937" max="7939" width="8.81640625" style="12" customWidth="1"/>
    <col min="7940" max="7940" width="2.81640625" style="12" customWidth="1"/>
    <col min="7941" max="7948" width="7.81640625" style="12" customWidth="1"/>
    <col min="7949" max="7949" width="8.1796875" style="12" customWidth="1"/>
    <col min="7950" max="7950" width="8.81640625" style="12" customWidth="1"/>
    <col min="7951" max="7951" width="3" style="12" customWidth="1"/>
    <col min="7952" max="7952" width="9.26953125" style="12" customWidth="1"/>
    <col min="7953" max="7953" width="9.7265625" style="12" bestFit="1" customWidth="1"/>
    <col min="7954" max="8190" width="9.1796875" style="12"/>
    <col min="8191" max="8191" width="0" style="12" hidden="1" customWidth="1"/>
    <col min="8192" max="8192" width="23.54296875" style="12" customWidth="1"/>
    <col min="8193" max="8195" width="8.81640625" style="12" customWidth="1"/>
    <col min="8196" max="8196" width="2.81640625" style="12" customWidth="1"/>
    <col min="8197" max="8204" width="7.81640625" style="12" customWidth="1"/>
    <col min="8205" max="8205" width="8.1796875" style="12" customWidth="1"/>
    <col min="8206" max="8206" width="8.81640625" style="12" customWidth="1"/>
    <col min="8207" max="8207" width="3" style="12" customWidth="1"/>
    <col min="8208" max="8208" width="9.26953125" style="12" customWidth="1"/>
    <col min="8209" max="8209" width="9.7265625" style="12" bestFit="1" customWidth="1"/>
    <col min="8210" max="8446" width="9.1796875" style="12"/>
    <col min="8447" max="8447" width="0" style="12" hidden="1" customWidth="1"/>
    <col min="8448" max="8448" width="23.54296875" style="12" customWidth="1"/>
    <col min="8449" max="8451" width="8.81640625" style="12" customWidth="1"/>
    <col min="8452" max="8452" width="2.81640625" style="12" customWidth="1"/>
    <col min="8453" max="8460" width="7.81640625" style="12" customWidth="1"/>
    <col min="8461" max="8461" width="8.1796875" style="12" customWidth="1"/>
    <col min="8462" max="8462" width="8.81640625" style="12" customWidth="1"/>
    <col min="8463" max="8463" width="3" style="12" customWidth="1"/>
    <col min="8464" max="8464" width="9.26953125" style="12" customWidth="1"/>
    <col min="8465" max="8465" width="9.7265625" style="12" bestFit="1" customWidth="1"/>
    <col min="8466" max="8702" width="9.1796875" style="12"/>
    <col min="8703" max="8703" width="0" style="12" hidden="1" customWidth="1"/>
    <col min="8704" max="8704" width="23.54296875" style="12" customWidth="1"/>
    <col min="8705" max="8707" width="8.81640625" style="12" customWidth="1"/>
    <col min="8708" max="8708" width="2.81640625" style="12" customWidth="1"/>
    <col min="8709" max="8716" width="7.81640625" style="12" customWidth="1"/>
    <col min="8717" max="8717" width="8.1796875" style="12" customWidth="1"/>
    <col min="8718" max="8718" width="8.81640625" style="12" customWidth="1"/>
    <col min="8719" max="8719" width="3" style="12" customWidth="1"/>
    <col min="8720" max="8720" width="9.26953125" style="12" customWidth="1"/>
    <col min="8721" max="8721" width="9.7265625" style="12" bestFit="1" customWidth="1"/>
    <col min="8722" max="8958" width="9.1796875" style="12"/>
    <col min="8959" max="8959" width="0" style="12" hidden="1" customWidth="1"/>
    <col min="8960" max="8960" width="23.54296875" style="12" customWidth="1"/>
    <col min="8961" max="8963" width="8.81640625" style="12" customWidth="1"/>
    <col min="8964" max="8964" width="2.81640625" style="12" customWidth="1"/>
    <col min="8965" max="8972" width="7.81640625" style="12" customWidth="1"/>
    <col min="8973" max="8973" width="8.1796875" style="12" customWidth="1"/>
    <col min="8974" max="8974" width="8.81640625" style="12" customWidth="1"/>
    <col min="8975" max="8975" width="3" style="12" customWidth="1"/>
    <col min="8976" max="8976" width="9.26953125" style="12" customWidth="1"/>
    <col min="8977" max="8977" width="9.7265625" style="12" bestFit="1" customWidth="1"/>
    <col min="8978" max="9214" width="9.1796875" style="12"/>
    <col min="9215" max="9215" width="0" style="12" hidden="1" customWidth="1"/>
    <col min="9216" max="9216" width="23.54296875" style="12" customWidth="1"/>
    <col min="9217" max="9219" width="8.81640625" style="12" customWidth="1"/>
    <col min="9220" max="9220" width="2.81640625" style="12" customWidth="1"/>
    <col min="9221" max="9228" width="7.81640625" style="12" customWidth="1"/>
    <col min="9229" max="9229" width="8.1796875" style="12" customWidth="1"/>
    <col min="9230" max="9230" width="8.81640625" style="12" customWidth="1"/>
    <col min="9231" max="9231" width="3" style="12" customWidth="1"/>
    <col min="9232" max="9232" width="9.26953125" style="12" customWidth="1"/>
    <col min="9233" max="9233" width="9.7265625" style="12" bestFit="1" customWidth="1"/>
    <col min="9234" max="9470" width="9.1796875" style="12"/>
    <col min="9471" max="9471" width="0" style="12" hidden="1" customWidth="1"/>
    <col min="9472" max="9472" width="23.54296875" style="12" customWidth="1"/>
    <col min="9473" max="9475" width="8.81640625" style="12" customWidth="1"/>
    <col min="9476" max="9476" width="2.81640625" style="12" customWidth="1"/>
    <col min="9477" max="9484" width="7.81640625" style="12" customWidth="1"/>
    <col min="9485" max="9485" width="8.1796875" style="12" customWidth="1"/>
    <col min="9486" max="9486" width="8.81640625" style="12" customWidth="1"/>
    <col min="9487" max="9487" width="3" style="12" customWidth="1"/>
    <col min="9488" max="9488" width="9.26953125" style="12" customWidth="1"/>
    <col min="9489" max="9489" width="9.7265625" style="12" bestFit="1" customWidth="1"/>
    <col min="9490" max="9726" width="9.1796875" style="12"/>
    <col min="9727" max="9727" width="0" style="12" hidden="1" customWidth="1"/>
    <col min="9728" max="9728" width="23.54296875" style="12" customWidth="1"/>
    <col min="9729" max="9731" width="8.81640625" style="12" customWidth="1"/>
    <col min="9732" max="9732" width="2.81640625" style="12" customWidth="1"/>
    <col min="9733" max="9740" width="7.81640625" style="12" customWidth="1"/>
    <col min="9741" max="9741" width="8.1796875" style="12" customWidth="1"/>
    <col min="9742" max="9742" width="8.81640625" style="12" customWidth="1"/>
    <col min="9743" max="9743" width="3" style="12" customWidth="1"/>
    <col min="9744" max="9744" width="9.26953125" style="12" customWidth="1"/>
    <col min="9745" max="9745" width="9.7265625" style="12" bestFit="1" customWidth="1"/>
    <col min="9746" max="9982" width="9.1796875" style="12"/>
    <col min="9983" max="9983" width="0" style="12" hidden="1" customWidth="1"/>
    <col min="9984" max="9984" width="23.54296875" style="12" customWidth="1"/>
    <col min="9985" max="9987" width="8.81640625" style="12" customWidth="1"/>
    <col min="9988" max="9988" width="2.81640625" style="12" customWidth="1"/>
    <col min="9989" max="9996" width="7.81640625" style="12" customWidth="1"/>
    <col min="9997" max="9997" width="8.1796875" style="12" customWidth="1"/>
    <col min="9998" max="9998" width="8.81640625" style="12" customWidth="1"/>
    <col min="9999" max="9999" width="3" style="12" customWidth="1"/>
    <col min="10000" max="10000" width="9.26953125" style="12" customWidth="1"/>
    <col min="10001" max="10001" width="9.7265625" style="12" bestFit="1" customWidth="1"/>
    <col min="10002" max="10238" width="9.1796875" style="12"/>
    <col min="10239" max="10239" width="0" style="12" hidden="1" customWidth="1"/>
    <col min="10240" max="10240" width="23.54296875" style="12" customWidth="1"/>
    <col min="10241" max="10243" width="8.81640625" style="12" customWidth="1"/>
    <col min="10244" max="10244" width="2.81640625" style="12" customWidth="1"/>
    <col min="10245" max="10252" width="7.81640625" style="12" customWidth="1"/>
    <col min="10253" max="10253" width="8.1796875" style="12" customWidth="1"/>
    <col min="10254" max="10254" width="8.81640625" style="12" customWidth="1"/>
    <col min="10255" max="10255" width="3" style="12" customWidth="1"/>
    <col min="10256" max="10256" width="9.26953125" style="12" customWidth="1"/>
    <col min="10257" max="10257" width="9.7265625" style="12" bestFit="1" customWidth="1"/>
    <col min="10258" max="10494" width="9.1796875" style="12"/>
    <col min="10495" max="10495" width="0" style="12" hidden="1" customWidth="1"/>
    <col min="10496" max="10496" width="23.54296875" style="12" customWidth="1"/>
    <col min="10497" max="10499" width="8.81640625" style="12" customWidth="1"/>
    <col min="10500" max="10500" width="2.81640625" style="12" customWidth="1"/>
    <col min="10501" max="10508" width="7.81640625" style="12" customWidth="1"/>
    <col min="10509" max="10509" width="8.1796875" style="12" customWidth="1"/>
    <col min="10510" max="10510" width="8.81640625" style="12" customWidth="1"/>
    <col min="10511" max="10511" width="3" style="12" customWidth="1"/>
    <col min="10512" max="10512" width="9.26953125" style="12" customWidth="1"/>
    <col min="10513" max="10513" width="9.7265625" style="12" bestFit="1" customWidth="1"/>
    <col min="10514" max="10750" width="9.1796875" style="12"/>
    <col min="10751" max="10751" width="0" style="12" hidden="1" customWidth="1"/>
    <col min="10752" max="10752" width="23.54296875" style="12" customWidth="1"/>
    <col min="10753" max="10755" width="8.81640625" style="12" customWidth="1"/>
    <col min="10756" max="10756" width="2.81640625" style="12" customWidth="1"/>
    <col min="10757" max="10764" width="7.81640625" style="12" customWidth="1"/>
    <col min="10765" max="10765" width="8.1796875" style="12" customWidth="1"/>
    <col min="10766" max="10766" width="8.81640625" style="12" customWidth="1"/>
    <col min="10767" max="10767" width="3" style="12" customWidth="1"/>
    <col min="10768" max="10768" width="9.26953125" style="12" customWidth="1"/>
    <col min="10769" max="10769" width="9.7265625" style="12" bestFit="1" customWidth="1"/>
    <col min="10770" max="11006" width="9.1796875" style="12"/>
    <col min="11007" max="11007" width="0" style="12" hidden="1" customWidth="1"/>
    <col min="11008" max="11008" width="23.54296875" style="12" customWidth="1"/>
    <col min="11009" max="11011" width="8.81640625" style="12" customWidth="1"/>
    <col min="11012" max="11012" width="2.81640625" style="12" customWidth="1"/>
    <col min="11013" max="11020" width="7.81640625" style="12" customWidth="1"/>
    <col min="11021" max="11021" width="8.1796875" style="12" customWidth="1"/>
    <col min="11022" max="11022" width="8.81640625" style="12" customWidth="1"/>
    <col min="11023" max="11023" width="3" style="12" customWidth="1"/>
    <col min="11024" max="11024" width="9.26953125" style="12" customWidth="1"/>
    <col min="11025" max="11025" width="9.7265625" style="12" bestFit="1" customWidth="1"/>
    <col min="11026" max="11262" width="9.1796875" style="12"/>
    <col min="11263" max="11263" width="0" style="12" hidden="1" customWidth="1"/>
    <col min="11264" max="11264" width="23.54296875" style="12" customWidth="1"/>
    <col min="11265" max="11267" width="8.81640625" style="12" customWidth="1"/>
    <col min="11268" max="11268" width="2.81640625" style="12" customWidth="1"/>
    <col min="11269" max="11276" width="7.81640625" style="12" customWidth="1"/>
    <col min="11277" max="11277" width="8.1796875" style="12" customWidth="1"/>
    <col min="11278" max="11278" width="8.81640625" style="12" customWidth="1"/>
    <col min="11279" max="11279" width="3" style="12" customWidth="1"/>
    <col min="11280" max="11280" width="9.26953125" style="12" customWidth="1"/>
    <col min="11281" max="11281" width="9.7265625" style="12" bestFit="1" customWidth="1"/>
    <col min="11282" max="11518" width="9.1796875" style="12"/>
    <col min="11519" max="11519" width="0" style="12" hidden="1" customWidth="1"/>
    <col min="11520" max="11520" width="23.54296875" style="12" customWidth="1"/>
    <col min="11521" max="11523" width="8.81640625" style="12" customWidth="1"/>
    <col min="11524" max="11524" width="2.81640625" style="12" customWidth="1"/>
    <col min="11525" max="11532" width="7.81640625" style="12" customWidth="1"/>
    <col min="11533" max="11533" width="8.1796875" style="12" customWidth="1"/>
    <col min="11534" max="11534" width="8.81640625" style="12" customWidth="1"/>
    <col min="11535" max="11535" width="3" style="12" customWidth="1"/>
    <col min="11536" max="11536" width="9.26953125" style="12" customWidth="1"/>
    <col min="11537" max="11537" width="9.7265625" style="12" bestFit="1" customWidth="1"/>
    <col min="11538" max="11774" width="9.1796875" style="12"/>
    <col min="11775" max="11775" width="0" style="12" hidden="1" customWidth="1"/>
    <col min="11776" max="11776" width="23.54296875" style="12" customWidth="1"/>
    <col min="11777" max="11779" width="8.81640625" style="12" customWidth="1"/>
    <col min="11780" max="11780" width="2.81640625" style="12" customWidth="1"/>
    <col min="11781" max="11788" width="7.81640625" style="12" customWidth="1"/>
    <col min="11789" max="11789" width="8.1796875" style="12" customWidth="1"/>
    <col min="11790" max="11790" width="8.81640625" style="12" customWidth="1"/>
    <col min="11791" max="11791" width="3" style="12" customWidth="1"/>
    <col min="11792" max="11792" width="9.26953125" style="12" customWidth="1"/>
    <col min="11793" max="11793" width="9.7265625" style="12" bestFit="1" customWidth="1"/>
    <col min="11794" max="12030" width="9.1796875" style="12"/>
    <col min="12031" max="12031" width="0" style="12" hidden="1" customWidth="1"/>
    <col min="12032" max="12032" width="23.54296875" style="12" customWidth="1"/>
    <col min="12033" max="12035" width="8.81640625" style="12" customWidth="1"/>
    <col min="12036" max="12036" width="2.81640625" style="12" customWidth="1"/>
    <col min="12037" max="12044" width="7.81640625" style="12" customWidth="1"/>
    <col min="12045" max="12045" width="8.1796875" style="12" customWidth="1"/>
    <col min="12046" max="12046" width="8.81640625" style="12" customWidth="1"/>
    <col min="12047" max="12047" width="3" style="12" customWidth="1"/>
    <col min="12048" max="12048" width="9.26953125" style="12" customWidth="1"/>
    <col min="12049" max="12049" width="9.7265625" style="12" bestFit="1" customWidth="1"/>
    <col min="12050" max="12286" width="9.1796875" style="12"/>
    <col min="12287" max="12287" width="0" style="12" hidden="1" customWidth="1"/>
    <col min="12288" max="12288" width="23.54296875" style="12" customWidth="1"/>
    <col min="12289" max="12291" width="8.81640625" style="12" customWidth="1"/>
    <col min="12292" max="12292" width="2.81640625" style="12" customWidth="1"/>
    <col min="12293" max="12300" width="7.81640625" style="12" customWidth="1"/>
    <col min="12301" max="12301" width="8.1796875" style="12" customWidth="1"/>
    <col min="12302" max="12302" width="8.81640625" style="12" customWidth="1"/>
    <col min="12303" max="12303" width="3" style="12" customWidth="1"/>
    <col min="12304" max="12304" width="9.26953125" style="12" customWidth="1"/>
    <col min="12305" max="12305" width="9.7265625" style="12" bestFit="1" customWidth="1"/>
    <col min="12306" max="12542" width="9.1796875" style="12"/>
    <col min="12543" max="12543" width="0" style="12" hidden="1" customWidth="1"/>
    <col min="12544" max="12544" width="23.54296875" style="12" customWidth="1"/>
    <col min="12545" max="12547" width="8.81640625" style="12" customWidth="1"/>
    <col min="12548" max="12548" width="2.81640625" style="12" customWidth="1"/>
    <col min="12549" max="12556" width="7.81640625" style="12" customWidth="1"/>
    <col min="12557" max="12557" width="8.1796875" style="12" customWidth="1"/>
    <col min="12558" max="12558" width="8.81640625" style="12" customWidth="1"/>
    <col min="12559" max="12559" width="3" style="12" customWidth="1"/>
    <col min="12560" max="12560" width="9.26953125" style="12" customWidth="1"/>
    <col min="12561" max="12561" width="9.7265625" style="12" bestFit="1" customWidth="1"/>
    <col min="12562" max="12798" width="9.1796875" style="12"/>
    <col min="12799" max="12799" width="0" style="12" hidden="1" customWidth="1"/>
    <col min="12800" max="12800" width="23.54296875" style="12" customWidth="1"/>
    <col min="12801" max="12803" width="8.81640625" style="12" customWidth="1"/>
    <col min="12804" max="12804" width="2.81640625" style="12" customWidth="1"/>
    <col min="12805" max="12812" width="7.81640625" style="12" customWidth="1"/>
    <col min="12813" max="12813" width="8.1796875" style="12" customWidth="1"/>
    <col min="12814" max="12814" width="8.81640625" style="12" customWidth="1"/>
    <col min="12815" max="12815" width="3" style="12" customWidth="1"/>
    <col min="12816" max="12816" width="9.26953125" style="12" customWidth="1"/>
    <col min="12817" max="12817" width="9.7265625" style="12" bestFit="1" customWidth="1"/>
    <col min="12818" max="13054" width="9.1796875" style="12"/>
    <col min="13055" max="13055" width="0" style="12" hidden="1" customWidth="1"/>
    <col min="13056" max="13056" width="23.54296875" style="12" customWidth="1"/>
    <col min="13057" max="13059" width="8.81640625" style="12" customWidth="1"/>
    <col min="13060" max="13060" width="2.81640625" style="12" customWidth="1"/>
    <col min="13061" max="13068" width="7.81640625" style="12" customWidth="1"/>
    <col min="13069" max="13069" width="8.1796875" style="12" customWidth="1"/>
    <col min="13070" max="13070" width="8.81640625" style="12" customWidth="1"/>
    <col min="13071" max="13071" width="3" style="12" customWidth="1"/>
    <col min="13072" max="13072" width="9.26953125" style="12" customWidth="1"/>
    <col min="13073" max="13073" width="9.7265625" style="12" bestFit="1" customWidth="1"/>
    <col min="13074" max="13310" width="9.1796875" style="12"/>
    <col min="13311" max="13311" width="0" style="12" hidden="1" customWidth="1"/>
    <col min="13312" max="13312" width="23.54296875" style="12" customWidth="1"/>
    <col min="13313" max="13315" width="8.81640625" style="12" customWidth="1"/>
    <col min="13316" max="13316" width="2.81640625" style="12" customWidth="1"/>
    <col min="13317" max="13324" width="7.81640625" style="12" customWidth="1"/>
    <col min="13325" max="13325" width="8.1796875" style="12" customWidth="1"/>
    <col min="13326" max="13326" width="8.81640625" style="12" customWidth="1"/>
    <col min="13327" max="13327" width="3" style="12" customWidth="1"/>
    <col min="13328" max="13328" width="9.26953125" style="12" customWidth="1"/>
    <col min="13329" max="13329" width="9.7265625" style="12" bestFit="1" customWidth="1"/>
    <col min="13330" max="13566" width="9.1796875" style="12"/>
    <col min="13567" max="13567" width="0" style="12" hidden="1" customWidth="1"/>
    <col min="13568" max="13568" width="23.54296875" style="12" customWidth="1"/>
    <col min="13569" max="13571" width="8.81640625" style="12" customWidth="1"/>
    <col min="13572" max="13572" width="2.81640625" style="12" customWidth="1"/>
    <col min="13573" max="13580" width="7.81640625" style="12" customWidth="1"/>
    <col min="13581" max="13581" width="8.1796875" style="12" customWidth="1"/>
    <col min="13582" max="13582" width="8.81640625" style="12" customWidth="1"/>
    <col min="13583" max="13583" width="3" style="12" customWidth="1"/>
    <col min="13584" max="13584" width="9.26953125" style="12" customWidth="1"/>
    <col min="13585" max="13585" width="9.7265625" style="12" bestFit="1" customWidth="1"/>
    <col min="13586" max="13822" width="9.1796875" style="12"/>
    <col min="13823" max="13823" width="0" style="12" hidden="1" customWidth="1"/>
    <col min="13824" max="13824" width="23.54296875" style="12" customWidth="1"/>
    <col min="13825" max="13827" width="8.81640625" style="12" customWidth="1"/>
    <col min="13828" max="13828" width="2.81640625" style="12" customWidth="1"/>
    <col min="13829" max="13836" width="7.81640625" style="12" customWidth="1"/>
    <col min="13837" max="13837" width="8.1796875" style="12" customWidth="1"/>
    <col min="13838" max="13838" width="8.81640625" style="12" customWidth="1"/>
    <col min="13839" max="13839" width="3" style="12" customWidth="1"/>
    <col min="13840" max="13840" width="9.26953125" style="12" customWidth="1"/>
    <col min="13841" max="13841" width="9.7265625" style="12" bestFit="1" customWidth="1"/>
    <col min="13842" max="14078" width="9.1796875" style="12"/>
    <col min="14079" max="14079" width="0" style="12" hidden="1" customWidth="1"/>
    <col min="14080" max="14080" width="23.54296875" style="12" customWidth="1"/>
    <col min="14081" max="14083" width="8.81640625" style="12" customWidth="1"/>
    <col min="14084" max="14084" width="2.81640625" style="12" customWidth="1"/>
    <col min="14085" max="14092" width="7.81640625" style="12" customWidth="1"/>
    <col min="14093" max="14093" width="8.1796875" style="12" customWidth="1"/>
    <col min="14094" max="14094" width="8.81640625" style="12" customWidth="1"/>
    <col min="14095" max="14095" width="3" style="12" customWidth="1"/>
    <col min="14096" max="14096" width="9.26953125" style="12" customWidth="1"/>
    <col min="14097" max="14097" width="9.7265625" style="12" bestFit="1" customWidth="1"/>
    <col min="14098" max="14334" width="9.1796875" style="12"/>
    <col min="14335" max="14335" width="0" style="12" hidden="1" customWidth="1"/>
    <col min="14336" max="14336" width="23.54296875" style="12" customWidth="1"/>
    <col min="14337" max="14339" width="8.81640625" style="12" customWidth="1"/>
    <col min="14340" max="14340" width="2.81640625" style="12" customWidth="1"/>
    <col min="14341" max="14348" width="7.81640625" style="12" customWidth="1"/>
    <col min="14349" max="14349" width="8.1796875" style="12" customWidth="1"/>
    <col min="14350" max="14350" width="8.81640625" style="12" customWidth="1"/>
    <col min="14351" max="14351" width="3" style="12" customWidth="1"/>
    <col min="14352" max="14352" width="9.26953125" style="12" customWidth="1"/>
    <col min="14353" max="14353" width="9.7265625" style="12" bestFit="1" customWidth="1"/>
    <col min="14354" max="14590" width="9.1796875" style="12"/>
    <col min="14591" max="14591" width="0" style="12" hidden="1" customWidth="1"/>
    <col min="14592" max="14592" width="23.54296875" style="12" customWidth="1"/>
    <col min="14593" max="14595" width="8.81640625" style="12" customWidth="1"/>
    <col min="14596" max="14596" width="2.81640625" style="12" customWidth="1"/>
    <col min="14597" max="14604" width="7.81640625" style="12" customWidth="1"/>
    <col min="14605" max="14605" width="8.1796875" style="12" customWidth="1"/>
    <col min="14606" max="14606" width="8.81640625" style="12" customWidth="1"/>
    <col min="14607" max="14607" width="3" style="12" customWidth="1"/>
    <col min="14608" max="14608" width="9.26953125" style="12" customWidth="1"/>
    <col min="14609" max="14609" width="9.7265625" style="12" bestFit="1" customWidth="1"/>
    <col min="14610" max="14846" width="9.1796875" style="12"/>
    <col min="14847" max="14847" width="0" style="12" hidden="1" customWidth="1"/>
    <col min="14848" max="14848" width="23.54296875" style="12" customWidth="1"/>
    <col min="14849" max="14851" width="8.81640625" style="12" customWidth="1"/>
    <col min="14852" max="14852" width="2.81640625" style="12" customWidth="1"/>
    <col min="14853" max="14860" width="7.81640625" style="12" customWidth="1"/>
    <col min="14861" max="14861" width="8.1796875" style="12" customWidth="1"/>
    <col min="14862" max="14862" width="8.81640625" style="12" customWidth="1"/>
    <col min="14863" max="14863" width="3" style="12" customWidth="1"/>
    <col min="14864" max="14864" width="9.26953125" style="12" customWidth="1"/>
    <col min="14865" max="14865" width="9.7265625" style="12" bestFit="1" customWidth="1"/>
    <col min="14866" max="15102" width="9.1796875" style="12"/>
    <col min="15103" max="15103" width="0" style="12" hidden="1" customWidth="1"/>
    <col min="15104" max="15104" width="23.54296875" style="12" customWidth="1"/>
    <col min="15105" max="15107" width="8.81640625" style="12" customWidth="1"/>
    <col min="15108" max="15108" width="2.81640625" style="12" customWidth="1"/>
    <col min="15109" max="15116" width="7.81640625" style="12" customWidth="1"/>
    <col min="15117" max="15117" width="8.1796875" style="12" customWidth="1"/>
    <col min="15118" max="15118" width="8.81640625" style="12" customWidth="1"/>
    <col min="15119" max="15119" width="3" style="12" customWidth="1"/>
    <col min="15120" max="15120" width="9.26953125" style="12" customWidth="1"/>
    <col min="15121" max="15121" width="9.7265625" style="12" bestFit="1" customWidth="1"/>
    <col min="15122" max="15358" width="9.1796875" style="12"/>
    <col min="15359" max="15359" width="0" style="12" hidden="1" customWidth="1"/>
    <col min="15360" max="15360" width="23.54296875" style="12" customWidth="1"/>
    <col min="15361" max="15363" width="8.81640625" style="12" customWidth="1"/>
    <col min="15364" max="15364" width="2.81640625" style="12" customWidth="1"/>
    <col min="15365" max="15372" width="7.81640625" style="12" customWidth="1"/>
    <col min="15373" max="15373" width="8.1796875" style="12" customWidth="1"/>
    <col min="15374" max="15374" width="8.81640625" style="12" customWidth="1"/>
    <col min="15375" max="15375" width="3" style="12" customWidth="1"/>
    <col min="15376" max="15376" width="9.26953125" style="12" customWidth="1"/>
    <col min="15377" max="15377" width="9.7265625" style="12" bestFit="1" customWidth="1"/>
    <col min="15378" max="15614" width="9.1796875" style="12"/>
    <col min="15615" max="15615" width="0" style="12" hidden="1" customWidth="1"/>
    <col min="15616" max="15616" width="23.54296875" style="12" customWidth="1"/>
    <col min="15617" max="15619" width="8.81640625" style="12" customWidth="1"/>
    <col min="15620" max="15620" width="2.81640625" style="12" customWidth="1"/>
    <col min="15621" max="15628" width="7.81640625" style="12" customWidth="1"/>
    <col min="15629" max="15629" width="8.1796875" style="12" customWidth="1"/>
    <col min="15630" max="15630" width="8.81640625" style="12" customWidth="1"/>
    <col min="15631" max="15631" width="3" style="12" customWidth="1"/>
    <col min="15632" max="15632" width="9.26953125" style="12" customWidth="1"/>
    <col min="15633" max="15633" width="9.7265625" style="12" bestFit="1" customWidth="1"/>
    <col min="15634" max="15870" width="9.1796875" style="12"/>
    <col min="15871" max="15871" width="0" style="12" hidden="1" customWidth="1"/>
    <col min="15872" max="15872" width="23.54296875" style="12" customWidth="1"/>
    <col min="15873" max="15875" width="8.81640625" style="12" customWidth="1"/>
    <col min="15876" max="15876" width="2.81640625" style="12" customWidth="1"/>
    <col min="15877" max="15884" width="7.81640625" style="12" customWidth="1"/>
    <col min="15885" max="15885" width="8.1796875" style="12" customWidth="1"/>
    <col min="15886" max="15886" width="8.81640625" style="12" customWidth="1"/>
    <col min="15887" max="15887" width="3" style="12" customWidth="1"/>
    <col min="15888" max="15888" width="9.26953125" style="12" customWidth="1"/>
    <col min="15889" max="15889" width="9.7265625" style="12" bestFit="1" customWidth="1"/>
    <col min="15890" max="16126" width="9.1796875" style="12"/>
    <col min="16127" max="16127" width="0" style="12" hidden="1" customWidth="1"/>
    <col min="16128" max="16128" width="23.54296875" style="12" customWidth="1"/>
    <col min="16129" max="16131" width="8.81640625" style="12" customWidth="1"/>
    <col min="16132" max="16132" width="2.81640625" style="12" customWidth="1"/>
    <col min="16133" max="16140" width="7.81640625" style="12" customWidth="1"/>
    <col min="16141" max="16141" width="8.1796875" style="12" customWidth="1"/>
    <col min="16142" max="16142" width="8.81640625" style="12" customWidth="1"/>
    <col min="16143" max="16143" width="3" style="12" customWidth="1"/>
    <col min="16144" max="16144" width="9.26953125" style="12" customWidth="1"/>
    <col min="16145" max="16145" width="9.7265625" style="12" bestFit="1" customWidth="1"/>
    <col min="16146" max="16384" width="9.1796875" style="12"/>
  </cols>
  <sheetData>
    <row r="1" spans="1:14" ht="28.5" x14ac:dyDescent="0.25">
      <c r="A1" s="38" t="s">
        <v>467</v>
      </c>
      <c r="B1" s="105"/>
      <c r="C1" s="105"/>
    </row>
    <row r="2" spans="1:14" ht="15.5" x14ac:dyDescent="0.25">
      <c r="A2" s="3" t="s">
        <v>15</v>
      </c>
      <c r="B2" s="105"/>
      <c r="C2" s="105"/>
    </row>
    <row r="3" spans="1:14" ht="15.5" x14ac:dyDescent="0.25">
      <c r="A3" s="44" t="s">
        <v>158</v>
      </c>
      <c r="B3" s="105"/>
      <c r="C3" s="105"/>
    </row>
    <row r="4" spans="1:14" s="108" customFormat="1" ht="31" x14ac:dyDescent="0.25">
      <c r="A4" s="197" t="s">
        <v>487</v>
      </c>
      <c r="B4" s="229" t="s">
        <v>516</v>
      </c>
      <c r="C4" s="229" t="s">
        <v>525</v>
      </c>
      <c r="D4" s="198" t="s">
        <v>478</v>
      </c>
      <c r="E4" s="221" t="s">
        <v>508</v>
      </c>
      <c r="F4" s="221" t="s">
        <v>509</v>
      </c>
      <c r="G4" s="221" t="s">
        <v>511</v>
      </c>
      <c r="H4" s="221" t="s">
        <v>512</v>
      </c>
      <c r="I4" s="221" t="s">
        <v>514</v>
      </c>
      <c r="J4" s="221" t="s">
        <v>517</v>
      </c>
      <c r="K4" s="221" t="s">
        <v>520</v>
      </c>
      <c r="L4" s="221" t="s">
        <v>522</v>
      </c>
      <c r="M4" s="198" t="s">
        <v>523</v>
      </c>
      <c r="N4" s="199" t="s">
        <v>479</v>
      </c>
    </row>
    <row r="5" spans="1:14" ht="15.5" x14ac:dyDescent="0.35">
      <c r="A5" s="109" t="s">
        <v>63</v>
      </c>
      <c r="B5" s="110">
        <f ca="1">INDIRECT(calculation3c_hide!C13,FALSE)</f>
        <v>19161.34</v>
      </c>
      <c r="C5" s="110">
        <f ca="1">INDIRECT(calculation3c_hide!D13,FALSE)</f>
        <v>17989.36</v>
      </c>
      <c r="D5" s="111">
        <f t="shared" ref="D5:D22" ca="1" si="0">(C5-B5)/B5*100</f>
        <v>-6.1163780821174276</v>
      </c>
      <c r="E5" s="110">
        <f ca="1">INDIRECT(calculation3c_hide!F13,FALSE)</f>
        <v>5123.8100000000004</v>
      </c>
      <c r="F5" s="110">
        <f ca="1">INDIRECT(calculation3c_hide!G13,FALSE)</f>
        <v>5491.58</v>
      </c>
      <c r="G5" s="110">
        <f ca="1">INDIRECT(calculation3c_hide!H13,FALSE)</f>
        <v>4444.97</v>
      </c>
      <c r="H5" s="110">
        <f ca="1">INDIRECT(calculation3c_hide!I13,FALSE)</f>
        <v>4319.82</v>
      </c>
      <c r="I5" s="110">
        <f ca="1">INDIRECT(calculation3c_hide!J13,FALSE)</f>
        <v>4904.97</v>
      </c>
      <c r="J5" s="110">
        <f ca="1">INDIRECT(calculation3c_hide!K13,FALSE)</f>
        <v>5111.88</v>
      </c>
      <c r="K5" s="222">
        <f ca="1">INDIRECT(calculation3c_hide!L13,FALSE)</f>
        <v>4134.3</v>
      </c>
      <c r="L5" s="222">
        <f ca="1">INDIRECT(calculation3c_hide!M13,FALSE)</f>
        <v>4151.5200000000004</v>
      </c>
      <c r="M5" s="222">
        <f ca="1">INDIRECT(calculation3c_hide!N13,FALSE)</f>
        <v>4591.66</v>
      </c>
      <c r="N5" s="112">
        <f t="shared" ref="N5:N22" ca="1" si="1">+(M5-I5)/I5*100</f>
        <v>-6.3876027784064</v>
      </c>
    </row>
    <row r="6" spans="1:14" ht="15.5" x14ac:dyDescent="0.35">
      <c r="A6" s="113" t="s">
        <v>64</v>
      </c>
      <c r="B6" s="114">
        <f ca="1">INDIRECT(calculation3c_hide!C14,FALSE)</f>
        <v>54015.789999999994</v>
      </c>
      <c r="C6" s="114">
        <f ca="1">INDIRECT(calculation3c_hide!D14,FALSE)</f>
        <v>55323.95</v>
      </c>
      <c r="D6" s="115">
        <f t="shared" ca="1" si="0"/>
        <v>2.4218103632289814</v>
      </c>
      <c r="E6" s="114">
        <f ca="1">INDIRECT(calculation3c_hide!F14,FALSE)</f>
        <v>13049.45</v>
      </c>
      <c r="F6" s="114">
        <f ca="1">INDIRECT(calculation3c_hide!G14,FALSE)</f>
        <v>12732.72</v>
      </c>
      <c r="G6" s="114">
        <f ca="1">INDIRECT(calculation3c_hide!H14,FALSE)</f>
        <v>13914.35</v>
      </c>
      <c r="H6" s="114">
        <f ca="1">INDIRECT(calculation3c_hide!I14,FALSE)</f>
        <v>13974.31</v>
      </c>
      <c r="I6" s="114">
        <f ca="1">INDIRECT(calculation3c_hide!J14,FALSE)</f>
        <v>13394.41</v>
      </c>
      <c r="J6" s="114">
        <f ca="1">INDIRECT(calculation3c_hide!K14,FALSE)</f>
        <v>13011.04</v>
      </c>
      <c r="K6" s="223">
        <f ca="1">INDIRECT(calculation3c_hide!L14,FALSE)</f>
        <v>14464.4</v>
      </c>
      <c r="L6" s="223">
        <f ca="1">INDIRECT(calculation3c_hide!M14,FALSE)</f>
        <v>14278.46</v>
      </c>
      <c r="M6" s="223">
        <f ca="1">INDIRECT(calculation3c_hide!N14,FALSE)</f>
        <v>13570.05</v>
      </c>
      <c r="N6" s="116">
        <f t="shared" ca="1" si="1"/>
        <v>1.3112932932469548</v>
      </c>
    </row>
    <row r="7" spans="1:14" ht="15.5" x14ac:dyDescent="0.35">
      <c r="A7" s="113" t="s">
        <v>65</v>
      </c>
      <c r="B7" s="114">
        <f ca="1">INDIRECT(calculation3c_hide!C15,FALSE)</f>
        <v>33815.740000000005</v>
      </c>
      <c r="C7" s="114">
        <f ca="1">INDIRECT(calculation3c_hide!D15,FALSE)</f>
        <v>33562.840000000004</v>
      </c>
      <c r="D7" s="115">
        <f t="shared" ca="1" si="0"/>
        <v>-0.74787658055095474</v>
      </c>
      <c r="E7" s="114">
        <f ca="1">INDIRECT(calculation3c_hide!F15,FALSE)</f>
        <v>10622.08</v>
      </c>
      <c r="F7" s="114">
        <f ca="1">INDIRECT(calculation3c_hide!G15,FALSE)</f>
        <v>12540.59</v>
      </c>
      <c r="G7" s="114">
        <f ca="1">INDIRECT(calculation3c_hide!H15,FALSE)</f>
        <v>5955.87</v>
      </c>
      <c r="H7" s="114">
        <f ca="1">INDIRECT(calculation3c_hide!I15,FALSE)</f>
        <v>4106.83</v>
      </c>
      <c r="I7" s="114">
        <f ca="1">INDIRECT(calculation3c_hide!J15,FALSE)</f>
        <v>11212.45</v>
      </c>
      <c r="J7" s="114">
        <f ca="1">INDIRECT(calculation3c_hide!K15,FALSE)</f>
        <v>13385.62</v>
      </c>
      <c r="K7" s="223">
        <f ca="1">INDIRECT(calculation3c_hide!L15,FALSE)</f>
        <v>5077.78</v>
      </c>
      <c r="L7" s="223">
        <f ca="1">INDIRECT(calculation3c_hide!M15,FALSE)</f>
        <v>3903.65</v>
      </c>
      <c r="M7" s="223">
        <f ca="1">INDIRECT(calculation3c_hide!N15,FALSE)</f>
        <v>11195.79</v>
      </c>
      <c r="N7" s="116">
        <f t="shared" ca="1" si="1"/>
        <v>-0.1485848320393835</v>
      </c>
    </row>
    <row r="8" spans="1:14" ht="15.5" x14ac:dyDescent="0.35">
      <c r="A8" s="113" t="s">
        <v>66</v>
      </c>
      <c r="B8" s="114">
        <f ca="1">INDIRECT(calculation3c_hide!C16,FALSE)</f>
        <v>20652.73</v>
      </c>
      <c r="C8" s="114">
        <f ca="1">INDIRECT(calculation3c_hide!D16,FALSE)</f>
        <v>20587.170000000002</v>
      </c>
      <c r="D8" s="115">
        <f t="shared" ca="1" si="0"/>
        <v>-0.31743987356634051</v>
      </c>
      <c r="E8" s="114">
        <f ca="1">INDIRECT(calculation3c_hide!F16,FALSE)</f>
        <v>5690.14</v>
      </c>
      <c r="F8" s="114">
        <f ca="1">INDIRECT(calculation3c_hide!G16,FALSE)</f>
        <v>6298.39</v>
      </c>
      <c r="G8" s="114">
        <f ca="1">INDIRECT(calculation3c_hide!H16,FALSE)</f>
        <v>4403.09</v>
      </c>
      <c r="H8" s="114">
        <f ca="1">INDIRECT(calculation3c_hide!I16,FALSE)</f>
        <v>4023.6</v>
      </c>
      <c r="I8" s="114">
        <f ca="1">INDIRECT(calculation3c_hide!J16,FALSE)</f>
        <v>5927.65</v>
      </c>
      <c r="J8" s="114">
        <f ca="1">INDIRECT(calculation3c_hide!K16,FALSE)</f>
        <v>6462.02</v>
      </c>
      <c r="K8" s="223">
        <f ca="1">INDIRECT(calculation3c_hide!L16,FALSE)</f>
        <v>4268.08</v>
      </c>
      <c r="L8" s="223">
        <f ca="1">INDIRECT(calculation3c_hide!M16,FALSE)</f>
        <v>4051.96</v>
      </c>
      <c r="M8" s="223">
        <f ca="1">INDIRECT(calculation3c_hide!N16,FALSE)</f>
        <v>5805.11</v>
      </c>
      <c r="N8" s="116">
        <f t="shared" ca="1" si="1"/>
        <v>-2.0672610562364508</v>
      </c>
    </row>
    <row r="9" spans="1:14" s="107" customFormat="1" ht="15.5" x14ac:dyDescent="0.35">
      <c r="A9" s="117" t="s">
        <v>466</v>
      </c>
      <c r="B9" s="118">
        <f ca="1">INDIRECT(calculation3c_hide!C17,FALSE)</f>
        <v>127645.6</v>
      </c>
      <c r="C9" s="118">
        <f ca="1">INDIRECT(calculation3c_hide!D17,FALSE)</f>
        <v>127463.31999999999</v>
      </c>
      <c r="D9" s="119">
        <f t="shared" ca="1" si="0"/>
        <v>-0.14280163201866211</v>
      </c>
      <c r="E9" s="118">
        <f ca="1">INDIRECT(calculation3c_hide!F17,FALSE)</f>
        <v>34485.480000000003</v>
      </c>
      <c r="F9" s="118">
        <f ca="1">INDIRECT(calculation3c_hide!G17,FALSE)</f>
        <v>37063.279999999999</v>
      </c>
      <c r="G9" s="118">
        <f ca="1">INDIRECT(calculation3c_hide!H17,FALSE)</f>
        <v>28718.28</v>
      </c>
      <c r="H9" s="118">
        <f ca="1">INDIRECT(calculation3c_hide!I17,FALSE)</f>
        <v>26424.559999999998</v>
      </c>
      <c r="I9" s="118">
        <f ca="1">INDIRECT(calculation3c_hide!J17,FALSE)</f>
        <v>35439.480000000003</v>
      </c>
      <c r="J9" s="118">
        <f ca="1">INDIRECT(calculation3c_hide!K17,FALSE)</f>
        <v>37970.559999999998</v>
      </c>
      <c r="K9" s="224">
        <f ca="1">INDIRECT(calculation3c_hide!L17,FALSE)</f>
        <v>27944.559999999998</v>
      </c>
      <c r="L9" s="224">
        <f ca="1">INDIRECT(calculation3c_hide!M17,FALSE)</f>
        <v>26385.59</v>
      </c>
      <c r="M9" s="224">
        <f ca="1">INDIRECT(calculation3c_hide!N17,FALSE)</f>
        <v>35162.61</v>
      </c>
      <c r="N9" s="120">
        <f t="shared" ca="1" si="1"/>
        <v>-0.78124735464516581</v>
      </c>
    </row>
    <row r="10" spans="1:14" ht="15.5" x14ac:dyDescent="0.35">
      <c r="A10" s="109" t="s">
        <v>63</v>
      </c>
      <c r="B10" s="110">
        <f ca="1">INDIRECT(calculation3c_hide!C20,FALSE)</f>
        <v>19422</v>
      </c>
      <c r="C10" s="110">
        <f ca="1">INDIRECT(calculation3c_hide!D20,FALSE)</f>
        <v>18188</v>
      </c>
      <c r="D10" s="111">
        <f t="shared" ca="1" si="0"/>
        <v>-6.3536196066316553</v>
      </c>
      <c r="E10" s="110">
        <f ca="1">INDIRECT(calculation3c_hide!F20,FALSE)</f>
        <v>4888.09</v>
      </c>
      <c r="F10" s="110">
        <f ca="1">INDIRECT(calculation3c_hide!G20,FALSE)</f>
        <v>4985.1000000000004</v>
      </c>
      <c r="G10" s="110">
        <f ca="1">INDIRECT(calculation3c_hide!H20,FALSE)</f>
        <v>4924.63</v>
      </c>
      <c r="H10" s="110">
        <f ca="1">INDIRECT(calculation3c_hide!I20,FALSE)</f>
        <v>4809.9399999999996</v>
      </c>
      <c r="I10" s="110">
        <f ca="1">INDIRECT(calculation3c_hide!J20,FALSE)</f>
        <v>4702.33</v>
      </c>
      <c r="J10" s="110">
        <f ca="1">INDIRECT(calculation3c_hide!K20,FALSE)</f>
        <v>4576.3100000000004</v>
      </c>
      <c r="K10" s="222">
        <f ca="1">INDIRECT(calculation3c_hide!L20,FALSE)</f>
        <v>4588.74</v>
      </c>
      <c r="L10" s="222">
        <f ca="1">INDIRECT(calculation3c_hide!M20,FALSE)</f>
        <v>4585.45</v>
      </c>
      <c r="M10" s="222">
        <f ca="1">INDIRECT(calculation3c_hide!N20,FALSE)</f>
        <v>4437.5</v>
      </c>
      <c r="N10" s="112">
        <f t="shared" ca="1" si="1"/>
        <v>-5.6318888721123344</v>
      </c>
    </row>
    <row r="11" spans="1:14" ht="15.5" x14ac:dyDescent="0.35">
      <c r="A11" s="113" t="s">
        <v>64</v>
      </c>
      <c r="B11" s="114">
        <f ca="1">INDIRECT(calculation3c_hide!C21,FALSE)</f>
        <v>53950.06</v>
      </c>
      <c r="C11" s="114">
        <f ca="1">INDIRECT(calculation3c_hide!D21,FALSE)</f>
        <v>55473.61</v>
      </c>
      <c r="D11" s="115">
        <f t="shared" ca="1" si="0"/>
        <v>2.8240005664497927</v>
      </c>
      <c r="E11" s="114">
        <f ca="1">INDIRECT(calculation3c_hide!F21,FALSE)</f>
        <v>13227.6</v>
      </c>
      <c r="F11" s="114">
        <f ca="1">INDIRECT(calculation3c_hide!G21,FALSE)</f>
        <v>13303.03</v>
      </c>
      <c r="G11" s="114">
        <f ca="1">INDIRECT(calculation3c_hide!H21,FALSE)</f>
        <v>13502.14</v>
      </c>
      <c r="H11" s="114">
        <f ca="1">INDIRECT(calculation3c_hide!I21,FALSE)</f>
        <v>13520.83</v>
      </c>
      <c r="I11" s="114">
        <f ca="1">INDIRECT(calculation3c_hide!J21,FALSE)</f>
        <v>13624.06</v>
      </c>
      <c r="J11" s="114">
        <f ca="1">INDIRECT(calculation3c_hide!K21,FALSE)</f>
        <v>13819.63</v>
      </c>
      <c r="K11" s="223">
        <f ca="1">INDIRECT(calculation3c_hide!L21,FALSE)</f>
        <v>14005</v>
      </c>
      <c r="L11" s="223">
        <f ca="1">INDIRECT(calculation3c_hide!M21,FALSE)</f>
        <v>13822.44</v>
      </c>
      <c r="M11" s="223">
        <f ca="1">INDIRECT(calculation3c_hide!N21,FALSE)</f>
        <v>13826.54</v>
      </c>
      <c r="N11" s="116">
        <f t="shared" ca="1" si="1"/>
        <v>1.4861942768895717</v>
      </c>
    </row>
    <row r="12" spans="1:14" ht="15.5" x14ac:dyDescent="0.35">
      <c r="A12" s="113" t="s">
        <v>65</v>
      </c>
      <c r="B12" s="114">
        <f ca="1">INDIRECT(calculation3c_hide!C22,FALSE)</f>
        <v>36510</v>
      </c>
      <c r="C12" s="114">
        <f ca="1">INDIRECT(calculation3c_hide!D22,FALSE)</f>
        <v>35683.01</v>
      </c>
      <c r="D12" s="115">
        <f t="shared" ca="1" si="0"/>
        <v>-2.2651054505614847</v>
      </c>
      <c r="E12" s="114">
        <f ca="1">INDIRECT(calculation3c_hide!F22,FALSE)</f>
        <v>8777.57</v>
      </c>
      <c r="F12" s="114">
        <f ca="1">INDIRECT(calculation3c_hide!G22,FALSE)</f>
        <v>8955.9599999999991</v>
      </c>
      <c r="G12" s="114">
        <f ca="1">INDIRECT(calculation3c_hide!H22,FALSE)</f>
        <v>9332.66</v>
      </c>
      <c r="H12" s="114">
        <f ca="1">INDIRECT(calculation3c_hide!I22,FALSE)</f>
        <v>9077.09</v>
      </c>
      <c r="I12" s="114">
        <f ca="1">INDIRECT(calculation3c_hide!J22,FALSE)</f>
        <v>9144.2900000000009</v>
      </c>
      <c r="J12" s="114">
        <f ca="1">INDIRECT(calculation3c_hide!K22,FALSE)</f>
        <v>8931.27</v>
      </c>
      <c r="K12" s="223">
        <f ca="1">INDIRECT(calculation3c_hide!L22,FALSE)</f>
        <v>8415.23</v>
      </c>
      <c r="L12" s="223">
        <f ca="1">INDIRECT(calculation3c_hide!M22,FALSE)</f>
        <v>9115</v>
      </c>
      <c r="M12" s="223">
        <f ca="1">INDIRECT(calculation3c_hide!N22,FALSE)</f>
        <v>9221.51</v>
      </c>
      <c r="N12" s="116">
        <f t="shared" ca="1" si="1"/>
        <v>0.84446140706385453</v>
      </c>
    </row>
    <row r="13" spans="1:14" ht="15.5" x14ac:dyDescent="0.35">
      <c r="A13" s="113" t="s">
        <v>66</v>
      </c>
      <c r="B13" s="114">
        <f ca="1">INDIRECT(calculation3c_hide!C23,FALSE)</f>
        <v>21434.99</v>
      </c>
      <c r="C13" s="114">
        <f ca="1">INDIRECT(calculation3c_hide!D23,FALSE)</f>
        <v>21311</v>
      </c>
      <c r="D13" s="115">
        <f t="shared" ca="1" si="0"/>
        <v>-0.57844673592104123</v>
      </c>
      <c r="E13" s="114">
        <f ca="1">INDIRECT(calculation3c_hide!F23,FALSE)</f>
        <v>5205.38</v>
      </c>
      <c r="F13" s="114">
        <f ca="1">INDIRECT(calculation3c_hide!G23,FALSE)</f>
        <v>5428.1</v>
      </c>
      <c r="G13" s="114">
        <f ca="1">INDIRECT(calculation3c_hide!H23,FALSE)</f>
        <v>5350.75</v>
      </c>
      <c r="H13" s="114">
        <f ca="1">INDIRECT(calculation3c_hide!I23,FALSE)</f>
        <v>5242.6000000000004</v>
      </c>
      <c r="I13" s="114">
        <f ca="1">INDIRECT(calculation3c_hide!J23,FALSE)</f>
        <v>5413.54</v>
      </c>
      <c r="J13" s="114">
        <f ca="1">INDIRECT(calculation3c_hide!K23,FALSE)</f>
        <v>5331.19</v>
      </c>
      <c r="K13" s="223">
        <f ca="1">INDIRECT(calculation3c_hide!L23,FALSE)</f>
        <v>5286.81</v>
      </c>
      <c r="L13" s="223">
        <f ca="1">INDIRECT(calculation3c_hide!M23,FALSE)</f>
        <v>5381.08</v>
      </c>
      <c r="M13" s="223">
        <f ca="1">INDIRECT(calculation3c_hide!N23,FALSE)</f>
        <v>5311.92</v>
      </c>
      <c r="N13" s="116">
        <f t="shared" ca="1" si="1"/>
        <v>-1.8771450843625408</v>
      </c>
    </row>
    <row r="14" spans="1:14" s="107" customFormat="1" ht="15.5" x14ac:dyDescent="0.35">
      <c r="A14" s="117" t="s">
        <v>468</v>
      </c>
      <c r="B14" s="118">
        <f ca="1">INDIRECT(calculation3c_hide!C24,FALSE)</f>
        <v>131317.04999999999</v>
      </c>
      <c r="C14" s="118">
        <f ca="1">INDIRECT(calculation3c_hide!D24,FALSE)</f>
        <v>130655.62</v>
      </c>
      <c r="D14" s="119">
        <f t="shared" ca="1" si="0"/>
        <v>-0.50368935336271492</v>
      </c>
      <c r="E14" s="118">
        <f ca="1">INDIRECT(calculation3c_hide!F24,FALSE)</f>
        <v>32098.640000000003</v>
      </c>
      <c r="F14" s="118">
        <f ca="1">INDIRECT(calculation3c_hide!G24,FALSE)</f>
        <v>32672.190000000002</v>
      </c>
      <c r="G14" s="118">
        <f ca="1">INDIRECT(calculation3c_hide!H24,FALSE)</f>
        <v>33110.18</v>
      </c>
      <c r="H14" s="118">
        <f ca="1">INDIRECT(calculation3c_hide!I24,FALSE)</f>
        <v>32650.46</v>
      </c>
      <c r="I14" s="118">
        <f ca="1">INDIRECT(calculation3c_hide!J24,FALSE)</f>
        <v>32884.22</v>
      </c>
      <c r="J14" s="118">
        <f ca="1">INDIRECT(calculation3c_hide!K24,FALSE)</f>
        <v>32658.399999999998</v>
      </c>
      <c r="K14" s="224">
        <f ca="1">INDIRECT(calculation3c_hide!L24,FALSE)</f>
        <v>32295.78</v>
      </c>
      <c r="L14" s="224">
        <f ca="1">INDIRECT(calculation3c_hide!M24,FALSE)</f>
        <v>32903.97</v>
      </c>
      <c r="M14" s="224">
        <f ca="1">INDIRECT(calculation3c_hide!N24,FALSE)</f>
        <v>32797.47</v>
      </c>
      <c r="N14" s="120">
        <f t="shared" ca="1" si="1"/>
        <v>-0.26380434141360204</v>
      </c>
    </row>
    <row r="15" spans="1:14" ht="15.5" x14ac:dyDescent="0.35">
      <c r="A15" s="109" t="s">
        <v>67</v>
      </c>
      <c r="B15" s="110">
        <f ca="1">INDIRECT(calculation3c_hide!C27,FALSE)</f>
        <v>36808.410000000003</v>
      </c>
      <c r="C15" s="110">
        <f ca="1">INDIRECT(calculation3c_hide!D27,FALSE)</f>
        <v>35813.75</v>
      </c>
      <c r="D15" s="111">
        <f t="shared" ca="1" si="0"/>
        <v>-2.7022628795973622</v>
      </c>
      <c r="E15" s="110">
        <f ca="1">INDIRECT(calculation3c_hide!F27,FALSE)</f>
        <v>11411.65</v>
      </c>
      <c r="F15" s="110">
        <f ca="1">INDIRECT(calculation3c_hide!G27,FALSE)</f>
        <v>13958.29</v>
      </c>
      <c r="G15" s="110">
        <f ca="1">INDIRECT(calculation3c_hide!H27,FALSE)</f>
        <v>6530.1</v>
      </c>
      <c r="H15" s="110">
        <f ca="1">INDIRECT(calculation3c_hide!I27,FALSE)</f>
        <v>4425.68</v>
      </c>
      <c r="I15" s="110">
        <f ca="1">INDIRECT(calculation3c_hide!J27,FALSE)</f>
        <v>11894.34</v>
      </c>
      <c r="J15" s="110">
        <f ca="1">INDIRECT(calculation3c_hide!K27,FALSE)</f>
        <v>14470.72</v>
      </c>
      <c r="K15" s="222">
        <f ca="1">INDIRECT(calculation3c_hide!L27,FALSE)</f>
        <v>5545.57</v>
      </c>
      <c r="L15" s="222">
        <f ca="1">INDIRECT(calculation3c_hide!M27,FALSE)</f>
        <v>4133.28</v>
      </c>
      <c r="M15" s="222">
        <f ca="1">INDIRECT(calculation3c_hide!N27,FALSE)</f>
        <v>11664.18</v>
      </c>
      <c r="N15" s="112">
        <f t="shared" ca="1" si="1"/>
        <v>-1.9350380096751889</v>
      </c>
    </row>
    <row r="16" spans="1:14" ht="15.5" x14ac:dyDescent="0.35">
      <c r="A16" s="113" t="s">
        <v>59</v>
      </c>
      <c r="B16" s="114">
        <f ca="1">INDIRECT(calculation3c_hide!C28,FALSE)</f>
        <v>23290.15</v>
      </c>
      <c r="C16" s="114">
        <f ca="1">INDIRECT(calculation3c_hide!D28,FALSE)</f>
        <v>23542.079999999998</v>
      </c>
      <c r="D16" s="115">
        <f t="shared" ca="1" si="0"/>
        <v>1.0817019211984322</v>
      </c>
      <c r="E16" s="114">
        <f ca="1">INDIRECT(calculation3c_hide!F28,FALSE)</f>
        <v>6131.4</v>
      </c>
      <c r="F16" s="114">
        <f ca="1">INDIRECT(calculation3c_hide!G28,FALSE)</f>
        <v>6361.3</v>
      </c>
      <c r="G16" s="114">
        <f ca="1">INDIRECT(calculation3c_hide!H28,FALSE)</f>
        <v>5445.56</v>
      </c>
      <c r="H16" s="114">
        <f ca="1">INDIRECT(calculation3c_hide!I28,FALSE)</f>
        <v>5355.19</v>
      </c>
      <c r="I16" s="114">
        <f ca="1">INDIRECT(calculation3c_hide!J28,FALSE)</f>
        <v>6128.1</v>
      </c>
      <c r="J16" s="114">
        <f ca="1">INDIRECT(calculation3c_hide!K28,FALSE)</f>
        <v>6461.3</v>
      </c>
      <c r="K16" s="223">
        <f ca="1">INDIRECT(calculation3c_hide!L28,FALSE)</f>
        <v>5457.36</v>
      </c>
      <c r="L16" s="223">
        <f ca="1">INDIRECT(calculation3c_hide!M28,FALSE)</f>
        <v>5446.78</v>
      </c>
      <c r="M16" s="223">
        <f ca="1">INDIRECT(calculation3c_hide!N28,FALSE)</f>
        <v>6176.64</v>
      </c>
      <c r="N16" s="116">
        <f t="shared" ca="1" si="1"/>
        <v>0.79208890194350545</v>
      </c>
    </row>
    <row r="17" spans="1:14" ht="15.5" x14ac:dyDescent="0.35">
      <c r="A17" s="113" t="s">
        <v>68</v>
      </c>
      <c r="B17" s="114">
        <f ca="1">INDIRECT(calculation3c_hide!C29,FALSE)</f>
        <v>67547.06</v>
      </c>
      <c r="C17" s="114">
        <f ca="1">INDIRECT(calculation3c_hide!D29,FALSE)</f>
        <v>68107.47</v>
      </c>
      <c r="D17" s="115">
        <f t="shared" ca="1" si="0"/>
        <v>0.82965861134445162</v>
      </c>
      <c r="E17" s="114">
        <f ca="1">INDIRECT(calculation3c_hide!F29,FALSE)</f>
        <v>16942.419999999998</v>
      </c>
      <c r="F17" s="114">
        <f ca="1">INDIRECT(calculation3c_hide!G29,FALSE)</f>
        <v>16743.689999999999</v>
      </c>
      <c r="G17" s="114">
        <f ca="1">INDIRECT(calculation3c_hide!H29,FALSE)</f>
        <v>16742.62</v>
      </c>
      <c r="H17" s="114">
        <f ca="1">INDIRECT(calculation3c_hide!I29,FALSE)</f>
        <v>16643.7</v>
      </c>
      <c r="I17" s="114">
        <f ca="1">INDIRECT(calculation3c_hide!J29,FALSE)</f>
        <v>17417.05</v>
      </c>
      <c r="J17" s="114">
        <f ca="1">INDIRECT(calculation3c_hide!K29,FALSE)</f>
        <v>17038.54</v>
      </c>
      <c r="K17" s="223">
        <f ca="1">INDIRECT(calculation3c_hide!L29,FALSE)</f>
        <v>16941.63</v>
      </c>
      <c r="L17" s="223">
        <f ca="1">INDIRECT(calculation3c_hide!M29,FALSE)</f>
        <v>16805.52</v>
      </c>
      <c r="M17" s="223">
        <f ca="1">INDIRECT(calculation3c_hide!N29,FALSE)</f>
        <v>17321.78</v>
      </c>
      <c r="N17" s="116">
        <f t="shared" ca="1" si="1"/>
        <v>-0.54699274561421396</v>
      </c>
    </row>
    <row r="18" spans="1:14" s="107" customFormat="1" ht="15.5" x14ac:dyDescent="0.35">
      <c r="A18" s="117" t="s">
        <v>466</v>
      </c>
      <c r="B18" s="118">
        <f ca="1">INDIRECT(calculation3c_hide!C30,FALSE)</f>
        <v>127645.62000000001</v>
      </c>
      <c r="C18" s="118">
        <f ca="1">INDIRECT(calculation3c_hide!D30,FALSE)</f>
        <v>127463.29999999999</v>
      </c>
      <c r="D18" s="119">
        <f t="shared" ca="1" si="0"/>
        <v>-0.14283294640272148</v>
      </c>
      <c r="E18" s="118">
        <f ca="1">INDIRECT(calculation3c_hide!F30,FALSE)</f>
        <v>34485.47</v>
      </c>
      <c r="F18" s="118">
        <f ca="1">INDIRECT(calculation3c_hide!G30,FALSE)</f>
        <v>37063.279999999999</v>
      </c>
      <c r="G18" s="118">
        <f ca="1">INDIRECT(calculation3c_hide!H30,FALSE)</f>
        <v>28718.28</v>
      </c>
      <c r="H18" s="118">
        <f ca="1">INDIRECT(calculation3c_hide!I30,FALSE)</f>
        <v>26424.57</v>
      </c>
      <c r="I18" s="118">
        <f ca="1">INDIRECT(calculation3c_hide!J30,FALSE)</f>
        <v>35439.490000000005</v>
      </c>
      <c r="J18" s="118">
        <f ca="1">INDIRECT(calculation3c_hide!K30,FALSE)</f>
        <v>37970.559999999998</v>
      </c>
      <c r="K18" s="224">
        <f ca="1">INDIRECT(calculation3c_hide!L30,FALSE)</f>
        <v>27944.560000000001</v>
      </c>
      <c r="L18" s="224">
        <f ca="1">INDIRECT(calculation3c_hide!M30,FALSE)</f>
        <v>26385.58</v>
      </c>
      <c r="M18" s="224">
        <f ca="1">INDIRECT(calculation3c_hide!N30,FALSE)</f>
        <v>35162.6</v>
      </c>
      <c r="N18" s="120">
        <f t="shared" ca="1" si="1"/>
        <v>-0.78130356842044479</v>
      </c>
    </row>
    <row r="19" spans="1:14" ht="15.5" x14ac:dyDescent="0.35">
      <c r="A19" s="121" t="s">
        <v>67</v>
      </c>
      <c r="B19" s="110">
        <f ca="1">INDIRECT(calculation3c_hide!C33,FALSE)</f>
        <v>39752.49</v>
      </c>
      <c r="C19" s="110">
        <f ca="1">INDIRECT(calculation3c_hide!D33,FALSE)</f>
        <v>38172.5</v>
      </c>
      <c r="D19" s="115">
        <f t="shared" ca="1" si="0"/>
        <v>-3.9745686370841122</v>
      </c>
      <c r="E19" s="110">
        <f ca="1">INDIRECT(calculation3c_hide!F33,FALSE)</f>
        <v>9524.4</v>
      </c>
      <c r="F19" s="110">
        <f ca="1">INDIRECT(calculation3c_hide!G33,FALSE)</f>
        <v>9933.7900000000009</v>
      </c>
      <c r="G19" s="110">
        <f ca="1">INDIRECT(calculation3c_hide!H33,FALSE)</f>
        <v>10206.1</v>
      </c>
      <c r="H19" s="110">
        <f ca="1">INDIRECT(calculation3c_hide!I33,FALSE)</f>
        <v>9753.0499999999993</v>
      </c>
      <c r="I19" s="110">
        <f ca="1">INDIRECT(calculation3c_hide!J33,FALSE)</f>
        <v>9859.5499999999993</v>
      </c>
      <c r="J19" s="110">
        <f ca="1">INDIRECT(calculation3c_hide!K33,FALSE)</f>
        <v>9554.34</v>
      </c>
      <c r="K19" s="222">
        <f ca="1">INDIRECT(calculation3c_hide!L33,FALSE)</f>
        <v>9179.7000000000007</v>
      </c>
      <c r="L19" s="222">
        <f ca="1">INDIRECT(calculation3c_hide!M33,FALSE)</f>
        <v>9681.91</v>
      </c>
      <c r="M19" s="223">
        <f ca="1">INDIRECT(calculation3c_hide!N33,FALSE)</f>
        <v>9756.5499999999993</v>
      </c>
      <c r="N19" s="115">
        <f t="shared" ca="1" si="1"/>
        <v>-1.0446724241978591</v>
      </c>
    </row>
    <row r="20" spans="1:14" ht="15.5" x14ac:dyDescent="0.35">
      <c r="A20" s="121" t="s">
        <v>59</v>
      </c>
      <c r="B20" s="114">
        <f ca="1">INDIRECT(calculation3c_hide!C34,FALSE)</f>
        <v>23545.56</v>
      </c>
      <c r="C20" s="114">
        <f ca="1">INDIRECT(calculation3c_hide!D34,FALSE)</f>
        <v>23749.11</v>
      </c>
      <c r="D20" s="115">
        <f t="shared" ca="1" si="0"/>
        <v>0.86449419763216184</v>
      </c>
      <c r="E20" s="114">
        <f ca="1">INDIRECT(calculation3c_hide!F34,FALSE)</f>
        <v>5863.88</v>
      </c>
      <c r="F20" s="114">
        <f ca="1">INDIRECT(calculation3c_hide!G34,FALSE)</f>
        <v>5938.61</v>
      </c>
      <c r="G20" s="114">
        <f ca="1">INDIRECT(calculation3c_hide!H34,FALSE)</f>
        <v>5880.59</v>
      </c>
      <c r="H20" s="114">
        <f ca="1">INDIRECT(calculation3c_hide!I34,FALSE)</f>
        <v>5859.73</v>
      </c>
      <c r="I20" s="114">
        <f ca="1">INDIRECT(calculation3c_hide!J34,FALSE)</f>
        <v>5866.63</v>
      </c>
      <c r="J20" s="114">
        <f ca="1">INDIRECT(calculation3c_hide!K34,FALSE)</f>
        <v>5933.9</v>
      </c>
      <c r="K20" s="223">
        <f ca="1">INDIRECT(calculation3c_hide!L34,FALSE)</f>
        <v>5919.44</v>
      </c>
      <c r="L20" s="223">
        <f ca="1">INDIRECT(calculation3c_hide!M34,FALSE)</f>
        <v>5963.19</v>
      </c>
      <c r="M20" s="223">
        <f ca="1">INDIRECT(calculation3c_hide!N34,FALSE)</f>
        <v>5932.58</v>
      </c>
      <c r="N20" s="115">
        <f t="shared" ca="1" si="1"/>
        <v>1.1241547532399319</v>
      </c>
    </row>
    <row r="21" spans="1:14" ht="15.5" x14ac:dyDescent="0.35">
      <c r="A21" s="121" t="s">
        <v>68</v>
      </c>
      <c r="B21" s="114">
        <f ca="1">INDIRECT(calculation3c_hide!C35,FALSE)</f>
        <v>68019</v>
      </c>
      <c r="C21" s="114">
        <f ca="1">INDIRECT(calculation3c_hide!D35,FALSE)</f>
        <v>68734</v>
      </c>
      <c r="D21" s="115">
        <f t="shared" ca="1" si="0"/>
        <v>1.0511768770490597</v>
      </c>
      <c r="E21" s="114">
        <f ca="1">INDIRECT(calculation3c_hide!F35,FALSE)</f>
        <v>16710.36</v>
      </c>
      <c r="F21" s="114">
        <f ca="1">INDIRECT(calculation3c_hide!G35,FALSE)</f>
        <v>16799.79</v>
      </c>
      <c r="G21" s="114">
        <f ca="1">INDIRECT(calculation3c_hide!H35,FALSE)</f>
        <v>17023.48</v>
      </c>
      <c r="H21" s="114">
        <f ca="1">INDIRECT(calculation3c_hide!I35,FALSE)</f>
        <v>17037.689999999999</v>
      </c>
      <c r="I21" s="114">
        <f ca="1">INDIRECT(calculation3c_hide!J35,FALSE)</f>
        <v>17158.04</v>
      </c>
      <c r="J21" s="114">
        <f ca="1">INDIRECT(calculation3c_hide!K35,FALSE)</f>
        <v>17170.150000000001</v>
      </c>
      <c r="K21" s="223">
        <f ca="1">INDIRECT(calculation3c_hide!L35,FALSE)</f>
        <v>17196.64</v>
      </c>
      <c r="L21" s="223">
        <f ca="1">INDIRECT(calculation3c_hide!M35,FALSE)</f>
        <v>17258.87</v>
      </c>
      <c r="M21" s="223">
        <f ca="1">INDIRECT(calculation3c_hide!N35,FALSE)</f>
        <v>17108.34</v>
      </c>
      <c r="N21" s="115">
        <f t="shared" ca="1" si="1"/>
        <v>-0.28966012434987171</v>
      </c>
    </row>
    <row r="22" spans="1:14" s="107" customFormat="1" ht="15.5" x14ac:dyDescent="0.35">
      <c r="A22" s="117" t="s">
        <v>468</v>
      </c>
      <c r="B22" s="118">
        <f ca="1">INDIRECT(calculation3c_hide!C36,FALSE)</f>
        <v>131317.04999999999</v>
      </c>
      <c r="C22" s="118">
        <f ca="1">INDIRECT(calculation3c_hide!D36,FALSE)</f>
        <v>130655.61</v>
      </c>
      <c r="D22" s="122">
        <f t="shared" ca="1" si="0"/>
        <v>-0.50369696852007251</v>
      </c>
      <c r="E22" s="118">
        <f ca="1">INDIRECT(calculation3c_hide!F36,FALSE)</f>
        <v>32098.639999999999</v>
      </c>
      <c r="F22" s="118">
        <f ca="1">INDIRECT(calculation3c_hide!G36,FALSE)</f>
        <v>32672.190000000002</v>
      </c>
      <c r="G22" s="118">
        <f ca="1">INDIRECT(calculation3c_hide!H36,FALSE)</f>
        <v>33110.17</v>
      </c>
      <c r="H22" s="118">
        <f ca="1">INDIRECT(calculation3c_hide!I36,FALSE)</f>
        <v>32650.469999999998</v>
      </c>
      <c r="I22" s="118">
        <f ca="1">INDIRECT(calculation3c_hide!J36,FALSE)</f>
        <v>32884.22</v>
      </c>
      <c r="J22" s="118">
        <f ca="1">INDIRECT(calculation3c_hide!K36,FALSE)</f>
        <v>32658.39</v>
      </c>
      <c r="K22" s="224">
        <f ca="1">INDIRECT(calculation3c_hide!L36,FALSE)</f>
        <v>32295.78</v>
      </c>
      <c r="L22" s="224">
        <f ca="1">INDIRECT(calculation3c_hide!M36,FALSE)</f>
        <v>32903.97</v>
      </c>
      <c r="M22" s="225">
        <f ca="1">INDIRECT(calculation3c_hide!N36,FALSE)</f>
        <v>32797.47</v>
      </c>
      <c r="N22" s="122">
        <f t="shared" ca="1" si="1"/>
        <v>-0.26380434141360204</v>
      </c>
    </row>
  </sheetData>
  <phoneticPr fontId="17" type="noConversion"/>
  <pageMargins left="0.70866141732283472" right="0.70866141732283472" top="0.74803149606299213" bottom="0.74803149606299213" header="0.31496062992125984" footer="0.31496062992125984"/>
  <pageSetup paperSize="9" scale="76" orientation="landscape" verticalDpi="4" r:id="rId1"/>
  <headerFooter alignWithMargins="0"/>
  <ignoredErrors>
    <ignoredError sqref="B5:N22"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32125-7C65-4927-96DB-351313D7A535}">
  <sheetPr>
    <pageSetUpPr fitToPage="1"/>
  </sheetPr>
  <dimension ref="A1:AE38"/>
  <sheetViews>
    <sheetView showGridLines="0" zoomScaleNormal="100" workbookViewId="0">
      <pane xSplit="1" ySplit="5" topLeftCell="B27" activePane="bottomRight" state="frozen"/>
      <selection pane="topRight"/>
      <selection pane="bottomLeft"/>
      <selection pane="bottomRight" activeCell="B27" sqref="B27"/>
    </sheetView>
  </sheetViews>
  <sheetFormatPr defaultRowHeight="12.5" x14ac:dyDescent="0.25"/>
  <cols>
    <col min="1" max="1" width="17.453125" style="19" customWidth="1"/>
    <col min="2" max="2" width="23.1796875" style="19" customWidth="1"/>
    <col min="3" max="3" width="9.7265625" style="19" customWidth="1"/>
    <col min="4" max="4" width="9.54296875" style="19" bestFit="1" customWidth="1"/>
    <col min="5" max="5" width="17" style="19" customWidth="1"/>
    <col min="6" max="6" width="22" style="19" customWidth="1"/>
    <col min="7" max="7" width="16.1796875" style="19" customWidth="1"/>
    <col min="8" max="8" width="28.54296875" style="19" customWidth="1"/>
    <col min="9" max="9" width="17.54296875" style="19" customWidth="1"/>
    <col min="10" max="10" width="18.453125" style="19" customWidth="1"/>
    <col min="11" max="11" width="16.7265625" style="19" customWidth="1"/>
    <col min="12" max="12" width="21.81640625" style="19" customWidth="1"/>
    <col min="13" max="13" width="17.453125" style="19" customWidth="1"/>
    <col min="14" max="14" width="21.1796875" style="19" customWidth="1"/>
    <col min="15" max="15" width="19.26953125" style="19" customWidth="1"/>
    <col min="16" max="16" width="15.26953125" style="19" customWidth="1"/>
    <col min="17" max="17" width="24.54296875" style="19" customWidth="1"/>
    <col min="18" max="18" width="15.453125" style="19" customWidth="1"/>
    <col min="19" max="19" width="20.26953125" style="19" customWidth="1"/>
    <col min="20" max="20" width="8.453125" style="19" customWidth="1"/>
    <col min="21" max="21" width="19.453125" style="19" customWidth="1"/>
    <col min="22" max="22" width="13.1796875" style="19" customWidth="1"/>
    <col min="23" max="23" width="17.26953125" style="19" customWidth="1"/>
    <col min="24" max="24" width="11.54296875" style="19" customWidth="1"/>
    <col min="25" max="25" width="11.1796875" style="19" customWidth="1"/>
    <col min="26" max="26" width="17.54296875" style="19" customWidth="1"/>
    <col min="27" max="27" width="22" style="19" customWidth="1"/>
    <col min="28" max="28" width="13.54296875" style="19" customWidth="1"/>
    <col min="29" max="29" width="12.7265625" style="19" customWidth="1"/>
    <col min="30" max="30" width="15.7265625" style="19" customWidth="1"/>
    <col min="31" max="31" width="16.7265625" style="19" customWidth="1"/>
    <col min="32" max="256" width="8.7265625" style="19"/>
    <col min="257" max="257" width="11.54296875" style="19" customWidth="1"/>
    <col min="258" max="262" width="8.7265625" style="19"/>
    <col min="263" max="263" width="9.81640625" style="19" bestFit="1" customWidth="1"/>
    <col min="264" max="264" width="8.7265625" style="19"/>
    <col min="265" max="265" width="9.81640625" style="19" bestFit="1" customWidth="1"/>
    <col min="266" max="276" width="8.7265625" style="19"/>
    <col min="277" max="277" width="9.81640625" style="19" bestFit="1" customWidth="1"/>
    <col min="278" max="512" width="8.7265625" style="19"/>
    <col min="513" max="513" width="11.54296875" style="19" customWidth="1"/>
    <col min="514" max="518" width="8.7265625" style="19"/>
    <col min="519" max="519" width="9.81640625" style="19" bestFit="1" customWidth="1"/>
    <col min="520" max="520" width="8.7265625" style="19"/>
    <col min="521" max="521" width="9.81640625" style="19" bestFit="1" customWidth="1"/>
    <col min="522" max="532" width="8.7265625" style="19"/>
    <col min="533" max="533" width="9.81640625" style="19" bestFit="1" customWidth="1"/>
    <col min="534" max="768" width="8.7265625" style="19"/>
    <col min="769" max="769" width="11.54296875" style="19" customWidth="1"/>
    <col min="770" max="774" width="8.7265625" style="19"/>
    <col min="775" max="775" width="9.81640625" style="19" bestFit="1" customWidth="1"/>
    <col min="776" max="776" width="8.7265625" style="19"/>
    <col min="777" max="777" width="9.81640625" style="19" bestFit="1" customWidth="1"/>
    <col min="778" max="788" width="8.7265625" style="19"/>
    <col min="789" max="789" width="9.81640625" style="19" bestFit="1" customWidth="1"/>
    <col min="790" max="1024" width="8.7265625" style="19"/>
    <col min="1025" max="1025" width="11.54296875" style="19" customWidth="1"/>
    <col min="1026" max="1030" width="8.7265625" style="19"/>
    <col min="1031" max="1031" width="9.81640625" style="19" bestFit="1" customWidth="1"/>
    <col min="1032" max="1032" width="8.7265625" style="19"/>
    <col min="1033" max="1033" width="9.81640625" style="19" bestFit="1" customWidth="1"/>
    <col min="1034" max="1044" width="8.7265625" style="19"/>
    <col min="1045" max="1045" width="9.81640625" style="19" bestFit="1" customWidth="1"/>
    <col min="1046" max="1280" width="8.7265625" style="19"/>
    <col min="1281" max="1281" width="11.54296875" style="19" customWidth="1"/>
    <col min="1282" max="1286" width="8.7265625" style="19"/>
    <col min="1287" max="1287" width="9.81640625" style="19" bestFit="1" customWidth="1"/>
    <col min="1288" max="1288" width="8.7265625" style="19"/>
    <col min="1289" max="1289" width="9.81640625" style="19" bestFit="1" customWidth="1"/>
    <col min="1290" max="1300" width="8.7265625" style="19"/>
    <col min="1301" max="1301" width="9.81640625" style="19" bestFit="1" customWidth="1"/>
    <col min="1302" max="1536" width="8.7265625" style="19"/>
    <col min="1537" max="1537" width="11.54296875" style="19" customWidth="1"/>
    <col min="1538" max="1542" width="8.7265625" style="19"/>
    <col min="1543" max="1543" width="9.81640625" style="19" bestFit="1" customWidth="1"/>
    <col min="1544" max="1544" width="8.7265625" style="19"/>
    <col min="1545" max="1545" width="9.81640625" style="19" bestFit="1" customWidth="1"/>
    <col min="1546" max="1556" width="8.7265625" style="19"/>
    <col min="1557" max="1557" width="9.81640625" style="19" bestFit="1" customWidth="1"/>
    <col min="1558" max="1792" width="8.7265625" style="19"/>
    <col min="1793" max="1793" width="11.54296875" style="19" customWidth="1"/>
    <col min="1794" max="1798" width="8.7265625" style="19"/>
    <col min="1799" max="1799" width="9.81640625" style="19" bestFit="1" customWidth="1"/>
    <col min="1800" max="1800" width="8.7265625" style="19"/>
    <col min="1801" max="1801" width="9.81640625" style="19" bestFit="1" customWidth="1"/>
    <col min="1802" max="1812" width="8.7265625" style="19"/>
    <col min="1813" max="1813" width="9.81640625" style="19" bestFit="1" customWidth="1"/>
    <col min="1814" max="2048" width="8.7265625" style="19"/>
    <col min="2049" max="2049" width="11.54296875" style="19" customWidth="1"/>
    <col min="2050" max="2054" width="8.7265625" style="19"/>
    <col min="2055" max="2055" width="9.81640625" style="19" bestFit="1" customWidth="1"/>
    <col min="2056" max="2056" width="8.7265625" style="19"/>
    <col min="2057" max="2057" width="9.81640625" style="19" bestFit="1" customWidth="1"/>
    <col min="2058" max="2068" width="8.7265625" style="19"/>
    <col min="2069" max="2069" width="9.81640625" style="19" bestFit="1" customWidth="1"/>
    <col min="2070" max="2304" width="8.7265625" style="19"/>
    <col min="2305" max="2305" width="11.54296875" style="19" customWidth="1"/>
    <col min="2306" max="2310" width="8.7265625" style="19"/>
    <col min="2311" max="2311" width="9.81640625" style="19" bestFit="1" customWidth="1"/>
    <col min="2312" max="2312" width="8.7265625" style="19"/>
    <col min="2313" max="2313" width="9.81640625" style="19" bestFit="1" customWidth="1"/>
    <col min="2314" max="2324" width="8.7265625" style="19"/>
    <col min="2325" max="2325" width="9.81640625" style="19" bestFit="1" customWidth="1"/>
    <col min="2326" max="2560" width="8.7265625" style="19"/>
    <col min="2561" max="2561" width="11.54296875" style="19" customWidth="1"/>
    <col min="2562" max="2566" width="8.7265625" style="19"/>
    <col min="2567" max="2567" width="9.81640625" style="19" bestFit="1" customWidth="1"/>
    <col min="2568" max="2568" width="8.7265625" style="19"/>
    <col min="2569" max="2569" width="9.81640625" style="19" bestFit="1" customWidth="1"/>
    <col min="2570" max="2580" width="8.7265625" style="19"/>
    <col min="2581" max="2581" width="9.81640625" style="19" bestFit="1" customWidth="1"/>
    <col min="2582" max="2816" width="8.7265625" style="19"/>
    <col min="2817" max="2817" width="11.54296875" style="19" customWidth="1"/>
    <col min="2818" max="2822" width="8.7265625" style="19"/>
    <col min="2823" max="2823" width="9.81640625" style="19" bestFit="1" customWidth="1"/>
    <col min="2824" max="2824" width="8.7265625" style="19"/>
    <col min="2825" max="2825" width="9.81640625" style="19" bestFit="1" customWidth="1"/>
    <col min="2826" max="2836" width="8.7265625" style="19"/>
    <col min="2837" max="2837" width="9.81640625" style="19" bestFit="1" customWidth="1"/>
    <col min="2838" max="3072" width="8.7265625" style="19"/>
    <col min="3073" max="3073" width="11.54296875" style="19" customWidth="1"/>
    <col min="3074" max="3078" width="8.7265625" style="19"/>
    <col min="3079" max="3079" width="9.81640625" style="19" bestFit="1" customWidth="1"/>
    <col min="3080" max="3080" width="8.7265625" style="19"/>
    <col min="3081" max="3081" width="9.81640625" style="19" bestFit="1" customWidth="1"/>
    <col min="3082" max="3092" width="8.7265625" style="19"/>
    <col min="3093" max="3093" width="9.81640625" style="19" bestFit="1" customWidth="1"/>
    <col min="3094" max="3328" width="8.7265625" style="19"/>
    <col min="3329" max="3329" width="11.54296875" style="19" customWidth="1"/>
    <col min="3330" max="3334" width="8.7265625" style="19"/>
    <col min="3335" max="3335" width="9.81640625" style="19" bestFit="1" customWidth="1"/>
    <col min="3336" max="3336" width="8.7265625" style="19"/>
    <col min="3337" max="3337" width="9.81640625" style="19" bestFit="1" customWidth="1"/>
    <col min="3338" max="3348" width="8.7265625" style="19"/>
    <col min="3349" max="3349" width="9.81640625" style="19" bestFit="1" customWidth="1"/>
    <col min="3350" max="3584" width="8.7265625" style="19"/>
    <col min="3585" max="3585" width="11.54296875" style="19" customWidth="1"/>
    <col min="3586" max="3590" width="8.7265625" style="19"/>
    <col min="3591" max="3591" width="9.81640625" style="19" bestFit="1" customWidth="1"/>
    <col min="3592" max="3592" width="8.7265625" style="19"/>
    <col min="3593" max="3593" width="9.81640625" style="19" bestFit="1" customWidth="1"/>
    <col min="3594" max="3604" width="8.7265625" style="19"/>
    <col min="3605" max="3605" width="9.81640625" style="19" bestFit="1" customWidth="1"/>
    <col min="3606" max="3840" width="8.7265625" style="19"/>
    <col min="3841" max="3841" width="11.54296875" style="19" customWidth="1"/>
    <col min="3842" max="3846" width="8.7265625" style="19"/>
    <col min="3847" max="3847" width="9.81640625" style="19" bestFit="1" customWidth="1"/>
    <col min="3848" max="3848" width="8.7265625" style="19"/>
    <col min="3849" max="3849" width="9.81640625" style="19" bestFit="1" customWidth="1"/>
    <col min="3850" max="3860" width="8.7265625" style="19"/>
    <col min="3861" max="3861" width="9.81640625" style="19" bestFit="1" customWidth="1"/>
    <col min="3862" max="4096" width="8.7265625" style="19"/>
    <col min="4097" max="4097" width="11.54296875" style="19" customWidth="1"/>
    <col min="4098" max="4102" width="8.7265625" style="19"/>
    <col min="4103" max="4103" width="9.81640625" style="19" bestFit="1" customWidth="1"/>
    <col min="4104" max="4104" width="8.7265625" style="19"/>
    <col min="4105" max="4105" width="9.81640625" style="19" bestFit="1" customWidth="1"/>
    <col min="4106" max="4116" width="8.7265625" style="19"/>
    <col min="4117" max="4117" width="9.81640625" style="19" bestFit="1" customWidth="1"/>
    <col min="4118" max="4352" width="8.7265625" style="19"/>
    <col min="4353" max="4353" width="11.54296875" style="19" customWidth="1"/>
    <col min="4354" max="4358" width="8.7265625" style="19"/>
    <col min="4359" max="4359" width="9.81640625" style="19" bestFit="1" customWidth="1"/>
    <col min="4360" max="4360" width="8.7265625" style="19"/>
    <col min="4361" max="4361" width="9.81640625" style="19" bestFit="1" customWidth="1"/>
    <col min="4362" max="4372" width="8.7265625" style="19"/>
    <col min="4373" max="4373" width="9.81640625" style="19" bestFit="1" customWidth="1"/>
    <col min="4374" max="4608" width="8.7265625" style="19"/>
    <col min="4609" max="4609" width="11.54296875" style="19" customWidth="1"/>
    <col min="4610" max="4614" width="8.7265625" style="19"/>
    <col min="4615" max="4615" width="9.81640625" style="19" bestFit="1" customWidth="1"/>
    <col min="4616" max="4616" width="8.7265625" style="19"/>
    <col min="4617" max="4617" width="9.81640625" style="19" bestFit="1" customWidth="1"/>
    <col min="4618" max="4628" width="8.7265625" style="19"/>
    <col min="4629" max="4629" width="9.81640625" style="19" bestFit="1" customWidth="1"/>
    <col min="4630" max="4864" width="8.7265625" style="19"/>
    <col min="4865" max="4865" width="11.54296875" style="19" customWidth="1"/>
    <col min="4866" max="4870" width="8.7265625" style="19"/>
    <col min="4871" max="4871" width="9.81640625" style="19" bestFit="1" customWidth="1"/>
    <col min="4872" max="4872" width="8.7265625" style="19"/>
    <col min="4873" max="4873" width="9.81640625" style="19" bestFit="1" customWidth="1"/>
    <col min="4874" max="4884" width="8.7265625" style="19"/>
    <col min="4885" max="4885" width="9.81640625" style="19" bestFit="1" customWidth="1"/>
    <col min="4886" max="5120" width="8.7265625" style="19"/>
    <col min="5121" max="5121" width="11.54296875" style="19" customWidth="1"/>
    <col min="5122" max="5126" width="8.7265625" style="19"/>
    <col min="5127" max="5127" width="9.81640625" style="19" bestFit="1" customWidth="1"/>
    <col min="5128" max="5128" width="8.7265625" style="19"/>
    <col min="5129" max="5129" width="9.81640625" style="19" bestFit="1" customWidth="1"/>
    <col min="5130" max="5140" width="8.7265625" style="19"/>
    <col min="5141" max="5141" width="9.81640625" style="19" bestFit="1" customWidth="1"/>
    <col min="5142" max="5376" width="8.7265625" style="19"/>
    <col min="5377" max="5377" width="11.54296875" style="19" customWidth="1"/>
    <col min="5378" max="5382" width="8.7265625" style="19"/>
    <col min="5383" max="5383" width="9.81640625" style="19" bestFit="1" customWidth="1"/>
    <col min="5384" max="5384" width="8.7265625" style="19"/>
    <col min="5385" max="5385" width="9.81640625" style="19" bestFit="1" customWidth="1"/>
    <col min="5386" max="5396" width="8.7265625" style="19"/>
    <col min="5397" max="5397" width="9.81640625" style="19" bestFit="1" customWidth="1"/>
    <col min="5398" max="5632" width="8.7265625" style="19"/>
    <col min="5633" max="5633" width="11.54296875" style="19" customWidth="1"/>
    <col min="5634" max="5638" width="8.7265625" style="19"/>
    <col min="5639" max="5639" width="9.81640625" style="19" bestFit="1" customWidth="1"/>
    <col min="5640" max="5640" width="8.7265625" style="19"/>
    <col min="5641" max="5641" width="9.81640625" style="19" bestFit="1" customWidth="1"/>
    <col min="5642" max="5652" width="8.7265625" style="19"/>
    <col min="5653" max="5653" width="9.81640625" style="19" bestFit="1" customWidth="1"/>
    <col min="5654" max="5888" width="8.7265625" style="19"/>
    <col min="5889" max="5889" width="11.54296875" style="19" customWidth="1"/>
    <col min="5890" max="5894" width="8.7265625" style="19"/>
    <col min="5895" max="5895" width="9.81640625" style="19" bestFit="1" customWidth="1"/>
    <col min="5896" max="5896" width="8.7265625" style="19"/>
    <col min="5897" max="5897" width="9.81640625" style="19" bestFit="1" customWidth="1"/>
    <col min="5898" max="5908" width="8.7265625" style="19"/>
    <col min="5909" max="5909" width="9.81640625" style="19" bestFit="1" customWidth="1"/>
    <col min="5910" max="6144" width="8.7265625" style="19"/>
    <col min="6145" max="6145" width="11.54296875" style="19" customWidth="1"/>
    <col min="6146" max="6150" width="8.7265625" style="19"/>
    <col min="6151" max="6151" width="9.81640625" style="19" bestFit="1" customWidth="1"/>
    <col min="6152" max="6152" width="8.7265625" style="19"/>
    <col min="6153" max="6153" width="9.81640625" style="19" bestFit="1" customWidth="1"/>
    <col min="6154" max="6164" width="8.7265625" style="19"/>
    <col min="6165" max="6165" width="9.81640625" style="19" bestFit="1" customWidth="1"/>
    <col min="6166" max="6400" width="8.7265625" style="19"/>
    <col min="6401" max="6401" width="11.54296875" style="19" customWidth="1"/>
    <col min="6402" max="6406" width="8.7265625" style="19"/>
    <col min="6407" max="6407" width="9.81640625" style="19" bestFit="1" customWidth="1"/>
    <col min="6408" max="6408" width="8.7265625" style="19"/>
    <col min="6409" max="6409" width="9.81640625" style="19" bestFit="1" customWidth="1"/>
    <col min="6410" max="6420" width="8.7265625" style="19"/>
    <col min="6421" max="6421" width="9.81640625" style="19" bestFit="1" customWidth="1"/>
    <col min="6422" max="6656" width="8.7265625" style="19"/>
    <col min="6657" max="6657" width="11.54296875" style="19" customWidth="1"/>
    <col min="6658" max="6662" width="8.7265625" style="19"/>
    <col min="6663" max="6663" width="9.81640625" style="19" bestFit="1" customWidth="1"/>
    <col min="6664" max="6664" width="8.7265625" style="19"/>
    <col min="6665" max="6665" width="9.81640625" style="19" bestFit="1" customWidth="1"/>
    <col min="6666" max="6676" width="8.7265625" style="19"/>
    <col min="6677" max="6677" width="9.81640625" style="19" bestFit="1" customWidth="1"/>
    <col min="6678" max="6912" width="8.7265625" style="19"/>
    <col min="6913" max="6913" width="11.54296875" style="19" customWidth="1"/>
    <col min="6914" max="6918" width="8.7265625" style="19"/>
    <col min="6919" max="6919" width="9.81640625" style="19" bestFit="1" customWidth="1"/>
    <col min="6920" max="6920" width="8.7265625" style="19"/>
    <col min="6921" max="6921" width="9.81640625" style="19" bestFit="1" customWidth="1"/>
    <col min="6922" max="6932" width="8.7265625" style="19"/>
    <col min="6933" max="6933" width="9.81640625" style="19" bestFit="1" customWidth="1"/>
    <col min="6934" max="7168" width="8.7265625" style="19"/>
    <col min="7169" max="7169" width="11.54296875" style="19" customWidth="1"/>
    <col min="7170" max="7174" width="8.7265625" style="19"/>
    <col min="7175" max="7175" width="9.81640625" style="19" bestFit="1" customWidth="1"/>
    <col min="7176" max="7176" width="8.7265625" style="19"/>
    <col min="7177" max="7177" width="9.81640625" style="19" bestFit="1" customWidth="1"/>
    <col min="7178" max="7188" width="8.7265625" style="19"/>
    <col min="7189" max="7189" width="9.81640625" style="19" bestFit="1" customWidth="1"/>
    <col min="7190" max="7424" width="8.7265625" style="19"/>
    <col min="7425" max="7425" width="11.54296875" style="19" customWidth="1"/>
    <col min="7426" max="7430" width="8.7265625" style="19"/>
    <col min="7431" max="7431" width="9.81640625" style="19" bestFit="1" customWidth="1"/>
    <col min="7432" max="7432" width="8.7265625" style="19"/>
    <col min="7433" max="7433" width="9.81640625" style="19" bestFit="1" customWidth="1"/>
    <col min="7434" max="7444" width="8.7265625" style="19"/>
    <col min="7445" max="7445" width="9.81640625" style="19" bestFit="1" customWidth="1"/>
    <col min="7446" max="7680" width="8.7265625" style="19"/>
    <col min="7681" max="7681" width="11.54296875" style="19" customWidth="1"/>
    <col min="7682" max="7686" width="8.7265625" style="19"/>
    <col min="7687" max="7687" width="9.81640625" style="19" bestFit="1" customWidth="1"/>
    <col min="7688" max="7688" width="8.7265625" style="19"/>
    <col min="7689" max="7689" width="9.81640625" style="19" bestFit="1" customWidth="1"/>
    <col min="7690" max="7700" width="8.7265625" style="19"/>
    <col min="7701" max="7701" width="9.81640625" style="19" bestFit="1" customWidth="1"/>
    <col min="7702" max="7936" width="8.7265625" style="19"/>
    <col min="7937" max="7937" width="11.54296875" style="19" customWidth="1"/>
    <col min="7938" max="7942" width="8.7265625" style="19"/>
    <col min="7943" max="7943" width="9.81640625" style="19" bestFit="1" customWidth="1"/>
    <col min="7944" max="7944" width="8.7265625" style="19"/>
    <col min="7945" max="7945" width="9.81640625" style="19" bestFit="1" customWidth="1"/>
    <col min="7946" max="7956" width="8.7265625" style="19"/>
    <col min="7957" max="7957" width="9.81640625" style="19" bestFit="1" customWidth="1"/>
    <col min="7958" max="8192" width="8.7265625" style="19"/>
    <col min="8193" max="8193" width="11.54296875" style="19" customWidth="1"/>
    <col min="8194" max="8198" width="8.7265625" style="19"/>
    <col min="8199" max="8199" width="9.81640625" style="19" bestFit="1" customWidth="1"/>
    <col min="8200" max="8200" width="8.7265625" style="19"/>
    <col min="8201" max="8201" width="9.81640625" style="19" bestFit="1" customWidth="1"/>
    <col min="8202" max="8212" width="8.7265625" style="19"/>
    <col min="8213" max="8213" width="9.81640625" style="19" bestFit="1" customWidth="1"/>
    <col min="8214" max="8448" width="8.7265625" style="19"/>
    <col min="8449" max="8449" width="11.54296875" style="19" customWidth="1"/>
    <col min="8450" max="8454" width="8.7265625" style="19"/>
    <col min="8455" max="8455" width="9.81640625" style="19" bestFit="1" customWidth="1"/>
    <col min="8456" max="8456" width="8.7265625" style="19"/>
    <col min="8457" max="8457" width="9.81640625" style="19" bestFit="1" customWidth="1"/>
    <col min="8458" max="8468" width="8.7265625" style="19"/>
    <col min="8469" max="8469" width="9.81640625" style="19" bestFit="1" customWidth="1"/>
    <col min="8470" max="8704" width="8.7265625" style="19"/>
    <col min="8705" max="8705" width="11.54296875" style="19" customWidth="1"/>
    <col min="8706" max="8710" width="8.7265625" style="19"/>
    <col min="8711" max="8711" width="9.81640625" style="19" bestFit="1" customWidth="1"/>
    <col min="8712" max="8712" width="8.7265625" style="19"/>
    <col min="8713" max="8713" width="9.81640625" style="19" bestFit="1" customWidth="1"/>
    <col min="8714" max="8724" width="8.7265625" style="19"/>
    <col min="8725" max="8725" width="9.81640625" style="19" bestFit="1" customWidth="1"/>
    <col min="8726" max="8960" width="8.7265625" style="19"/>
    <col min="8961" max="8961" width="11.54296875" style="19" customWidth="1"/>
    <col min="8962" max="8966" width="8.7265625" style="19"/>
    <col min="8967" max="8967" width="9.81640625" style="19" bestFit="1" customWidth="1"/>
    <col min="8968" max="8968" width="8.7265625" style="19"/>
    <col min="8969" max="8969" width="9.81640625" style="19" bestFit="1" customWidth="1"/>
    <col min="8970" max="8980" width="8.7265625" style="19"/>
    <col min="8981" max="8981" width="9.81640625" style="19" bestFit="1" customWidth="1"/>
    <col min="8982" max="9216" width="8.7265625" style="19"/>
    <col min="9217" max="9217" width="11.54296875" style="19" customWidth="1"/>
    <col min="9218" max="9222" width="8.7265625" style="19"/>
    <col min="9223" max="9223" width="9.81640625" style="19" bestFit="1" customWidth="1"/>
    <col min="9224" max="9224" width="8.7265625" style="19"/>
    <col min="9225" max="9225" width="9.81640625" style="19" bestFit="1" customWidth="1"/>
    <col min="9226" max="9236" width="8.7265625" style="19"/>
    <col min="9237" max="9237" width="9.81640625" style="19" bestFit="1" customWidth="1"/>
    <col min="9238" max="9472" width="8.7265625" style="19"/>
    <col min="9473" max="9473" width="11.54296875" style="19" customWidth="1"/>
    <col min="9474" max="9478" width="8.7265625" style="19"/>
    <col min="9479" max="9479" width="9.81640625" style="19" bestFit="1" customWidth="1"/>
    <col min="9480" max="9480" width="8.7265625" style="19"/>
    <col min="9481" max="9481" width="9.81640625" style="19" bestFit="1" customWidth="1"/>
    <col min="9482" max="9492" width="8.7265625" style="19"/>
    <col min="9493" max="9493" width="9.81640625" style="19" bestFit="1" customWidth="1"/>
    <col min="9494" max="9728" width="8.7265625" style="19"/>
    <col min="9729" max="9729" width="11.54296875" style="19" customWidth="1"/>
    <col min="9730" max="9734" width="8.7265625" style="19"/>
    <col min="9735" max="9735" width="9.81640625" style="19" bestFit="1" customWidth="1"/>
    <col min="9736" max="9736" width="8.7265625" style="19"/>
    <col min="9737" max="9737" width="9.81640625" style="19" bestFit="1" customWidth="1"/>
    <col min="9738" max="9748" width="8.7265625" style="19"/>
    <col min="9749" max="9749" width="9.81640625" style="19" bestFit="1" customWidth="1"/>
    <col min="9750" max="9984" width="8.7265625" style="19"/>
    <col min="9985" max="9985" width="11.54296875" style="19" customWidth="1"/>
    <col min="9986" max="9990" width="8.7265625" style="19"/>
    <col min="9991" max="9991" width="9.81640625" style="19" bestFit="1" customWidth="1"/>
    <col min="9992" max="9992" width="8.7265625" style="19"/>
    <col min="9993" max="9993" width="9.81640625" style="19" bestFit="1" customWidth="1"/>
    <col min="9994" max="10004" width="8.7265625" style="19"/>
    <col min="10005" max="10005" width="9.81640625" style="19" bestFit="1" customWidth="1"/>
    <col min="10006" max="10240" width="8.7265625" style="19"/>
    <col min="10241" max="10241" width="11.54296875" style="19" customWidth="1"/>
    <col min="10242" max="10246" width="8.7265625" style="19"/>
    <col min="10247" max="10247" width="9.81640625" style="19" bestFit="1" customWidth="1"/>
    <col min="10248" max="10248" width="8.7265625" style="19"/>
    <col min="10249" max="10249" width="9.81640625" style="19" bestFit="1" customWidth="1"/>
    <col min="10250" max="10260" width="8.7265625" style="19"/>
    <col min="10261" max="10261" width="9.81640625" style="19" bestFit="1" customWidth="1"/>
    <col min="10262" max="10496" width="8.7265625" style="19"/>
    <col min="10497" max="10497" width="11.54296875" style="19" customWidth="1"/>
    <col min="10498" max="10502" width="8.7265625" style="19"/>
    <col min="10503" max="10503" width="9.81640625" style="19" bestFit="1" customWidth="1"/>
    <col min="10504" max="10504" width="8.7265625" style="19"/>
    <col min="10505" max="10505" width="9.81640625" style="19" bestFit="1" customWidth="1"/>
    <col min="10506" max="10516" width="8.7265625" style="19"/>
    <col min="10517" max="10517" width="9.81640625" style="19" bestFit="1" customWidth="1"/>
    <col min="10518" max="10752" width="8.7265625" style="19"/>
    <col min="10753" max="10753" width="11.54296875" style="19" customWidth="1"/>
    <col min="10754" max="10758" width="8.7265625" style="19"/>
    <col min="10759" max="10759" width="9.81640625" style="19" bestFit="1" customWidth="1"/>
    <col min="10760" max="10760" width="8.7265625" style="19"/>
    <col min="10761" max="10761" width="9.81640625" style="19" bestFit="1" customWidth="1"/>
    <col min="10762" max="10772" width="8.7265625" style="19"/>
    <col min="10773" max="10773" width="9.81640625" style="19" bestFit="1" customWidth="1"/>
    <col min="10774" max="11008" width="8.7265625" style="19"/>
    <col min="11009" max="11009" width="11.54296875" style="19" customWidth="1"/>
    <col min="11010" max="11014" width="8.7265625" style="19"/>
    <col min="11015" max="11015" width="9.81640625" style="19" bestFit="1" customWidth="1"/>
    <col min="11016" max="11016" width="8.7265625" style="19"/>
    <col min="11017" max="11017" width="9.81640625" style="19" bestFit="1" customWidth="1"/>
    <col min="11018" max="11028" width="8.7265625" style="19"/>
    <col min="11029" max="11029" width="9.81640625" style="19" bestFit="1" customWidth="1"/>
    <col min="11030" max="11264" width="8.7265625" style="19"/>
    <col min="11265" max="11265" width="11.54296875" style="19" customWidth="1"/>
    <col min="11266" max="11270" width="8.7265625" style="19"/>
    <col min="11271" max="11271" width="9.81640625" style="19" bestFit="1" customWidth="1"/>
    <col min="11272" max="11272" width="8.7265625" style="19"/>
    <col min="11273" max="11273" width="9.81640625" style="19" bestFit="1" customWidth="1"/>
    <col min="11274" max="11284" width="8.7265625" style="19"/>
    <col min="11285" max="11285" width="9.81640625" style="19" bestFit="1" customWidth="1"/>
    <col min="11286" max="11520" width="8.7265625" style="19"/>
    <col min="11521" max="11521" width="11.54296875" style="19" customWidth="1"/>
    <col min="11522" max="11526" width="8.7265625" style="19"/>
    <col min="11527" max="11527" width="9.81640625" style="19" bestFit="1" customWidth="1"/>
    <col min="11528" max="11528" width="8.7265625" style="19"/>
    <col min="11529" max="11529" width="9.81640625" style="19" bestFit="1" customWidth="1"/>
    <col min="11530" max="11540" width="8.7265625" style="19"/>
    <col min="11541" max="11541" width="9.81640625" style="19" bestFit="1" customWidth="1"/>
    <col min="11542" max="11776" width="8.7265625" style="19"/>
    <col min="11777" max="11777" width="11.54296875" style="19" customWidth="1"/>
    <col min="11778" max="11782" width="8.7265625" style="19"/>
    <col min="11783" max="11783" width="9.81640625" style="19" bestFit="1" customWidth="1"/>
    <col min="11784" max="11784" width="8.7265625" style="19"/>
    <col min="11785" max="11785" width="9.81640625" style="19" bestFit="1" customWidth="1"/>
    <col min="11786" max="11796" width="8.7265625" style="19"/>
    <col min="11797" max="11797" width="9.81640625" style="19" bestFit="1" customWidth="1"/>
    <col min="11798" max="12032" width="8.7265625" style="19"/>
    <col min="12033" max="12033" width="11.54296875" style="19" customWidth="1"/>
    <col min="12034" max="12038" width="8.7265625" style="19"/>
    <col min="12039" max="12039" width="9.81640625" style="19" bestFit="1" customWidth="1"/>
    <col min="12040" max="12040" width="8.7265625" style="19"/>
    <col min="12041" max="12041" width="9.81640625" style="19" bestFit="1" customWidth="1"/>
    <col min="12042" max="12052" width="8.7265625" style="19"/>
    <col min="12053" max="12053" width="9.81640625" style="19" bestFit="1" customWidth="1"/>
    <col min="12054" max="12288" width="8.7265625" style="19"/>
    <col min="12289" max="12289" width="11.54296875" style="19" customWidth="1"/>
    <col min="12290" max="12294" width="8.7265625" style="19"/>
    <col min="12295" max="12295" width="9.81640625" style="19" bestFit="1" customWidth="1"/>
    <col min="12296" max="12296" width="8.7265625" style="19"/>
    <col min="12297" max="12297" width="9.81640625" style="19" bestFit="1" customWidth="1"/>
    <col min="12298" max="12308" width="8.7265625" style="19"/>
    <col min="12309" max="12309" width="9.81640625" style="19" bestFit="1" customWidth="1"/>
    <col min="12310" max="12544" width="8.7265625" style="19"/>
    <col min="12545" max="12545" width="11.54296875" style="19" customWidth="1"/>
    <col min="12546" max="12550" width="8.7265625" style="19"/>
    <col min="12551" max="12551" width="9.81640625" style="19" bestFit="1" customWidth="1"/>
    <col min="12552" max="12552" width="8.7265625" style="19"/>
    <col min="12553" max="12553" width="9.81640625" style="19" bestFit="1" customWidth="1"/>
    <col min="12554" max="12564" width="8.7265625" style="19"/>
    <col min="12565" max="12565" width="9.81640625" style="19" bestFit="1" customWidth="1"/>
    <col min="12566" max="12800" width="8.7265625" style="19"/>
    <col min="12801" max="12801" width="11.54296875" style="19" customWidth="1"/>
    <col min="12802" max="12806" width="8.7265625" style="19"/>
    <col min="12807" max="12807" width="9.81640625" style="19" bestFit="1" customWidth="1"/>
    <col min="12808" max="12808" width="8.7265625" style="19"/>
    <col min="12809" max="12809" width="9.81640625" style="19" bestFit="1" customWidth="1"/>
    <col min="12810" max="12820" width="8.7265625" style="19"/>
    <col min="12821" max="12821" width="9.81640625" style="19" bestFit="1" customWidth="1"/>
    <col min="12822" max="13056" width="8.7265625" style="19"/>
    <col min="13057" max="13057" width="11.54296875" style="19" customWidth="1"/>
    <col min="13058" max="13062" width="8.7265625" style="19"/>
    <col min="13063" max="13063" width="9.81640625" style="19" bestFit="1" customWidth="1"/>
    <col min="13064" max="13064" width="8.7265625" style="19"/>
    <col min="13065" max="13065" width="9.81640625" style="19" bestFit="1" customWidth="1"/>
    <col min="13066" max="13076" width="8.7265625" style="19"/>
    <col min="13077" max="13077" width="9.81640625" style="19" bestFit="1" customWidth="1"/>
    <col min="13078" max="13312" width="8.7265625" style="19"/>
    <col min="13313" max="13313" width="11.54296875" style="19" customWidth="1"/>
    <col min="13314" max="13318" width="8.7265625" style="19"/>
    <col min="13319" max="13319" width="9.81640625" style="19" bestFit="1" customWidth="1"/>
    <col min="13320" max="13320" width="8.7265625" style="19"/>
    <col min="13321" max="13321" width="9.81640625" style="19" bestFit="1" customWidth="1"/>
    <col min="13322" max="13332" width="8.7265625" style="19"/>
    <col min="13333" max="13333" width="9.81640625" style="19" bestFit="1" customWidth="1"/>
    <col min="13334" max="13568" width="8.7265625" style="19"/>
    <col min="13569" max="13569" width="11.54296875" style="19" customWidth="1"/>
    <col min="13570" max="13574" width="8.7265625" style="19"/>
    <col min="13575" max="13575" width="9.81640625" style="19" bestFit="1" customWidth="1"/>
    <col min="13576" max="13576" width="8.7265625" style="19"/>
    <col min="13577" max="13577" width="9.81640625" style="19" bestFit="1" customWidth="1"/>
    <col min="13578" max="13588" width="8.7265625" style="19"/>
    <col min="13589" max="13589" width="9.81640625" style="19" bestFit="1" customWidth="1"/>
    <col min="13590" max="13824" width="8.7265625" style="19"/>
    <col min="13825" max="13825" width="11.54296875" style="19" customWidth="1"/>
    <col min="13826" max="13830" width="8.7265625" style="19"/>
    <col min="13831" max="13831" width="9.81640625" style="19" bestFit="1" customWidth="1"/>
    <col min="13832" max="13832" width="8.7265625" style="19"/>
    <col min="13833" max="13833" width="9.81640625" style="19" bestFit="1" customWidth="1"/>
    <col min="13834" max="13844" width="8.7265625" style="19"/>
    <col min="13845" max="13845" width="9.81640625" style="19" bestFit="1" customWidth="1"/>
    <col min="13846" max="14080" width="8.7265625" style="19"/>
    <col min="14081" max="14081" width="11.54296875" style="19" customWidth="1"/>
    <col min="14082" max="14086" width="8.7265625" style="19"/>
    <col min="14087" max="14087" width="9.81640625" style="19" bestFit="1" customWidth="1"/>
    <col min="14088" max="14088" width="8.7265625" style="19"/>
    <col min="14089" max="14089" width="9.81640625" style="19" bestFit="1" customWidth="1"/>
    <col min="14090" max="14100" width="8.7265625" style="19"/>
    <col min="14101" max="14101" width="9.81640625" style="19" bestFit="1" customWidth="1"/>
    <col min="14102" max="14336" width="8.7265625" style="19"/>
    <col min="14337" max="14337" width="11.54296875" style="19" customWidth="1"/>
    <col min="14338" max="14342" width="8.7265625" style="19"/>
    <col min="14343" max="14343" width="9.81640625" style="19" bestFit="1" customWidth="1"/>
    <col min="14344" max="14344" width="8.7265625" style="19"/>
    <col min="14345" max="14345" width="9.81640625" style="19" bestFit="1" customWidth="1"/>
    <col min="14346" max="14356" width="8.7265625" style="19"/>
    <col min="14357" max="14357" width="9.81640625" style="19" bestFit="1" customWidth="1"/>
    <col min="14358" max="14592" width="8.7265625" style="19"/>
    <col min="14593" max="14593" width="11.54296875" style="19" customWidth="1"/>
    <col min="14594" max="14598" width="8.7265625" style="19"/>
    <col min="14599" max="14599" width="9.81640625" style="19" bestFit="1" customWidth="1"/>
    <col min="14600" max="14600" width="8.7265625" style="19"/>
    <col min="14601" max="14601" width="9.81640625" style="19" bestFit="1" customWidth="1"/>
    <col min="14602" max="14612" width="8.7265625" style="19"/>
    <col min="14613" max="14613" width="9.81640625" style="19" bestFit="1" customWidth="1"/>
    <col min="14614" max="14848" width="8.7265625" style="19"/>
    <col min="14849" max="14849" width="11.54296875" style="19" customWidth="1"/>
    <col min="14850" max="14854" width="8.7265625" style="19"/>
    <col min="14855" max="14855" width="9.81640625" style="19" bestFit="1" customWidth="1"/>
    <col min="14856" max="14856" width="8.7265625" style="19"/>
    <col min="14857" max="14857" width="9.81640625" style="19" bestFit="1" customWidth="1"/>
    <col min="14858" max="14868" width="8.7265625" style="19"/>
    <col min="14869" max="14869" width="9.81640625" style="19" bestFit="1" customWidth="1"/>
    <col min="14870" max="15104" width="8.7265625" style="19"/>
    <col min="15105" max="15105" width="11.54296875" style="19" customWidth="1"/>
    <col min="15106" max="15110" width="8.7265625" style="19"/>
    <col min="15111" max="15111" width="9.81640625" style="19" bestFit="1" customWidth="1"/>
    <col min="15112" max="15112" width="8.7265625" style="19"/>
    <col min="15113" max="15113" width="9.81640625" style="19" bestFit="1" customWidth="1"/>
    <col min="15114" max="15124" width="8.7265625" style="19"/>
    <col min="15125" max="15125" width="9.81640625" style="19" bestFit="1" customWidth="1"/>
    <col min="15126" max="15360" width="8.7265625" style="19"/>
    <col min="15361" max="15361" width="11.54296875" style="19" customWidth="1"/>
    <col min="15362" max="15366" width="8.7265625" style="19"/>
    <col min="15367" max="15367" width="9.81640625" style="19" bestFit="1" customWidth="1"/>
    <col min="15368" max="15368" width="8.7265625" style="19"/>
    <col min="15369" max="15369" width="9.81640625" style="19" bestFit="1" customWidth="1"/>
    <col min="15370" max="15380" width="8.7265625" style="19"/>
    <col min="15381" max="15381" width="9.81640625" style="19" bestFit="1" customWidth="1"/>
    <col min="15382" max="15616" width="8.7265625" style="19"/>
    <col min="15617" max="15617" width="11.54296875" style="19" customWidth="1"/>
    <col min="15618" max="15622" width="8.7265625" style="19"/>
    <col min="15623" max="15623" width="9.81640625" style="19" bestFit="1" customWidth="1"/>
    <col min="15624" max="15624" width="8.7265625" style="19"/>
    <col min="15625" max="15625" width="9.81640625" style="19" bestFit="1" customWidth="1"/>
    <col min="15626" max="15636" width="8.7265625" style="19"/>
    <col min="15637" max="15637" width="9.81640625" style="19" bestFit="1" customWidth="1"/>
    <col min="15638" max="15872" width="8.7265625" style="19"/>
    <col min="15873" max="15873" width="11.54296875" style="19" customWidth="1"/>
    <col min="15874" max="15878" width="8.7265625" style="19"/>
    <col min="15879" max="15879" width="9.81640625" style="19" bestFit="1" customWidth="1"/>
    <col min="15880" max="15880" width="8.7265625" style="19"/>
    <col min="15881" max="15881" width="9.81640625" style="19" bestFit="1" customWidth="1"/>
    <col min="15882" max="15892" width="8.7265625" style="19"/>
    <col min="15893" max="15893" width="9.81640625" style="19" bestFit="1" customWidth="1"/>
    <col min="15894" max="16128" width="8.7265625" style="19"/>
    <col min="16129" max="16129" width="11.54296875" style="19" customWidth="1"/>
    <col min="16130" max="16134" width="8.7265625" style="19"/>
    <col min="16135" max="16135" width="9.81640625" style="19" bestFit="1" customWidth="1"/>
    <col min="16136" max="16136" width="8.7265625" style="19"/>
    <col min="16137" max="16137" width="9.81640625" style="19" bestFit="1" customWidth="1"/>
    <col min="16138" max="16148" width="8.7265625" style="19"/>
    <col min="16149" max="16149" width="9.81640625" style="19" bestFit="1" customWidth="1"/>
    <col min="16150" max="16384" width="8.7265625" style="19"/>
  </cols>
  <sheetData>
    <row r="1" spans="1:31" s="2" customFormat="1" ht="45" customHeight="1" x14ac:dyDescent="0.35">
      <c r="A1" s="38" t="s">
        <v>160</v>
      </c>
    </row>
    <row r="2" spans="1:31" s="3" customFormat="1" ht="20.25" customHeight="1" x14ac:dyDescent="0.35">
      <c r="A2" s="3" t="s">
        <v>15</v>
      </c>
    </row>
    <row r="3" spans="1:31" s="3" customFormat="1" ht="20.25" customHeight="1" x14ac:dyDescent="0.35">
      <c r="A3" s="44" t="s">
        <v>158</v>
      </c>
    </row>
    <row r="4" spans="1:31" s="3" customFormat="1" ht="20.25" customHeight="1" x14ac:dyDescent="0.35">
      <c r="A4" s="3" t="s">
        <v>159</v>
      </c>
    </row>
    <row r="5" spans="1:31" s="39" customFormat="1" ht="46" customHeight="1" x14ac:dyDescent="0.35">
      <c r="A5" s="55" t="s">
        <v>69</v>
      </c>
      <c r="B5" s="62" t="s">
        <v>161</v>
      </c>
      <c r="C5" s="62" t="s">
        <v>70</v>
      </c>
      <c r="D5" s="62" t="s">
        <v>71</v>
      </c>
      <c r="E5" s="62" t="s">
        <v>72</v>
      </c>
      <c r="F5" s="62" t="s">
        <v>166</v>
      </c>
      <c r="G5" s="63" t="s">
        <v>36</v>
      </c>
      <c r="H5" s="62" t="s">
        <v>167</v>
      </c>
      <c r="I5" s="62" t="s">
        <v>162</v>
      </c>
      <c r="J5" s="62" t="s">
        <v>168</v>
      </c>
      <c r="K5" s="62" t="s">
        <v>163</v>
      </c>
      <c r="L5" s="62" t="s">
        <v>91</v>
      </c>
      <c r="M5" s="62" t="s">
        <v>74</v>
      </c>
      <c r="N5" s="62" t="s">
        <v>75</v>
      </c>
      <c r="O5" s="62" t="s">
        <v>76</v>
      </c>
      <c r="P5" s="62" t="s">
        <v>77</v>
      </c>
      <c r="Q5" s="62" t="s">
        <v>78</v>
      </c>
      <c r="R5" s="62" t="s">
        <v>169</v>
      </c>
      <c r="S5" s="62" t="s">
        <v>45</v>
      </c>
      <c r="T5" s="62" t="s">
        <v>46</v>
      </c>
      <c r="U5" s="62" t="s">
        <v>164</v>
      </c>
      <c r="V5" s="62" t="s">
        <v>80</v>
      </c>
      <c r="W5" s="62" t="s">
        <v>81</v>
      </c>
      <c r="X5" s="62" t="s">
        <v>64</v>
      </c>
      <c r="Y5" s="62" t="s">
        <v>65</v>
      </c>
      <c r="Z5" s="62" t="s">
        <v>66</v>
      </c>
      <c r="AA5" s="62" t="s">
        <v>83</v>
      </c>
      <c r="AB5" s="62" t="s">
        <v>84</v>
      </c>
      <c r="AC5" s="62" t="s">
        <v>85</v>
      </c>
      <c r="AD5" s="62" t="s">
        <v>86</v>
      </c>
      <c r="AE5" s="64" t="s">
        <v>87</v>
      </c>
    </row>
    <row r="6" spans="1:31" s="39" customFormat="1" ht="15.5" x14ac:dyDescent="0.35">
      <c r="A6" s="40">
        <v>1998</v>
      </c>
      <c r="B6" s="42">
        <f>SUM('Quarter supply and use of fuels'!B6:B9)</f>
        <v>287233.03000000003</v>
      </c>
      <c r="C6" s="42">
        <f>SUM('Quarter supply and use of fuels'!C6:C9)</f>
        <v>82060.52</v>
      </c>
      <c r="D6" s="42">
        <f>SUM('Quarter supply and use of fuels'!D6:D9)</f>
        <v>-122555.98</v>
      </c>
      <c r="E6" s="42">
        <f>SUM('Quarter supply and use of fuels'!E6:E9)</f>
        <v>-3257.37</v>
      </c>
      <c r="F6" s="43">
        <f>SUM('Quarter supply and use of fuels'!F6:F9)</f>
        <v>-0.47999999999979082</v>
      </c>
      <c r="G6" s="42">
        <f>SUM('Quarter supply and use of fuels'!G6:G9)</f>
        <v>243479.72000000003</v>
      </c>
      <c r="H6" s="42">
        <f>SUM('Quarter supply and use of fuels'!H6:H9)</f>
        <v>-37.989999999939755</v>
      </c>
      <c r="I6" s="42">
        <f>SUM('Quarter supply and use of fuels'!I6:I9)</f>
        <v>243517.70999999996</v>
      </c>
      <c r="J6" s="42">
        <f>SUM('Quarter supply and use of fuels'!J6:J9)</f>
        <v>-205.79999999999995</v>
      </c>
      <c r="K6" s="42">
        <f>SUM('Quarter supply and use of fuels'!K6:K9)</f>
        <v>-53529</v>
      </c>
      <c r="L6" s="42">
        <f>SUM('Quarter supply and use of fuels'!L6:L9)</f>
        <v>-49421.120000000003</v>
      </c>
      <c r="M6" s="42">
        <f>SUM('Quarter supply and use of fuels'!M6:M9)</f>
        <v>0</v>
      </c>
      <c r="N6" s="42">
        <f>SUM('Quarter supply and use of fuels'!N6:N9)</f>
        <v>-1126.739999999998</v>
      </c>
      <c r="O6" s="42">
        <f>SUM('Quarter supply and use of fuels'!O6:O9)</f>
        <v>-374.84999999999991</v>
      </c>
      <c r="P6" s="42">
        <f>SUM('Quarter supply and use of fuels'!P6:P9)</f>
        <v>-2599.2399999999998</v>
      </c>
      <c r="Q6" s="42">
        <f>SUM('Quarter supply and use of fuels'!Q6:Q9)</f>
        <v>-7.0500000000000256</v>
      </c>
      <c r="R6" s="42">
        <f>SUM('Quarter supply and use of fuels'!R6:R9)</f>
        <v>0</v>
      </c>
      <c r="S6" s="42">
        <f>SUM('Quarter supply and use of fuels'!S6:S9)</f>
        <v>17167.52</v>
      </c>
      <c r="T6" s="42">
        <f>SUM('Quarter supply and use of fuels'!T6:T9)</f>
        <v>3957.0200000000004</v>
      </c>
      <c r="U6" s="42">
        <f>SUM('Quarter supply and use of fuels'!U6:U9)</f>
        <v>168658.37</v>
      </c>
      <c r="V6" s="42">
        <f>SUM('Quarter supply and use of fuels'!V6:V9)</f>
        <v>3968.96</v>
      </c>
      <c r="W6" s="42">
        <f>SUM('Quarter supply and use of fuels'!W6:W9)</f>
        <v>30543.200000000001</v>
      </c>
      <c r="X6" s="42">
        <f>SUM('Quarter supply and use of fuels'!X6:X9)</f>
        <v>53771.99</v>
      </c>
      <c r="Y6" s="42">
        <f>SUM('Quarter supply and use of fuels'!Y6:Y9)</f>
        <v>46125.9</v>
      </c>
      <c r="Z6" s="42">
        <f>SUM('Quarter supply and use of fuels'!Z6:Z9)</f>
        <v>21511.11</v>
      </c>
      <c r="AA6" s="42">
        <f>SUM('Quarter supply and use of fuels'!AA6:AA9)</f>
        <v>8140.52</v>
      </c>
      <c r="AB6" s="42">
        <f>SUM('Quarter supply and use of fuels'!AB6:AB9)</f>
        <v>9691.630000000001</v>
      </c>
      <c r="AC6" s="42">
        <f>SUM('Quarter supply and use of fuels'!AC6:AC9)</f>
        <v>1359.2399999999998</v>
      </c>
      <c r="AD6" s="42">
        <f>SUM('Quarter supply and use of fuels'!AD6:AD9)</f>
        <v>2319.7200000000003</v>
      </c>
      <c r="AE6" s="47">
        <f>SUM('Quarter supply and use of fuels'!AE6:AE9)</f>
        <v>12737.21</v>
      </c>
    </row>
    <row r="7" spans="1:31" s="39" customFormat="1" ht="15.5" x14ac:dyDescent="0.35">
      <c r="A7" s="41">
        <v>1999</v>
      </c>
      <c r="B7" s="42">
        <f>SUM('Quarter supply and use of fuels'!B10:B13)</f>
        <v>297655.41000000003</v>
      </c>
      <c r="C7" s="42">
        <f>SUM('Quarter supply and use of fuels'!C10:C13)</f>
        <v>80476.450000000012</v>
      </c>
      <c r="D7" s="42">
        <f>SUM('Quarter supply and use of fuels'!D10:D13)</f>
        <v>-131976.09</v>
      </c>
      <c r="E7" s="42">
        <f>SUM('Quarter supply and use of fuels'!E10:E13)</f>
        <v>-2470.81</v>
      </c>
      <c r="F7" s="43">
        <f>SUM('Quarter supply and use of fuels'!F10:F13)</f>
        <v>606.16999999999985</v>
      </c>
      <c r="G7" s="42">
        <f>SUM('Quarter supply and use of fuels'!G10:G13)</f>
        <v>244291.13</v>
      </c>
      <c r="H7" s="42">
        <f>SUM('Quarter supply and use of fuels'!H10:H13)</f>
        <v>714.92999999999302</v>
      </c>
      <c r="I7" s="42">
        <f>SUM('Quarter supply and use of fuels'!I10:I13)</f>
        <v>243576.2</v>
      </c>
      <c r="J7" s="42">
        <f>SUM('Quarter supply and use of fuels'!J10:J13)</f>
        <v>-19.509999999999934</v>
      </c>
      <c r="K7" s="42">
        <f>SUM('Quarter supply and use of fuels'!K10:K13)</f>
        <v>-53810.7</v>
      </c>
      <c r="L7" s="42">
        <f>SUM('Quarter supply and use of fuels'!L10:L13)</f>
        <v>-47760.68</v>
      </c>
      <c r="M7" s="42">
        <f>SUM('Quarter supply and use of fuels'!M10:M13)</f>
        <v>-1238.49</v>
      </c>
      <c r="N7" s="42">
        <f>SUM('Quarter supply and use of fuels'!N10:N13)</f>
        <v>-1577.9100000000035</v>
      </c>
      <c r="O7" s="42">
        <f>SUM('Quarter supply and use of fuels'!O10:O13)</f>
        <v>-499.48999999999978</v>
      </c>
      <c r="P7" s="42">
        <f>SUM('Quarter supply and use of fuels'!P10:P13)</f>
        <v>-2748.24</v>
      </c>
      <c r="Q7" s="42">
        <f>SUM('Quarter supply and use of fuels'!Q10:Q13)</f>
        <v>14.11</v>
      </c>
      <c r="R7" s="42">
        <f>SUM('Quarter supply and use of fuels'!R10:R13)</f>
        <v>0</v>
      </c>
      <c r="S7" s="42">
        <f>SUM('Quarter supply and use of fuels'!S10:S13)</f>
        <v>16391.18</v>
      </c>
      <c r="T7" s="42">
        <f>SUM('Quarter supply and use of fuels'!T10:T13)</f>
        <v>3858.29</v>
      </c>
      <c r="U7" s="42">
        <f>SUM('Quarter supply and use of fuels'!U10:U13)</f>
        <v>169496.51</v>
      </c>
      <c r="V7" s="42">
        <f>SUM('Quarter supply and use of fuels'!V10:V13)</f>
        <v>3139.7299999999996</v>
      </c>
      <c r="W7" s="42">
        <f>SUM('Quarter supply and use of fuels'!W10:W13)</f>
        <v>31082.109999999997</v>
      </c>
      <c r="X7" s="42">
        <f>SUM('Quarter supply and use of fuels'!X10:X13)</f>
        <v>54853.1</v>
      </c>
      <c r="Y7" s="42">
        <f>SUM('Quarter supply and use of fuels'!Y10:Y13)</f>
        <v>46120.850000000006</v>
      </c>
      <c r="Z7" s="42">
        <f>SUM('Quarter supply and use of fuels'!Z10:Z13)</f>
        <v>21337.850000000002</v>
      </c>
      <c r="AA7" s="42">
        <f>SUM('Quarter supply and use of fuels'!AA10:AA13)</f>
        <v>8215.2099999999991</v>
      </c>
      <c r="AB7" s="42">
        <f>SUM('Quarter supply and use of fuels'!AB10:AB13)</f>
        <v>9369.48</v>
      </c>
      <c r="AC7" s="42">
        <f>SUM('Quarter supply and use of fuels'!AC10:AC13)</f>
        <v>1286.54</v>
      </c>
      <c r="AD7" s="42">
        <f>SUM('Quarter supply and use of fuels'!AD10:AD13)</f>
        <v>2466.62</v>
      </c>
      <c r="AE7" s="48">
        <f>SUM('Quarter supply and use of fuels'!AE10:AE13)</f>
        <v>12962.869999999999</v>
      </c>
    </row>
    <row r="8" spans="1:31" s="39" customFormat="1" ht="15.5" x14ac:dyDescent="0.35">
      <c r="A8" s="41">
        <v>2000</v>
      </c>
      <c r="B8" s="42">
        <f>SUM('Quarter supply and use of fuels'!B14:B17)</f>
        <v>288689.62</v>
      </c>
      <c r="C8" s="42">
        <f>SUM('Quarter supply and use of fuels'!C14:C17)</f>
        <v>94359</v>
      </c>
      <c r="D8" s="42">
        <f>SUM('Quarter supply and use of fuels'!D14:D17)</f>
        <v>-137330.28</v>
      </c>
      <c r="E8" s="42">
        <f>SUM('Quarter supply and use of fuels'!E14:E17)</f>
        <v>-2207.58</v>
      </c>
      <c r="F8" s="43">
        <f>SUM('Quarter supply and use of fuels'!F14:F17)</f>
        <v>3383.8593747389787</v>
      </c>
      <c r="G8" s="42">
        <f>SUM('Quarter supply and use of fuels'!G14:G17)</f>
        <v>247089.81999999998</v>
      </c>
      <c r="H8" s="42">
        <f>SUM('Quarter supply and use of fuels'!H14:H17)</f>
        <v>1074.9899999999907</v>
      </c>
      <c r="I8" s="42">
        <f>SUM('Quarter supply and use of fuels'!I14:I17)</f>
        <v>246014.83</v>
      </c>
      <c r="J8" s="42">
        <f>SUM('Quarter supply and use of fuels'!J14:J17)</f>
        <v>12.540000000000056</v>
      </c>
      <c r="K8" s="42">
        <f>SUM('Quarter supply and use of fuels'!K14:K17)</f>
        <v>-53828</v>
      </c>
      <c r="L8" s="42">
        <f>SUM('Quarter supply and use of fuels'!L14:L17)</f>
        <v>-48075.979999999996</v>
      </c>
      <c r="M8" s="42">
        <f>SUM('Quarter supply and use of fuels'!M14:M17)</f>
        <v>-1010.2799999999999</v>
      </c>
      <c r="N8" s="42">
        <f>SUM('Quarter supply and use of fuels'!N14:N17)</f>
        <v>-1794.9200000000019</v>
      </c>
      <c r="O8" s="42">
        <f>SUM('Quarter supply and use of fuels'!O14:O17)</f>
        <v>-445.79999999999995</v>
      </c>
      <c r="P8" s="42">
        <f>SUM('Quarter supply and use of fuels'!P14:P17)</f>
        <v>-2516.67</v>
      </c>
      <c r="Q8" s="42">
        <f>SUM('Quarter supply and use of fuels'!Q14:Q17)</f>
        <v>14.550000000000011</v>
      </c>
      <c r="R8" s="42">
        <f>SUM('Quarter supply and use of fuels'!R14:R17)</f>
        <v>0</v>
      </c>
      <c r="S8" s="42">
        <f>SUM('Quarter supply and use of fuels'!S14:S17)</f>
        <v>16230.099999999999</v>
      </c>
      <c r="T8" s="42">
        <f>SUM('Quarter supply and use of fuels'!T14:T17)</f>
        <v>4475.2299999999996</v>
      </c>
      <c r="U8" s="42">
        <f>SUM('Quarter supply and use of fuels'!U14:U17)</f>
        <v>171494.03000000003</v>
      </c>
      <c r="V8" s="42">
        <f>SUM('Quarter supply and use of fuels'!V14:V17)</f>
        <v>2244.7200000000003</v>
      </c>
      <c r="W8" s="42">
        <f>SUM('Quarter supply and use of fuels'!W14:W17)</f>
        <v>33106.980000000003</v>
      </c>
      <c r="X8" s="42">
        <f>SUM('Quarter supply and use of fuels'!X14:X17)</f>
        <v>55461.11</v>
      </c>
      <c r="Y8" s="42">
        <f>SUM('Quarter supply and use of fuels'!Y14:Y17)</f>
        <v>46851.18</v>
      </c>
      <c r="Z8" s="42">
        <f>SUM('Quarter supply and use of fuels'!Z14:Z17)</f>
        <v>21546.879999999997</v>
      </c>
      <c r="AA8" s="42">
        <f>SUM('Quarter supply and use of fuels'!AA14:AA17)</f>
        <v>8089.630000000001</v>
      </c>
      <c r="AB8" s="42">
        <f>SUM('Quarter supply and use of fuels'!AB14:AB17)</f>
        <v>9569.94</v>
      </c>
      <c r="AC8" s="42">
        <f>SUM('Quarter supply and use of fuels'!AC14:AC17)</f>
        <v>1216.21</v>
      </c>
      <c r="AD8" s="42">
        <f>SUM('Quarter supply and use of fuels'!AD14:AD17)</f>
        <v>2671.1</v>
      </c>
      <c r="AE8" s="48">
        <f>SUM('Quarter supply and use of fuels'!AE14:AE17)</f>
        <v>12283.16</v>
      </c>
    </row>
    <row r="9" spans="1:31" s="39" customFormat="1" ht="15.5" x14ac:dyDescent="0.35">
      <c r="A9" s="41">
        <v>2001</v>
      </c>
      <c r="B9" s="42">
        <f>SUM('Quarter supply and use of fuels'!B18:B21)</f>
        <v>277426.34000000003</v>
      </c>
      <c r="C9" s="42">
        <f>SUM('Quarter supply and use of fuels'!C18:C21)</f>
        <v>104336.82</v>
      </c>
      <c r="D9" s="42">
        <f>SUM('Quarter supply and use of fuels'!D18:D21)</f>
        <v>-128276.78</v>
      </c>
      <c r="E9" s="42">
        <f>SUM('Quarter supply and use of fuels'!E18:E21)</f>
        <v>-2433.3599999999997</v>
      </c>
      <c r="F9" s="43">
        <f>SUM('Quarter supply and use of fuels'!F18:F21)</f>
        <v>-3466.58</v>
      </c>
      <c r="G9" s="42">
        <f>SUM('Quarter supply and use of fuels'!G18:G21)</f>
        <v>247586.44</v>
      </c>
      <c r="H9" s="42">
        <f>SUM('Quarter supply and use of fuels'!H18:H21)</f>
        <v>569.08999999999651</v>
      </c>
      <c r="I9" s="42">
        <f>SUM('Quarter supply and use of fuels'!I18:I21)</f>
        <v>247017.34999999998</v>
      </c>
      <c r="J9" s="42">
        <f>SUM('Quarter supply and use of fuels'!J18:J21)</f>
        <v>8.0100000000001117</v>
      </c>
      <c r="K9" s="42">
        <f>SUM('Quarter supply and use of fuels'!K18:K21)</f>
        <v>-55190.259999999995</v>
      </c>
      <c r="L9" s="42">
        <f>SUM('Quarter supply and use of fuels'!L18:L21)</f>
        <v>-50260.509999999995</v>
      </c>
      <c r="M9" s="42">
        <f>SUM('Quarter supply and use of fuels'!M18:M21)</f>
        <v>-1071.4699999999998</v>
      </c>
      <c r="N9" s="42">
        <f>SUM('Quarter supply and use of fuels'!N18:N21)</f>
        <v>-1101.4599999999955</v>
      </c>
      <c r="O9" s="42">
        <f>SUM('Quarter supply and use of fuels'!O18:O21)</f>
        <v>-304.08999999999992</v>
      </c>
      <c r="P9" s="42">
        <f>SUM('Quarter supply and use of fuels'!P18:P21)</f>
        <v>-2459.04</v>
      </c>
      <c r="Q9" s="42">
        <f>SUM('Quarter supply and use of fuels'!Q18:Q21)</f>
        <v>6.3099999999999739</v>
      </c>
      <c r="R9" s="42">
        <f>SUM('Quarter supply and use of fuels'!R18:R21)</f>
        <v>0</v>
      </c>
      <c r="S9" s="42">
        <f>SUM('Quarter supply and use of fuels'!S18:S21)</f>
        <v>16655.72</v>
      </c>
      <c r="T9" s="42">
        <f>SUM('Quarter supply and use of fuels'!T18:T21)</f>
        <v>3522.01</v>
      </c>
      <c r="U9" s="42">
        <f>SUM('Quarter supply and use of fuels'!U18:U21)</f>
        <v>171657.4</v>
      </c>
      <c r="V9" s="42">
        <f>SUM('Quarter supply and use of fuels'!V18:V21)</f>
        <v>2289.1800000000003</v>
      </c>
      <c r="W9" s="42">
        <f>SUM('Quarter supply and use of fuels'!W18:W21)</f>
        <v>33153.469999999994</v>
      </c>
      <c r="X9" s="42">
        <f>SUM('Quarter supply and use of fuels'!X18:X21)</f>
        <v>55137.279999999999</v>
      </c>
      <c r="Y9" s="42">
        <f>SUM('Quarter supply and use of fuels'!Y18:Y21)</f>
        <v>48178.33</v>
      </c>
      <c r="Z9" s="42">
        <f>SUM('Quarter supply and use of fuels'!Z18:Z21)</f>
        <v>22167.47</v>
      </c>
      <c r="AA9" s="42">
        <f>SUM('Quarter supply and use of fuels'!AA18:AA21)</f>
        <v>8045.2999999999993</v>
      </c>
      <c r="AB9" s="42">
        <f>SUM('Quarter supply and use of fuels'!AB18:AB21)</f>
        <v>10325.36</v>
      </c>
      <c r="AC9" s="42">
        <f>SUM('Quarter supply and use of fuels'!AC18:AC21)</f>
        <v>1285.8499999999999</v>
      </c>
      <c r="AD9" s="42">
        <f>SUM('Quarter supply and use of fuels'!AD18:AD21)</f>
        <v>2510.96</v>
      </c>
      <c r="AE9" s="48">
        <f>SUM('Quarter supply and use of fuels'!AE18:AE21)</f>
        <v>10731.67</v>
      </c>
    </row>
    <row r="10" spans="1:31" s="39" customFormat="1" ht="15.5" x14ac:dyDescent="0.35">
      <c r="A10" s="41">
        <v>2002</v>
      </c>
      <c r="B10" s="42">
        <f>SUM('Quarter supply and use of fuels'!B22:B25)</f>
        <v>272864.45</v>
      </c>
      <c r="C10" s="42">
        <f>SUM('Quarter supply and use of fuels'!C22:C25)</f>
        <v>103333.70000000001</v>
      </c>
      <c r="D10" s="42">
        <f>SUM('Quarter supply and use of fuels'!D22:D25)</f>
        <v>-134451.09</v>
      </c>
      <c r="E10" s="42">
        <f>SUM('Quarter supply and use of fuels'!E22:E25)</f>
        <v>-2043.63</v>
      </c>
      <c r="F10" s="43">
        <f>SUM('Quarter supply and use of fuels'!F22:F25)</f>
        <v>1445.31</v>
      </c>
      <c r="G10" s="42">
        <f>SUM('Quarter supply and use of fuels'!G22:G25)</f>
        <v>241148.74000000002</v>
      </c>
      <c r="H10" s="42">
        <f>SUM('Quarter supply and use of fuels'!H22:H25)</f>
        <v>-98.879999999975553</v>
      </c>
      <c r="I10" s="42">
        <f>SUM('Quarter supply and use of fuels'!I22:I25)</f>
        <v>241247.62</v>
      </c>
      <c r="J10" s="42">
        <f>SUM('Quarter supply and use of fuels'!J22:J25)</f>
        <v>-155.82999999999998</v>
      </c>
      <c r="K10" s="42">
        <f>SUM('Quarter supply and use of fuels'!K22:K25)</f>
        <v>-52379.28</v>
      </c>
      <c r="L10" s="42">
        <f>SUM('Quarter supply and use of fuels'!L22:L25)</f>
        <v>-48992.659999999996</v>
      </c>
      <c r="M10" s="42">
        <f>SUM('Quarter supply and use of fuels'!M22:M25)</f>
        <v>-673.44999999999982</v>
      </c>
      <c r="N10" s="42">
        <f>SUM('Quarter supply and use of fuels'!N22:N25)</f>
        <v>-598.40999999999985</v>
      </c>
      <c r="O10" s="42">
        <f>SUM('Quarter supply and use of fuels'!O22:O25)</f>
        <v>-33.669999999999959</v>
      </c>
      <c r="P10" s="42">
        <f>SUM('Quarter supply and use of fuels'!P22:P25)</f>
        <v>-2083</v>
      </c>
      <c r="Q10" s="42">
        <f>SUM('Quarter supply and use of fuels'!Q22:Q25)</f>
        <v>1.9099999999999966</v>
      </c>
      <c r="R10" s="42">
        <f>SUM('Quarter supply and use of fuels'!R22:R25)</f>
        <v>0</v>
      </c>
      <c r="S10" s="42">
        <f>SUM('Quarter supply and use of fuels'!S22:S25)</f>
        <v>17194.78</v>
      </c>
      <c r="T10" s="42">
        <f>SUM('Quarter supply and use of fuels'!T22:T25)</f>
        <v>3497.89</v>
      </c>
      <c r="U10" s="42">
        <f>SUM('Quarter supply and use of fuels'!U22:U25)</f>
        <v>168019.84000000003</v>
      </c>
      <c r="V10" s="42">
        <f>SUM('Quarter supply and use of fuels'!V22:V25)</f>
        <v>2011.3899999999999</v>
      </c>
      <c r="W10" s="42">
        <f>SUM('Quarter supply and use of fuels'!W22:W25)</f>
        <v>31752.5</v>
      </c>
      <c r="X10" s="42">
        <f>SUM('Quarter supply and use of fuels'!X22:X25)</f>
        <v>55684.83</v>
      </c>
      <c r="Y10" s="42">
        <f>SUM('Quarter supply and use of fuels'!Y22:Y25)</f>
        <v>47470.62</v>
      </c>
      <c r="Z10" s="42">
        <f>SUM('Quarter supply and use of fuels'!Z22:Z25)</f>
        <v>19556.34</v>
      </c>
      <c r="AA10" s="42">
        <f>SUM('Quarter supply and use of fuels'!AA22:AA25)</f>
        <v>7022.380000000001</v>
      </c>
      <c r="AB10" s="42">
        <f>SUM('Quarter supply and use of fuels'!AB22:AB25)</f>
        <v>9583.380000000001</v>
      </c>
      <c r="AC10" s="42">
        <f>SUM('Quarter supply and use of fuels'!AC22:AC25)</f>
        <v>1188.8399999999999</v>
      </c>
      <c r="AD10" s="42">
        <f>SUM('Quarter supply and use of fuels'!AD22:AD25)</f>
        <v>1761.74</v>
      </c>
      <c r="AE10" s="48">
        <f>SUM('Quarter supply and use of fuels'!AE22:AE25)</f>
        <v>11544.160000000002</v>
      </c>
    </row>
    <row r="11" spans="1:31" s="39" customFormat="1" ht="15.5" x14ac:dyDescent="0.35">
      <c r="A11" s="41">
        <v>2003</v>
      </c>
      <c r="B11" s="42">
        <f>SUM('Quarter supply and use of fuels'!B26:B29)</f>
        <v>260310.27000000002</v>
      </c>
      <c r="C11" s="42">
        <f>SUM('Quarter supply and use of fuels'!C26:C29)</f>
        <v>106429.69</v>
      </c>
      <c r="D11" s="42">
        <f>SUM('Quarter supply and use of fuels'!D26:D29)</f>
        <v>-123207.90000000001</v>
      </c>
      <c r="E11" s="42">
        <f>SUM('Quarter supply and use of fuels'!E26:E29)</f>
        <v>-1879.36</v>
      </c>
      <c r="F11" s="43">
        <f>SUM('Quarter supply and use of fuels'!F26:F29)</f>
        <v>2499.1399999999994</v>
      </c>
      <c r="G11" s="42">
        <f>SUM('Quarter supply and use of fuels'!G26:G29)</f>
        <v>244151.84000000003</v>
      </c>
      <c r="H11" s="42">
        <f>SUM('Quarter supply and use of fuels'!H26:H29)</f>
        <v>-272.70000000000437</v>
      </c>
      <c r="I11" s="42">
        <f>SUM('Quarter supply and use of fuels'!I26:I29)</f>
        <v>244424.54000000004</v>
      </c>
      <c r="J11" s="42">
        <f>SUM('Quarter supply and use of fuels'!J26:J29)</f>
        <v>-202.66999999999996</v>
      </c>
      <c r="K11" s="42">
        <f>SUM('Quarter supply and use of fuels'!K26:K29)</f>
        <v>-53648.920000000013</v>
      </c>
      <c r="L11" s="42">
        <f>SUM('Quarter supply and use of fuels'!L26:L29)</f>
        <v>-50813.3</v>
      </c>
      <c r="M11" s="42">
        <f>SUM('Quarter supply and use of fuels'!M26:M29)</f>
        <v>-575.87000000000012</v>
      </c>
      <c r="N11" s="42">
        <f>SUM('Quarter supply and use of fuels'!N26:N29)</f>
        <v>169.33999999999651</v>
      </c>
      <c r="O11" s="42">
        <f>SUM('Quarter supply and use of fuels'!O26:O29)</f>
        <v>42.270000000000095</v>
      </c>
      <c r="P11" s="42">
        <f>SUM('Quarter supply and use of fuels'!P26:P29)</f>
        <v>-2481.0699999999997</v>
      </c>
      <c r="Q11" s="42">
        <f>SUM('Quarter supply and use of fuels'!Q26:Q29)</f>
        <v>9.7099999999999795</v>
      </c>
      <c r="R11" s="42">
        <f>SUM('Quarter supply and use of fuels'!R26:R29)</f>
        <v>0</v>
      </c>
      <c r="S11" s="42">
        <f>SUM('Quarter supply and use of fuels'!S26:S29)</f>
        <v>16879.439999999999</v>
      </c>
      <c r="T11" s="42">
        <f>SUM('Quarter supply and use of fuels'!T26:T29)</f>
        <v>3261.7599999999998</v>
      </c>
      <c r="U11" s="42">
        <f>SUM('Quarter supply and use of fuels'!U26:U29)</f>
        <v>170431.72999999998</v>
      </c>
      <c r="V11" s="42">
        <f>SUM('Quarter supply and use of fuels'!V26:V29)</f>
        <v>1946.92</v>
      </c>
      <c r="W11" s="42">
        <f>SUM('Quarter supply and use of fuels'!W26:W29)</f>
        <v>32127.270000000004</v>
      </c>
      <c r="X11" s="42">
        <f>SUM('Quarter supply and use of fuels'!X26:X29)</f>
        <v>56365.79</v>
      </c>
      <c r="Y11" s="42">
        <f>SUM('Quarter supply and use of fuels'!Y26:Y29)</f>
        <v>48293.01</v>
      </c>
      <c r="Z11" s="42">
        <f>SUM('Quarter supply and use of fuels'!Z26:Z29)</f>
        <v>19413.669999999998</v>
      </c>
      <c r="AA11" s="42">
        <f>SUM('Quarter supply and use of fuels'!AA26:AA29)</f>
        <v>6708.72</v>
      </c>
      <c r="AB11" s="42">
        <f>SUM('Quarter supply and use of fuels'!AB26:AB29)</f>
        <v>9878.89</v>
      </c>
      <c r="AC11" s="42">
        <f>SUM('Quarter supply and use of fuels'!AC26:AC29)</f>
        <v>949.05</v>
      </c>
      <c r="AD11" s="42">
        <f>SUM('Quarter supply and use of fuels'!AD26:AD29)</f>
        <v>1877.01</v>
      </c>
      <c r="AE11" s="48">
        <f>SUM('Quarter supply and use of fuels'!AE26:AE29)</f>
        <v>12285.07</v>
      </c>
    </row>
    <row r="12" spans="1:31" s="39" customFormat="1" ht="15.5" x14ac:dyDescent="0.35">
      <c r="A12" s="41">
        <v>2004</v>
      </c>
      <c r="B12" s="42">
        <f>SUM('Quarter supply and use of fuels'!B30:B33)</f>
        <v>238378.05</v>
      </c>
      <c r="C12" s="42">
        <f>SUM('Quarter supply and use of fuels'!C30:C33)</f>
        <v>125258.41</v>
      </c>
      <c r="D12" s="42">
        <f>SUM('Quarter supply and use of fuels'!D30:D33)</f>
        <v>-114202.12000000001</v>
      </c>
      <c r="E12" s="42">
        <f>SUM('Quarter supply and use of fuels'!E30:E33)</f>
        <v>-2221.0100000000002</v>
      </c>
      <c r="F12" s="43">
        <f>SUM('Quarter supply and use of fuels'!F30:F33)</f>
        <v>-1151.6400000000001</v>
      </c>
      <c r="G12" s="42">
        <f>SUM('Quarter supply and use of fuels'!G30:G33)</f>
        <v>246061.69</v>
      </c>
      <c r="H12" s="42">
        <f>SUM('Quarter supply and use of fuels'!H30:H33)</f>
        <v>-6.7300000000104774</v>
      </c>
      <c r="I12" s="42">
        <f>SUM('Quarter supply and use of fuels'!I30:I33)</f>
        <v>246068.42000000004</v>
      </c>
      <c r="J12" s="42">
        <f>SUM('Quarter supply and use of fuels'!J30:J33)</f>
        <v>-138.80000000000018</v>
      </c>
      <c r="K12" s="42">
        <f>SUM('Quarter supply and use of fuels'!K30:K33)</f>
        <v>-53436.69</v>
      </c>
      <c r="L12" s="42">
        <f>SUM('Quarter supply and use of fuels'!L30:L33)</f>
        <v>-50108.829999999987</v>
      </c>
      <c r="M12" s="42">
        <f>SUM('Quarter supply and use of fuels'!M30:M33)</f>
        <v>-1024.2699999999998</v>
      </c>
      <c r="N12" s="42">
        <f>SUM('Quarter supply and use of fuels'!N30:N33)</f>
        <v>216.84999999999854</v>
      </c>
      <c r="O12" s="42">
        <f>SUM('Quarter supply and use of fuels'!O30:O33)</f>
        <v>-18.42999999999995</v>
      </c>
      <c r="P12" s="42">
        <f>SUM('Quarter supply and use of fuels'!P30:P33)</f>
        <v>-2501.81</v>
      </c>
      <c r="Q12" s="42">
        <f>SUM('Quarter supply and use of fuels'!Q30:Q33)</f>
        <v>-0.19999999999999574</v>
      </c>
      <c r="R12" s="42">
        <f>SUM('Quarter supply and use of fuels'!R30:R33)</f>
        <v>0</v>
      </c>
      <c r="S12" s="42">
        <f>SUM('Quarter supply and use of fuels'!S30:S33)</f>
        <v>16578.769999999997</v>
      </c>
      <c r="T12" s="42">
        <f>SUM('Quarter supply and use of fuels'!T30:T33)</f>
        <v>3548.95</v>
      </c>
      <c r="U12" s="42">
        <f>SUM('Quarter supply and use of fuels'!U30:U33)</f>
        <v>172365.21000000002</v>
      </c>
      <c r="V12" s="42">
        <f>SUM('Quarter supply and use of fuels'!V30:V33)</f>
        <v>1917.53</v>
      </c>
      <c r="W12" s="42">
        <f>SUM('Quarter supply and use of fuels'!W30:W33)</f>
        <v>30994.949999999997</v>
      </c>
      <c r="X12" s="42">
        <f>SUM('Quarter supply and use of fuels'!X30:X33)</f>
        <v>57374.12999999999</v>
      </c>
      <c r="Y12" s="42">
        <f>SUM('Quarter supply and use of fuels'!Y30:Y33)</f>
        <v>49332.81</v>
      </c>
      <c r="Z12" s="42">
        <f>SUM('Quarter supply and use of fuels'!Z30:Z33)</f>
        <v>20317.259999999998</v>
      </c>
      <c r="AA12" s="42">
        <f>SUM('Quarter supply and use of fuels'!AA30:AA33)</f>
        <v>7183.8799999999992</v>
      </c>
      <c r="AB12" s="42">
        <f>SUM('Quarter supply and use of fuels'!AB30:AB33)</f>
        <v>10129.42</v>
      </c>
      <c r="AC12" s="42">
        <f>SUM('Quarter supply and use of fuels'!AC30:AC33)</f>
        <v>906</v>
      </c>
      <c r="AD12" s="42">
        <f>SUM('Quarter supply and use of fuels'!AD30:AD33)</f>
        <v>2097.96</v>
      </c>
      <c r="AE12" s="48">
        <f>SUM('Quarter supply and use of fuels'!AE30:AE33)</f>
        <v>12428.529999999999</v>
      </c>
    </row>
    <row r="13" spans="1:31" s="39" customFormat="1" ht="15.5" x14ac:dyDescent="0.35">
      <c r="A13" s="41">
        <v>2005</v>
      </c>
      <c r="B13" s="42">
        <f>SUM('Quarter supply and use of fuels'!B34:B37)</f>
        <v>216541.06999999995</v>
      </c>
      <c r="C13" s="42">
        <f>SUM('Quarter supply and use of fuels'!C34:C37)</f>
        <v>134312.29999999999</v>
      </c>
      <c r="D13" s="42">
        <f>SUM('Quarter supply and use of fuels'!D34:D37)</f>
        <v>-100526.67</v>
      </c>
      <c r="E13" s="42">
        <f>SUM('Quarter supply and use of fuels'!E34:E37)</f>
        <v>-2179.7199999999998</v>
      </c>
      <c r="F13" s="43">
        <f>SUM('Quarter supply and use of fuels'!F34:F37)</f>
        <v>287.68999999999869</v>
      </c>
      <c r="G13" s="42">
        <f>SUM('Quarter supply and use of fuels'!G34:G37)</f>
        <v>248434.67</v>
      </c>
      <c r="H13" s="42">
        <f>SUM('Quarter supply and use of fuels'!H34:H37)</f>
        <v>389.49000000004162</v>
      </c>
      <c r="I13" s="42">
        <f>SUM('Quarter supply and use of fuels'!I34:I37)</f>
        <v>248045.18</v>
      </c>
      <c r="J13" s="42">
        <f>SUM('Quarter supply and use of fuels'!J34:J37)</f>
        <v>-116.33999999999995</v>
      </c>
      <c r="K13" s="42">
        <f>SUM('Quarter supply and use of fuels'!K34:K37)</f>
        <v>-55329.62000000001</v>
      </c>
      <c r="L13" s="42">
        <f>SUM('Quarter supply and use of fuels'!L34:L37)</f>
        <v>-51677.66</v>
      </c>
      <c r="M13" s="42">
        <f>SUM('Quarter supply and use of fuels'!M34:M37)</f>
        <v>-970.8</v>
      </c>
      <c r="N13" s="42">
        <f>SUM('Quarter supply and use of fuels'!N34:N37)</f>
        <v>-171.82999999999811</v>
      </c>
      <c r="O13" s="42">
        <f>SUM('Quarter supply and use of fuels'!O34:O37)</f>
        <v>-28.959999999999923</v>
      </c>
      <c r="P13" s="42">
        <f>SUM('Quarter supply and use of fuels'!P34:P37)</f>
        <v>-2483.64</v>
      </c>
      <c r="Q13" s="42">
        <f>SUM('Quarter supply and use of fuels'!Q34:Q37)</f>
        <v>3.2700000000000031</v>
      </c>
      <c r="R13" s="42">
        <f>SUM('Quarter supply and use of fuels'!R34:R37)</f>
        <v>0</v>
      </c>
      <c r="S13" s="42">
        <f>SUM('Quarter supply and use of fuels'!S34:S37)</f>
        <v>17244.5</v>
      </c>
      <c r="T13" s="42">
        <f>SUM('Quarter supply and use of fuels'!T34:T37)</f>
        <v>3533.42</v>
      </c>
      <c r="U13" s="42">
        <f>SUM('Quarter supply and use of fuels'!U34:U37)</f>
        <v>171821.29</v>
      </c>
      <c r="V13" s="42">
        <f>SUM('Quarter supply and use of fuels'!V34:V37)</f>
        <v>1760.8600000000001</v>
      </c>
      <c r="W13" s="42">
        <f>SUM('Quarter supply and use of fuels'!W34:W37)</f>
        <v>30542.35</v>
      </c>
      <c r="X13" s="42">
        <f>SUM('Quarter supply and use of fuels'!X34:X37)</f>
        <v>58793.16</v>
      </c>
      <c r="Y13" s="42">
        <f>SUM('Quarter supply and use of fuels'!Y34:Y37)</f>
        <v>47805.42</v>
      </c>
      <c r="Z13" s="42">
        <f>SUM('Quarter supply and use of fuels'!Z34:Z37)</f>
        <v>20774.54</v>
      </c>
      <c r="AA13" s="42">
        <f>SUM('Quarter supply and use of fuels'!AA34:AA37)</f>
        <v>7098.1900000000005</v>
      </c>
      <c r="AB13" s="42">
        <f>SUM('Quarter supply and use of fuels'!AB34:AB37)</f>
        <v>10486.349999999999</v>
      </c>
      <c r="AC13" s="42">
        <f>SUM('Quarter supply and use of fuels'!AC34:AC37)</f>
        <v>1006.8</v>
      </c>
      <c r="AD13" s="42">
        <f>SUM('Quarter supply and use of fuels'!AD34:AD37)</f>
        <v>2183.1999999999998</v>
      </c>
      <c r="AE13" s="48">
        <f>SUM('Quarter supply and use of fuels'!AE34:AE37)</f>
        <v>12144.96</v>
      </c>
    </row>
    <row r="14" spans="1:31" s="39" customFormat="1" ht="15.5" x14ac:dyDescent="0.35">
      <c r="A14" s="41">
        <v>2006</v>
      </c>
      <c r="B14" s="42">
        <f>SUM('Quarter supply and use of fuels'!B38:B41)</f>
        <v>197246.35</v>
      </c>
      <c r="C14" s="42">
        <f>SUM('Quarter supply and use of fuels'!C38:C41)</f>
        <v>150013.25</v>
      </c>
      <c r="D14" s="42">
        <f>SUM('Quarter supply and use of fuels'!D38:D41)</f>
        <v>-97445.950000000012</v>
      </c>
      <c r="E14" s="42">
        <f>SUM('Quarter supply and use of fuels'!E38:E41)</f>
        <v>-2486.38</v>
      </c>
      <c r="F14" s="43">
        <f>SUM('Quarter supply and use of fuels'!F38:F41)</f>
        <v>-2839.35</v>
      </c>
      <c r="G14" s="42">
        <f>SUM('Quarter supply and use of fuels'!G38:G41)</f>
        <v>244487.91999999998</v>
      </c>
      <c r="H14" s="42">
        <f>SUM('Quarter supply and use of fuels'!H38:H41)</f>
        <v>-145.90000000002328</v>
      </c>
      <c r="I14" s="42">
        <f>SUM('Quarter supply and use of fuels'!I38:I41)</f>
        <v>244633.82</v>
      </c>
      <c r="J14" s="42">
        <f>SUM('Quarter supply and use of fuels'!J38:J41)</f>
        <v>-79.630000000000166</v>
      </c>
      <c r="K14" s="42">
        <f>SUM('Quarter supply and use of fuels'!K38:K41)</f>
        <v>-56502.45</v>
      </c>
      <c r="L14" s="42">
        <f>SUM('Quarter supply and use of fuels'!L38:L41)</f>
        <v>-52437.560000000012</v>
      </c>
      <c r="M14" s="42">
        <f>SUM('Quarter supply and use of fuels'!M38:M41)</f>
        <v>-991.31</v>
      </c>
      <c r="N14" s="42">
        <f>SUM('Quarter supply and use of fuels'!N38:N41)</f>
        <v>-324.79000000000087</v>
      </c>
      <c r="O14" s="42">
        <f>SUM('Quarter supply and use of fuels'!O38:O41)</f>
        <v>-43.700000000000045</v>
      </c>
      <c r="P14" s="42">
        <f>SUM('Quarter supply and use of fuels'!P38:P41)</f>
        <v>-2713.42</v>
      </c>
      <c r="Q14" s="42">
        <f>SUM('Quarter supply and use of fuels'!Q38:Q41)</f>
        <v>8.3299999999999983</v>
      </c>
      <c r="R14" s="42">
        <f>SUM('Quarter supply and use of fuels'!R38:R41)</f>
        <v>0</v>
      </c>
      <c r="S14" s="42">
        <f>SUM('Quarter supply and use of fuels'!S38:S41)</f>
        <v>16028.17</v>
      </c>
      <c r="T14" s="42">
        <f>SUM('Quarter supply and use of fuels'!T38:T41)</f>
        <v>3567.11</v>
      </c>
      <c r="U14" s="42">
        <f>SUM('Quarter supply and use of fuels'!U38:U41)</f>
        <v>168456.43999999997</v>
      </c>
      <c r="V14" s="42">
        <f>SUM('Quarter supply and use of fuels'!V38:V41)</f>
        <v>1863.46</v>
      </c>
      <c r="W14" s="42">
        <f>SUM('Quarter supply and use of fuels'!W38:W41)</f>
        <v>29578.749999999996</v>
      </c>
      <c r="X14" s="42">
        <f>SUM('Quarter supply and use of fuels'!X38:X41)</f>
        <v>59501.45</v>
      </c>
      <c r="Y14" s="42">
        <f>SUM('Quarter supply and use of fuels'!Y38:Y41)</f>
        <v>46575.14</v>
      </c>
      <c r="Z14" s="42">
        <f>SUM('Quarter supply and use of fuels'!Z38:Z41)</f>
        <v>19522.920000000002</v>
      </c>
      <c r="AA14" s="42">
        <f>SUM('Quarter supply and use of fuels'!AA38:AA41)</f>
        <v>6620.99</v>
      </c>
      <c r="AB14" s="42">
        <f>SUM('Quarter supply and use of fuels'!AB38:AB41)</f>
        <v>10045.490000000002</v>
      </c>
      <c r="AC14" s="42">
        <f>SUM('Quarter supply and use of fuels'!AC38:AC41)</f>
        <v>916.54000000000019</v>
      </c>
      <c r="AD14" s="42">
        <f>SUM('Quarter supply and use of fuels'!AD38:AD41)</f>
        <v>1939.9</v>
      </c>
      <c r="AE14" s="48">
        <f>SUM('Quarter supply and use of fuels'!AE38:AE41)</f>
        <v>11414.720000000001</v>
      </c>
    </row>
    <row r="15" spans="1:31" s="39" customFormat="1" ht="15.5" x14ac:dyDescent="0.35">
      <c r="A15" s="41">
        <v>2007</v>
      </c>
      <c r="B15" s="42">
        <f>SUM('Quarter supply and use of fuels'!B42:B45)</f>
        <v>185969.62</v>
      </c>
      <c r="C15" s="42">
        <f>SUM('Quarter supply and use of fuels'!C42:C45)</f>
        <v>149340.46000000002</v>
      </c>
      <c r="D15" s="42">
        <f>SUM('Quarter supply and use of fuels'!D42:D45)</f>
        <v>-100010.87999999999</v>
      </c>
      <c r="E15" s="42">
        <f>SUM('Quarter supply and use of fuels'!E42:E45)</f>
        <v>-2512.67</v>
      </c>
      <c r="F15" s="43">
        <f>SUM('Quarter supply and use of fuels'!F42:F45)</f>
        <v>4434.87</v>
      </c>
      <c r="G15" s="42">
        <f>SUM('Quarter supply and use of fuels'!G42:G45)</f>
        <v>237221.40000000002</v>
      </c>
      <c r="H15" s="42">
        <f>SUM('Quarter supply and use of fuels'!H42:H45)</f>
        <v>-221.46000000002095</v>
      </c>
      <c r="I15" s="42">
        <f>SUM('Quarter supply and use of fuels'!I42:I45)</f>
        <v>237442.86000000004</v>
      </c>
      <c r="J15" s="42">
        <f>SUM('Quarter supply and use of fuels'!J42:J45)</f>
        <v>-109.46999999999991</v>
      </c>
      <c r="K15" s="42">
        <f>SUM('Quarter supply and use of fuels'!K42:K45)</f>
        <v>-54350.30000000001</v>
      </c>
      <c r="L15" s="42">
        <f>SUM('Quarter supply and use of fuels'!L42:L45)</f>
        <v>-50182.219999999994</v>
      </c>
      <c r="M15" s="42">
        <f>SUM('Quarter supply and use of fuels'!M42:M45)</f>
        <v>-1047.48</v>
      </c>
      <c r="N15" s="42">
        <f>SUM('Quarter supply and use of fuels'!N42:N45)</f>
        <v>-216.94000000000597</v>
      </c>
      <c r="O15" s="42">
        <f>SUM('Quarter supply and use of fuels'!O42:O45)</f>
        <v>-147.46000000000026</v>
      </c>
      <c r="P15" s="42">
        <f>SUM('Quarter supply and use of fuels'!P42:P45)</f>
        <v>-2746.8</v>
      </c>
      <c r="Q15" s="42">
        <f>SUM('Quarter supply and use of fuels'!Q42:Q45)</f>
        <v>-9.4000000000000057</v>
      </c>
      <c r="R15" s="42">
        <f>SUM('Quarter supply and use of fuels'!R42:R45)</f>
        <v>0</v>
      </c>
      <c r="S15" s="42">
        <f>SUM('Quarter supply and use of fuels'!S42:S45)</f>
        <v>15312.83</v>
      </c>
      <c r="T15" s="42">
        <f>SUM('Quarter supply and use of fuels'!T42:T45)</f>
        <v>3681.5600000000004</v>
      </c>
      <c r="U15" s="42">
        <f>SUM('Quarter supply and use of fuels'!U42:U45)</f>
        <v>163988.69</v>
      </c>
      <c r="V15" s="42">
        <f>SUM('Quarter supply and use of fuels'!V42:V45)</f>
        <v>1775.6799999999998</v>
      </c>
      <c r="W15" s="42">
        <f>SUM('Quarter supply and use of fuels'!W42:W45)</f>
        <v>28764.600000000002</v>
      </c>
      <c r="X15" s="42">
        <f>SUM('Quarter supply and use of fuels'!X42:X45)</f>
        <v>59770.950000000004</v>
      </c>
      <c r="Y15" s="42">
        <f>SUM('Quarter supply and use of fuels'!Y42:Y45)</f>
        <v>44932.44</v>
      </c>
      <c r="Z15" s="42">
        <f>SUM('Quarter supply and use of fuels'!Z42:Z45)</f>
        <v>19015.79</v>
      </c>
      <c r="AA15" s="42">
        <f>SUM('Quarter supply and use of fuels'!AA42:AA45)</f>
        <v>6345.86</v>
      </c>
      <c r="AB15" s="42">
        <f>SUM('Quarter supply and use of fuels'!AB42:AB45)</f>
        <v>9964.1400000000012</v>
      </c>
      <c r="AC15" s="42">
        <f>SUM('Quarter supply and use of fuels'!AC42:AC45)</f>
        <v>906.98</v>
      </c>
      <c r="AD15" s="42">
        <f>SUM('Quarter supply and use of fuels'!AD42:AD45)</f>
        <v>1798.81</v>
      </c>
      <c r="AE15" s="48">
        <f>SUM('Quarter supply and use of fuels'!AE42:AE45)</f>
        <v>9729.23</v>
      </c>
    </row>
    <row r="16" spans="1:31" s="39" customFormat="1" ht="15.5" x14ac:dyDescent="0.35">
      <c r="A16" s="41">
        <v>2008</v>
      </c>
      <c r="B16" s="42">
        <f>SUM('Quarter supply and use of fuels'!B46:B49)</f>
        <v>177630.77000000002</v>
      </c>
      <c r="C16" s="42">
        <f>SUM('Quarter supply and use of fuels'!C46:C49)</f>
        <v>158236.15999999997</v>
      </c>
      <c r="D16" s="42">
        <f>SUM('Quarter supply and use of fuels'!D46:D49)</f>
        <v>-95381.299999999988</v>
      </c>
      <c r="E16" s="42">
        <f>SUM('Quarter supply and use of fuels'!E46:E49)</f>
        <v>-3663.06</v>
      </c>
      <c r="F16" s="43">
        <f>SUM('Quarter supply and use of fuels'!F46:F49)</f>
        <v>-2005.4699999999996</v>
      </c>
      <c r="G16" s="42">
        <f>SUM('Quarter supply and use of fuels'!G46:G49)</f>
        <v>234817.1</v>
      </c>
      <c r="H16" s="42">
        <f>SUM('Quarter supply and use of fuels'!H46:H49)</f>
        <v>514.9199999999837</v>
      </c>
      <c r="I16" s="42">
        <f>SUM('Quarter supply and use of fuels'!I46:I49)</f>
        <v>234302.18000000002</v>
      </c>
      <c r="J16" s="42">
        <f>SUM('Quarter supply and use of fuels'!J46:J49)</f>
        <v>-135.40999999999997</v>
      </c>
      <c r="K16" s="42">
        <f>SUM('Quarter supply and use of fuels'!K46:K49)</f>
        <v>-52764.930000000008</v>
      </c>
      <c r="L16" s="42">
        <f>SUM('Quarter supply and use of fuels'!L46:L49)</f>
        <v>-48196.580000000009</v>
      </c>
      <c r="M16" s="42">
        <f>SUM('Quarter supply and use of fuels'!M46:M49)</f>
        <v>-1129.4699999999998</v>
      </c>
      <c r="N16" s="42">
        <f>SUM('Quarter supply and use of fuels'!N46:N49)</f>
        <v>-419.79000000000087</v>
      </c>
      <c r="O16" s="42">
        <f>SUM('Quarter supply and use of fuels'!O46:O49)</f>
        <v>-216.73000000000002</v>
      </c>
      <c r="P16" s="42">
        <f>SUM('Quarter supply and use of fuels'!P46:P49)</f>
        <v>-2786.64</v>
      </c>
      <c r="Q16" s="42">
        <f>SUM('Quarter supply and use of fuels'!Q46:Q49)</f>
        <v>-15.719999999999992</v>
      </c>
      <c r="R16" s="42">
        <f>SUM('Quarter supply and use of fuels'!R46:R49)</f>
        <v>0</v>
      </c>
      <c r="S16" s="42">
        <f>SUM('Quarter supply and use of fuels'!S46:S49)</f>
        <v>14764.029999999999</v>
      </c>
      <c r="T16" s="42">
        <f>SUM('Quarter supply and use of fuels'!T46:T49)</f>
        <v>3235.7700000000004</v>
      </c>
      <c r="U16" s="42">
        <f>SUM('Quarter supply and use of fuels'!U46:U49)</f>
        <v>163402.04</v>
      </c>
      <c r="V16" s="42">
        <f>SUM('Quarter supply and use of fuels'!V46:V49)</f>
        <v>1593.64</v>
      </c>
      <c r="W16" s="42">
        <f>SUM('Quarter supply and use of fuels'!W46:W49)</f>
        <v>28625.94</v>
      </c>
      <c r="X16" s="42">
        <f>SUM('Quarter supply and use of fuels'!X46:X49)</f>
        <v>57393.329999999987</v>
      </c>
      <c r="Y16" s="42">
        <f>SUM('Quarter supply and use of fuels'!Y46:Y49)</f>
        <v>45353.58</v>
      </c>
      <c r="Z16" s="42">
        <f>SUM('Quarter supply and use of fuels'!Z46:Z49)</f>
        <v>21272.600000000002</v>
      </c>
      <c r="AA16" s="42">
        <f>SUM('Quarter supply and use of fuels'!AA46:AA49)</f>
        <v>6523.7899999999991</v>
      </c>
      <c r="AB16" s="42">
        <f>SUM('Quarter supply and use of fuels'!AB46:AB49)</f>
        <v>12029.400000000001</v>
      </c>
      <c r="AC16" s="42">
        <f>SUM('Quarter supply and use of fuels'!AC46:AC49)</f>
        <v>914.53000000000009</v>
      </c>
      <c r="AD16" s="42">
        <f>SUM('Quarter supply and use of fuels'!AD46:AD49)</f>
        <v>1804.88</v>
      </c>
      <c r="AE16" s="48">
        <f>SUM('Quarter supply and use of fuels'!AE46:AE49)</f>
        <v>9162.9500000000007</v>
      </c>
    </row>
    <row r="17" spans="1:31" s="39" customFormat="1" ht="15.5" x14ac:dyDescent="0.35">
      <c r="A17" s="41">
        <v>2009</v>
      </c>
      <c r="B17" s="42">
        <f>SUM('Quarter supply and use of fuels'!B50:B53)</f>
        <v>166172.17000000001</v>
      </c>
      <c r="C17" s="42">
        <f>SUM('Quarter supply and use of fuels'!C50:C53)</f>
        <v>152035.01</v>
      </c>
      <c r="D17" s="42">
        <f>SUM('Quarter supply and use of fuels'!D50:D53)</f>
        <v>-90217.34</v>
      </c>
      <c r="E17" s="42">
        <f>SUM('Quarter supply and use of fuels'!E50:E53)</f>
        <v>-3504.6</v>
      </c>
      <c r="F17" s="43">
        <f>SUM('Quarter supply and use of fuels'!F50:F53)</f>
        <v>-3713.7499999999995</v>
      </c>
      <c r="G17" s="42">
        <f>SUM('Quarter supply and use of fuels'!G50:G53)</f>
        <v>220771.49</v>
      </c>
      <c r="H17" s="42">
        <f>SUM('Quarter supply and use of fuels'!H50:H53)</f>
        <v>-388.10000000000582</v>
      </c>
      <c r="I17" s="42">
        <f>SUM('Quarter supply and use of fuels'!I50:I53)</f>
        <v>221159.59</v>
      </c>
      <c r="J17" s="42">
        <f>SUM('Quarter supply and use of fuels'!J50:J53)</f>
        <v>272.68999999999994</v>
      </c>
      <c r="K17" s="42">
        <f>SUM('Quarter supply and use of fuels'!K50:K53)</f>
        <v>-50411.619999999995</v>
      </c>
      <c r="L17" s="42">
        <f>SUM('Quarter supply and use of fuels'!L50:L53)</f>
        <v>-46152.75999999998</v>
      </c>
      <c r="M17" s="42">
        <f>SUM('Quarter supply and use of fuels'!M50:M53)</f>
        <v>-1147.2299999999998</v>
      </c>
      <c r="N17" s="42">
        <f>SUM('Quarter supply and use of fuels'!N50:N53)</f>
        <v>-633.97000000000116</v>
      </c>
      <c r="O17" s="42">
        <f>SUM('Quarter supply and use of fuels'!O50:O53)</f>
        <v>-402.30999999999995</v>
      </c>
      <c r="P17" s="42">
        <f>SUM('Quarter supply and use of fuels'!P50:P53)</f>
        <v>-2030.6799999999998</v>
      </c>
      <c r="Q17" s="42">
        <f>SUM('Quarter supply and use of fuels'!Q50:Q53)</f>
        <v>-44.67</v>
      </c>
      <c r="R17" s="42">
        <f>SUM('Quarter supply and use of fuels'!R50:R53)</f>
        <v>0</v>
      </c>
      <c r="S17" s="42">
        <f>SUM('Quarter supply and use of fuels'!S50:S53)</f>
        <v>14094.75</v>
      </c>
      <c r="T17" s="42">
        <f>SUM('Quarter supply and use of fuels'!T50:T53)</f>
        <v>3379.27</v>
      </c>
      <c r="U17" s="42">
        <f>SUM('Quarter supply and use of fuels'!U50:U53)</f>
        <v>153546.63</v>
      </c>
      <c r="V17" s="42">
        <f>SUM('Quarter supply and use of fuels'!V50:V53)</f>
        <v>1289.79</v>
      </c>
      <c r="W17" s="42">
        <f>SUM('Quarter supply and use of fuels'!W50:W53)</f>
        <v>21633.670000000002</v>
      </c>
      <c r="X17" s="42">
        <f>SUM('Quarter supply and use of fuels'!X50:X53)</f>
        <v>55830.14</v>
      </c>
      <c r="Y17" s="42">
        <f>SUM('Quarter supply and use of fuels'!Y50:Y53)</f>
        <v>43866.69</v>
      </c>
      <c r="Z17" s="42">
        <f>SUM('Quarter supply and use of fuels'!Z50:Z53)</f>
        <v>21975.29</v>
      </c>
      <c r="AA17" s="42">
        <f>SUM('Quarter supply and use of fuels'!AA50:AA53)</f>
        <v>6515.88</v>
      </c>
      <c r="AB17" s="42">
        <f>SUM('Quarter supply and use of fuels'!AB50:AB53)</f>
        <v>12541.69</v>
      </c>
      <c r="AC17" s="42">
        <f>SUM('Quarter supply and use of fuels'!AC50:AC53)</f>
        <v>1514.89</v>
      </c>
      <c r="AD17" s="42">
        <f>SUM('Quarter supply and use of fuels'!AD50:AD53)</f>
        <v>1402.83</v>
      </c>
      <c r="AE17" s="48">
        <f>SUM('Quarter supply and use of fuels'!AE50:AE53)</f>
        <v>8951.0500000000011</v>
      </c>
    </row>
    <row r="18" spans="1:31" s="39" customFormat="1" ht="15.5" x14ac:dyDescent="0.35">
      <c r="A18" s="41">
        <v>2010</v>
      </c>
      <c r="B18" s="42">
        <f>SUM('Quarter supply and use of fuels'!B54:B57)</f>
        <v>156663.46000000002</v>
      </c>
      <c r="C18" s="42">
        <f>SUM('Quarter supply and use of fuels'!C54:C57)</f>
        <v>159810.31</v>
      </c>
      <c r="D18" s="42">
        <f>SUM('Quarter supply and use of fuels'!D54:D57)</f>
        <v>-91082.540000000008</v>
      </c>
      <c r="E18" s="42">
        <f>SUM('Quarter supply and use of fuels'!E54:E57)</f>
        <v>-2952.1499999999996</v>
      </c>
      <c r="F18" s="43">
        <f>SUM('Quarter supply and use of fuels'!F54:F57)</f>
        <v>6293.42</v>
      </c>
      <c r="G18" s="42">
        <f>SUM('Quarter supply and use of fuels'!G54:G57)</f>
        <v>228732.49999999997</v>
      </c>
      <c r="H18" s="42">
        <f>SUM('Quarter supply and use of fuels'!H54:H57)</f>
        <v>909.15999999997439</v>
      </c>
      <c r="I18" s="42">
        <f>SUM('Quarter supply and use of fuels'!I54:I57)</f>
        <v>227823.34</v>
      </c>
      <c r="J18" s="42">
        <f>SUM('Quarter supply and use of fuels'!J54:J57)</f>
        <v>-17.100000000000023</v>
      </c>
      <c r="K18" s="42">
        <f>SUM('Quarter supply and use of fuels'!K54:K57)</f>
        <v>-50247.409999999996</v>
      </c>
      <c r="L18" s="42">
        <f>SUM('Quarter supply and use of fuels'!L54:L57)</f>
        <v>-46704.869999999995</v>
      </c>
      <c r="M18" s="42">
        <f>SUM('Quarter supply and use of fuels'!M54:M57)</f>
        <v>-1130.8900000000001</v>
      </c>
      <c r="N18" s="42">
        <f>SUM('Quarter supply and use of fuels'!N54:N57)</f>
        <v>-370.32999999999811</v>
      </c>
      <c r="O18" s="42">
        <f>SUM('Quarter supply and use of fuels'!O54:O57)</f>
        <v>-170.55000000000018</v>
      </c>
      <c r="P18" s="42">
        <f>SUM('Quarter supply and use of fuels'!P54:P57)</f>
        <v>-1828.48</v>
      </c>
      <c r="Q18" s="42">
        <f>SUM('Quarter supply and use of fuels'!Q54:Q57)</f>
        <v>-42.29</v>
      </c>
      <c r="R18" s="42">
        <f>SUM('Quarter supply and use of fuels'!R54:R57)</f>
        <v>0</v>
      </c>
      <c r="S18" s="42">
        <f>SUM('Quarter supply and use of fuels'!S54:S57)</f>
        <v>14487.92</v>
      </c>
      <c r="T18" s="42">
        <f>SUM('Quarter supply and use of fuels'!T54:T57)</f>
        <v>3536.0899999999997</v>
      </c>
      <c r="U18" s="42">
        <f>SUM('Quarter supply and use of fuels'!U54:U57)</f>
        <v>159534.83000000002</v>
      </c>
      <c r="V18" s="42">
        <f>SUM('Quarter supply and use of fuels'!V54:V57)</f>
        <v>1407</v>
      </c>
      <c r="W18" s="42">
        <f>SUM('Quarter supply and use of fuels'!W54:W57)</f>
        <v>22519.63</v>
      </c>
      <c r="X18" s="42">
        <f>SUM('Quarter supply and use of fuels'!X54:X57)</f>
        <v>55332.97</v>
      </c>
      <c r="Y18" s="42">
        <f>SUM('Quarter supply and use of fuels'!Y54:Y57)</f>
        <v>48338.62</v>
      </c>
      <c r="Z18" s="42">
        <f>SUM('Quarter supply and use of fuels'!Z54:Z57)</f>
        <v>23226.420000000002</v>
      </c>
      <c r="AA18" s="42">
        <f>SUM('Quarter supply and use of fuels'!AA54:AA57)</f>
        <v>6959.5700000000006</v>
      </c>
      <c r="AB18" s="42">
        <f>SUM('Quarter supply and use of fuels'!AB54:AB57)</f>
        <v>13156.64</v>
      </c>
      <c r="AC18" s="42">
        <f>SUM('Quarter supply and use of fuels'!AC54:AC57)</f>
        <v>1633.5500000000002</v>
      </c>
      <c r="AD18" s="42">
        <f>SUM('Quarter supply and use of fuels'!AD54:AD57)</f>
        <v>1476.6599999999999</v>
      </c>
      <c r="AE18" s="48">
        <f>SUM('Quarter supply and use of fuels'!AE54:AE57)</f>
        <v>8710.19</v>
      </c>
    </row>
    <row r="19" spans="1:31" s="39" customFormat="1" ht="15.5" x14ac:dyDescent="0.35">
      <c r="A19" s="41">
        <v>2011</v>
      </c>
      <c r="B19" s="42">
        <f>SUM('Quarter supply and use of fuels'!B58:B61)</f>
        <v>136115.34</v>
      </c>
      <c r="C19" s="42">
        <f>SUM('Quarter supply and use of fuels'!C58:C61)</f>
        <v>164301.32999999999</v>
      </c>
      <c r="D19" s="42">
        <f>SUM('Quarter supply and use of fuels'!D58:D61)</f>
        <v>-83925.069999999992</v>
      </c>
      <c r="E19" s="42">
        <f>SUM('Quarter supply and use of fuels'!E58:E61)</f>
        <v>-3154.75</v>
      </c>
      <c r="F19" s="43">
        <f>SUM('Quarter supply and use of fuels'!F58:F61)</f>
        <v>-960.4699999999998</v>
      </c>
      <c r="G19" s="42">
        <f>SUM('Quarter supply and use of fuels'!G58:G61)</f>
        <v>212376.37999999998</v>
      </c>
      <c r="H19" s="42">
        <f>SUM('Quarter supply and use of fuels'!H58:H61)</f>
        <v>-416.70999999999185</v>
      </c>
      <c r="I19" s="42">
        <f>SUM('Quarter supply and use of fuels'!I58:I61)</f>
        <v>212793.09000000003</v>
      </c>
      <c r="J19" s="42">
        <f>SUM('Quarter supply and use of fuels'!J58:J61)</f>
        <v>-38.61000000000007</v>
      </c>
      <c r="K19" s="42">
        <f>SUM('Quarter supply and use of fuels'!K58:K61)</f>
        <v>-48181.22</v>
      </c>
      <c r="L19" s="42">
        <f>SUM('Quarter supply and use of fuels'!L58:L61)</f>
        <v>-44770.200000000004</v>
      </c>
      <c r="M19" s="42">
        <f>SUM('Quarter supply and use of fuels'!M58:M61)</f>
        <v>-1155.4300000000003</v>
      </c>
      <c r="N19" s="42">
        <f>SUM('Quarter supply and use of fuels'!N58:N61)</f>
        <v>-216.61999999999898</v>
      </c>
      <c r="O19" s="42">
        <f>SUM('Quarter supply and use of fuels'!O58:O61)</f>
        <v>-244.80999999999983</v>
      </c>
      <c r="P19" s="42">
        <f>SUM('Quarter supply and use of fuels'!P58:P61)</f>
        <v>-1738.95</v>
      </c>
      <c r="Q19" s="42">
        <f>SUM('Quarter supply and use of fuels'!Q58:Q61)</f>
        <v>-55.21</v>
      </c>
      <c r="R19" s="42">
        <f>SUM('Quarter supply and use of fuels'!R58:R61)</f>
        <v>0</v>
      </c>
      <c r="S19" s="42">
        <f>SUM('Quarter supply and use of fuels'!S58:S61)</f>
        <v>13949.24</v>
      </c>
      <c r="T19" s="42">
        <f>SUM('Quarter supply and use of fuels'!T58:T61)</f>
        <v>3366.77</v>
      </c>
      <c r="U19" s="42">
        <f>SUM('Quarter supply and use of fuels'!U58:U61)</f>
        <v>147257.30000000002</v>
      </c>
      <c r="V19" s="42">
        <f>SUM('Quarter supply and use of fuels'!V58:V61)</f>
        <v>1293.3500000000001</v>
      </c>
      <c r="W19" s="42">
        <f>SUM('Quarter supply and use of fuels'!W58:W61)</f>
        <v>21736.82</v>
      </c>
      <c r="X19" s="42">
        <f>SUM('Quarter supply and use of fuels'!X58:X61)</f>
        <v>54657.79</v>
      </c>
      <c r="Y19" s="42">
        <f>SUM('Quarter supply and use of fuels'!Y58:Y61)</f>
        <v>40100.550000000003</v>
      </c>
      <c r="Z19" s="42">
        <f>SUM('Quarter supply and use of fuels'!Z58:Z61)</f>
        <v>21314.38</v>
      </c>
      <c r="AA19" s="42">
        <f>SUM('Quarter supply and use of fuels'!AA58:AA61)</f>
        <v>6022.62</v>
      </c>
      <c r="AB19" s="42">
        <f>SUM('Quarter supply and use of fuels'!AB58:AB61)</f>
        <v>12364.48</v>
      </c>
      <c r="AC19" s="42">
        <f>SUM('Quarter supply and use of fuels'!AC58:AC61)</f>
        <v>1546.04</v>
      </c>
      <c r="AD19" s="42">
        <f>SUM('Quarter supply and use of fuels'!AD58:AD61)</f>
        <v>1381.2399999999998</v>
      </c>
      <c r="AE19" s="48">
        <f>SUM('Quarter supply and use of fuels'!AE58:AE61)</f>
        <v>8154.41</v>
      </c>
    </row>
    <row r="20" spans="1:31" s="39" customFormat="1" ht="15.5" x14ac:dyDescent="0.35">
      <c r="A20" s="41">
        <v>2012</v>
      </c>
      <c r="B20" s="42">
        <f>SUM('Quarter supply and use of fuels'!B62:B65)</f>
        <v>120949.84</v>
      </c>
      <c r="C20" s="42">
        <f>SUM('Quarter supply and use of fuels'!C62:C65)</f>
        <v>176374.77</v>
      </c>
      <c r="D20" s="42">
        <f>SUM('Quarter supply and use of fuels'!D62:D65)</f>
        <v>-80194.37999999999</v>
      </c>
      <c r="E20" s="42">
        <f>SUM('Quarter supply and use of fuels'!E62:E65)</f>
        <v>-2807.71</v>
      </c>
      <c r="F20" s="43">
        <f>SUM('Quarter supply and use of fuels'!F62:F65)</f>
        <v>1612.7000000000005</v>
      </c>
      <c r="G20" s="42">
        <f>SUM('Quarter supply and use of fuels'!G62:G65)</f>
        <v>215935.22000000003</v>
      </c>
      <c r="H20" s="42">
        <f>SUM('Quarter supply and use of fuels'!H62:H65)</f>
        <v>396.37000000002445</v>
      </c>
      <c r="I20" s="42">
        <f>SUM('Quarter supply and use of fuels'!I62:I65)</f>
        <v>215538.84999999998</v>
      </c>
      <c r="J20" s="42">
        <f>SUM('Quarter supply and use of fuels'!J62:J65)</f>
        <v>-27.610000000000014</v>
      </c>
      <c r="K20" s="42">
        <f>SUM('Quarter supply and use of fuels'!K62:K65)</f>
        <v>-49174.579999999987</v>
      </c>
      <c r="L20" s="42">
        <f>SUM('Quarter supply and use of fuels'!L62:L65)</f>
        <v>-45865.71</v>
      </c>
      <c r="M20" s="42">
        <f>SUM('Quarter supply and use of fuels'!M62:M65)</f>
        <v>-1113.98</v>
      </c>
      <c r="N20" s="42">
        <f>SUM('Quarter supply and use of fuels'!N62:N65)</f>
        <v>-51.879999999997381</v>
      </c>
      <c r="O20" s="42">
        <f>SUM('Quarter supply and use of fuels'!O62:O65)</f>
        <v>-267.84999999999991</v>
      </c>
      <c r="P20" s="42">
        <f>SUM('Quarter supply and use of fuels'!P62:P65)</f>
        <v>-1855.99</v>
      </c>
      <c r="Q20" s="42">
        <f>SUM('Quarter supply and use of fuels'!Q62:Q65)</f>
        <v>-19.170000000000005</v>
      </c>
      <c r="R20" s="42">
        <f>SUM('Quarter supply and use of fuels'!R62:R65)</f>
        <v>0</v>
      </c>
      <c r="S20" s="42">
        <f>SUM('Quarter supply and use of fuels'!S62:S65)</f>
        <v>13127.54</v>
      </c>
      <c r="T20" s="42">
        <f>SUM('Quarter supply and use of fuels'!T62:T65)</f>
        <v>3251.62</v>
      </c>
      <c r="U20" s="42">
        <f>SUM('Quarter supply and use of fuels'!U62:U65)</f>
        <v>149957.5</v>
      </c>
      <c r="V20" s="42">
        <f>SUM('Quarter supply and use of fuels'!V62:V65)</f>
        <v>1211.8200000000002</v>
      </c>
      <c r="W20" s="42">
        <f>SUM('Quarter supply and use of fuels'!W62:W65)</f>
        <v>21204.949999999997</v>
      </c>
      <c r="X20" s="42">
        <f>SUM('Quarter supply and use of fuels'!X62:X65)</f>
        <v>54089.08</v>
      </c>
      <c r="Y20" s="42">
        <f>SUM('Quarter supply and use of fuels'!Y62:Y65)</f>
        <v>43411.630000000005</v>
      </c>
      <c r="Z20" s="42">
        <f>SUM('Quarter supply and use of fuels'!Z62:Z65)</f>
        <v>22720.48</v>
      </c>
      <c r="AA20" s="42">
        <f>SUM('Quarter supply and use of fuels'!AA62:AA65)</f>
        <v>6579.3799999999992</v>
      </c>
      <c r="AB20" s="42">
        <f>SUM('Quarter supply and use of fuels'!AB62:AB65)</f>
        <v>13051.779999999999</v>
      </c>
      <c r="AC20" s="42">
        <f>SUM('Quarter supply and use of fuels'!AC62:AC65)</f>
        <v>1563.35</v>
      </c>
      <c r="AD20" s="42">
        <f>SUM('Quarter supply and use of fuels'!AD62:AD65)</f>
        <v>1525.97</v>
      </c>
      <c r="AE20" s="48">
        <f>SUM('Quarter supply and use of fuels'!AE62:AE65)</f>
        <v>7319.5399999999991</v>
      </c>
    </row>
    <row r="21" spans="1:31" s="39" customFormat="1" ht="15.5" x14ac:dyDescent="0.35">
      <c r="A21" s="41">
        <v>2013</v>
      </c>
      <c r="B21" s="42">
        <f>SUM('Quarter supply and use of fuels'!B66:B69)</f>
        <v>113383.22</v>
      </c>
      <c r="C21" s="42">
        <f>SUM('Quarter supply and use of fuels'!C66:C69)</f>
        <v>180700.6</v>
      </c>
      <c r="D21" s="42">
        <f>SUM('Quarter supply and use of fuels'!D66:D69)</f>
        <v>-75967.26999999999</v>
      </c>
      <c r="E21" s="42">
        <f>SUM('Quarter supply and use of fuels'!E66:E69)</f>
        <v>-2882.97</v>
      </c>
      <c r="F21" s="43">
        <f>SUM('Quarter supply and use of fuels'!F66:F69)</f>
        <v>-814.28</v>
      </c>
      <c r="G21" s="42">
        <f>SUM('Quarter supply and use of fuels'!G66:G69)</f>
        <v>214419.3</v>
      </c>
      <c r="H21" s="42">
        <f>SUM('Quarter supply and use of fuels'!H66:H69)</f>
        <v>-235.52000000001135</v>
      </c>
      <c r="I21" s="42">
        <f>SUM('Quarter supply and use of fuels'!I66:I69)</f>
        <v>214654.82</v>
      </c>
      <c r="J21" s="42">
        <f>SUM('Quarter supply and use of fuels'!J66:J69)</f>
        <v>-7.7300000000002456</v>
      </c>
      <c r="K21" s="42">
        <f>SUM('Quarter supply and use of fuels'!K66:K69)</f>
        <v>-47911.62999999999</v>
      </c>
      <c r="L21" s="42">
        <f>SUM('Quarter supply and use of fuels'!L66:L69)</f>
        <v>-44001.99</v>
      </c>
      <c r="M21" s="42">
        <f>SUM('Quarter supply and use of fuels'!M66:M69)</f>
        <v>-1103.48</v>
      </c>
      <c r="N21" s="42">
        <f>SUM('Quarter supply and use of fuels'!N66:N69)</f>
        <v>104.7300000000032</v>
      </c>
      <c r="O21" s="42">
        <f>SUM('Quarter supply and use of fuels'!O66:O69)</f>
        <v>-445.86000000000013</v>
      </c>
      <c r="P21" s="42">
        <f>SUM('Quarter supply and use of fuels'!P66:P69)</f>
        <v>-2376.1000000000004</v>
      </c>
      <c r="Q21" s="42">
        <f>SUM('Quarter supply and use of fuels'!Q66:Q69)</f>
        <v>-39.649999999999991</v>
      </c>
      <c r="R21" s="42">
        <f>SUM('Quarter supply and use of fuels'!R66:R69)</f>
        <v>-49.279999999999973</v>
      </c>
      <c r="S21" s="42">
        <f>SUM('Quarter supply and use of fuels'!S66:S69)</f>
        <v>12479.64</v>
      </c>
      <c r="T21" s="42">
        <f>SUM('Quarter supply and use of fuels'!T66:T69)</f>
        <v>3236.4900000000002</v>
      </c>
      <c r="U21" s="42">
        <f>SUM('Quarter supply and use of fuels'!U66:U69)</f>
        <v>151019.32</v>
      </c>
      <c r="V21" s="42">
        <f>SUM('Quarter supply and use of fuels'!V66:V69)</f>
        <v>1363.17</v>
      </c>
      <c r="W21" s="42">
        <f>SUM('Quarter supply and use of fuels'!W66:W69)</f>
        <v>21705.439999999999</v>
      </c>
      <c r="X21" s="42">
        <f>SUM('Quarter supply and use of fuels'!X66:X69)</f>
        <v>53971.489999999991</v>
      </c>
      <c r="Y21" s="42">
        <f>SUM('Quarter supply and use of fuels'!Y66:Y69)</f>
        <v>43671.81</v>
      </c>
      <c r="Z21" s="42">
        <f>SUM('Quarter supply and use of fuels'!Z66:Z69)</f>
        <v>23336.899999999998</v>
      </c>
      <c r="AA21" s="42">
        <f>SUM('Quarter supply and use of fuels'!AA66:AA69)</f>
        <v>6727.68</v>
      </c>
      <c r="AB21" s="42">
        <f>SUM('Quarter supply and use of fuels'!AB66:AB69)</f>
        <v>13317.68</v>
      </c>
      <c r="AC21" s="42">
        <f>SUM('Quarter supply and use of fuels'!AC66:AC69)</f>
        <v>1725.54</v>
      </c>
      <c r="AD21" s="42">
        <f>SUM('Quarter supply and use of fuels'!AD66:AD69)</f>
        <v>1566</v>
      </c>
      <c r="AE21" s="48">
        <f>SUM('Quarter supply and use of fuels'!AE66:AE69)</f>
        <v>6970.51</v>
      </c>
    </row>
    <row r="22" spans="1:31" s="39" customFormat="1" ht="15.5" x14ac:dyDescent="0.35">
      <c r="A22" s="41">
        <v>2014</v>
      </c>
      <c r="B22" s="42">
        <f>SUM('Quarter supply and use of fuels'!B70:B73)</f>
        <v>112078.68000000001</v>
      </c>
      <c r="C22" s="42">
        <f>SUM('Quarter supply and use of fuels'!C70:C73)</f>
        <v>166707.31</v>
      </c>
      <c r="D22" s="42">
        <f>SUM('Quarter supply and use of fuels'!D70:D73)</f>
        <v>-70657.83</v>
      </c>
      <c r="E22" s="42">
        <f>SUM('Quarter supply and use of fuels'!E70:E73)</f>
        <v>-2810.17</v>
      </c>
      <c r="F22" s="43">
        <f>SUM('Quarter supply and use of fuels'!F70:F73)</f>
        <v>-3968.3</v>
      </c>
      <c r="G22" s="42">
        <f>SUM('Quarter supply and use of fuels'!G70:G73)</f>
        <v>201349.69</v>
      </c>
      <c r="H22" s="42">
        <f>SUM('Quarter supply and use of fuels'!H70:H73)</f>
        <v>-607.41999999999098</v>
      </c>
      <c r="I22" s="42">
        <f>SUM('Quarter supply and use of fuels'!I70:I73)</f>
        <v>201957.11</v>
      </c>
      <c r="J22" s="42">
        <f>SUM('Quarter supply and use of fuels'!J70:J73)</f>
        <v>-0.51000000000010459</v>
      </c>
      <c r="K22" s="42">
        <f>SUM('Quarter supply and use of fuels'!K70:K73)</f>
        <v>-43795.05999999999</v>
      </c>
      <c r="L22" s="42">
        <f>SUM('Quarter supply and use of fuels'!L70:L73)</f>
        <v>-39564.14</v>
      </c>
      <c r="M22" s="42">
        <f>SUM('Quarter supply and use of fuels'!M70:M73)</f>
        <v>-1108.4900000000002</v>
      </c>
      <c r="N22" s="42">
        <f>SUM('Quarter supply and use of fuels'!N70:N73)</f>
        <v>-299.76999999999316</v>
      </c>
      <c r="O22" s="42">
        <f>SUM('Quarter supply and use of fuels'!O70:O73)</f>
        <v>-333.85</v>
      </c>
      <c r="P22" s="42">
        <f>SUM('Quarter supply and use of fuels'!P70:P73)</f>
        <v>-2379.04</v>
      </c>
      <c r="Q22" s="42">
        <f>SUM('Quarter supply and use of fuels'!Q70:Q73)</f>
        <v>-65.949999999999989</v>
      </c>
      <c r="R22" s="42">
        <f>SUM('Quarter supply and use of fuels'!R70:R73)</f>
        <v>-43.819999999999993</v>
      </c>
      <c r="S22" s="42">
        <f>SUM('Quarter supply and use of fuels'!S70:S73)</f>
        <v>11889.45</v>
      </c>
      <c r="T22" s="42">
        <f>SUM('Quarter supply and use of fuels'!T70:T73)</f>
        <v>3257.78</v>
      </c>
      <c r="U22" s="42">
        <f>SUM('Quarter supply and use of fuels'!U70:U73)</f>
        <v>143014.31000000003</v>
      </c>
      <c r="V22" s="42">
        <f>SUM('Quarter supply and use of fuels'!V70:V73)</f>
        <v>1373.02</v>
      </c>
      <c r="W22" s="42">
        <f>SUM('Quarter supply and use of fuels'!W70:W73)</f>
        <v>20887.53</v>
      </c>
      <c r="X22" s="42">
        <f>SUM('Quarter supply and use of fuels'!X70:X73)</f>
        <v>54618.46</v>
      </c>
      <c r="Y22" s="42">
        <f>SUM('Quarter supply and use of fuels'!Y70:Y73)</f>
        <v>37544.19</v>
      </c>
      <c r="Z22" s="42">
        <f>SUM('Quarter supply and use of fuels'!Z70:Z73)</f>
        <v>21612.190000000002</v>
      </c>
      <c r="AA22" s="42">
        <f>SUM('Quarter supply and use of fuels'!AA70:AA73)</f>
        <v>6075.52</v>
      </c>
      <c r="AB22" s="42">
        <f>SUM('Quarter supply and use of fuels'!AB70:AB73)</f>
        <v>12350.28</v>
      </c>
      <c r="AC22" s="42">
        <f>SUM('Quarter supply and use of fuels'!AC70:AC73)</f>
        <v>1828.2800000000002</v>
      </c>
      <c r="AD22" s="42">
        <f>SUM('Quarter supply and use of fuels'!AD70:AD73)</f>
        <v>1358.1099999999997</v>
      </c>
      <c r="AE22" s="48">
        <f>SUM('Quarter supply and use of fuels'!AE70:AE73)</f>
        <v>6978.92</v>
      </c>
    </row>
    <row r="23" spans="1:31" s="39" customFormat="1" ht="15.5" x14ac:dyDescent="0.35">
      <c r="A23" s="41">
        <v>2015</v>
      </c>
      <c r="B23" s="42">
        <f>SUM('Quarter supply and use of fuels'!B74:B77)</f>
        <v>122997.75</v>
      </c>
      <c r="C23" s="42">
        <f>SUM('Quarter supply and use of fuels'!C74:C77)</f>
        <v>155008.02000000002</v>
      </c>
      <c r="D23" s="42">
        <f>SUM('Quarter supply and use of fuels'!D74:D77)</f>
        <v>-76202.069999999992</v>
      </c>
      <c r="E23" s="42">
        <f>SUM('Quarter supply and use of fuels'!E74:E77)</f>
        <v>-2683.59</v>
      </c>
      <c r="F23" s="43">
        <f>SUM('Quarter supply and use of fuels'!F74:F77)</f>
        <v>3915.26</v>
      </c>
      <c r="G23" s="42">
        <f>SUM('Quarter supply and use of fuels'!G74:G77)</f>
        <v>203035.37</v>
      </c>
      <c r="H23" s="42">
        <f>SUM('Quarter supply and use of fuels'!H74:H77)</f>
        <v>49.810000000012224</v>
      </c>
      <c r="I23" s="42">
        <f>SUM('Quarter supply and use of fuels'!I74:I77)</f>
        <v>202985.56</v>
      </c>
      <c r="J23" s="42">
        <f>SUM('Quarter supply and use of fuels'!J74:J77)</f>
        <v>240.06999999999994</v>
      </c>
      <c r="K23" s="42">
        <f>SUM('Quarter supply and use of fuels'!K74:K77)</f>
        <v>-41428.99</v>
      </c>
      <c r="L23" s="42">
        <f>SUM('Quarter supply and use of fuels'!L74:L77)</f>
        <v>-37534.769999999997</v>
      </c>
      <c r="M23" s="42">
        <f>SUM('Quarter supply and use of fuels'!M74:M77)</f>
        <v>-1151.55</v>
      </c>
      <c r="N23" s="42">
        <f>SUM('Quarter supply and use of fuels'!N74:N77)</f>
        <v>-201.59999999999854</v>
      </c>
      <c r="O23" s="42">
        <f>SUM('Quarter supply and use of fuels'!O74:O77)</f>
        <v>-151.54999999999995</v>
      </c>
      <c r="P23" s="42">
        <f>SUM('Quarter supply and use of fuels'!P74:P77)</f>
        <v>-2277.0699999999997</v>
      </c>
      <c r="Q23" s="42">
        <f>SUM('Quarter supply and use of fuels'!Q74:Q77)</f>
        <v>-68.33</v>
      </c>
      <c r="R23" s="42">
        <f>SUM('Quarter supply and use of fuels'!R74:R77)</f>
        <v>-44.119999999999976</v>
      </c>
      <c r="S23" s="42">
        <f>SUM('Quarter supply and use of fuels'!S74:S77)</f>
        <v>12477.41</v>
      </c>
      <c r="T23" s="42">
        <f>SUM('Quarter supply and use of fuels'!T74:T77)</f>
        <v>3290.62</v>
      </c>
      <c r="U23" s="42">
        <f>SUM('Quarter supply and use of fuels'!U74:U77)</f>
        <v>146028.60999999999</v>
      </c>
      <c r="V23" s="42">
        <f>SUM('Quarter supply and use of fuels'!V74:V77)</f>
        <v>1323.6399999999999</v>
      </c>
      <c r="W23" s="42">
        <f>SUM('Quarter supply and use of fuels'!W74:W77)</f>
        <v>20984.079999999998</v>
      </c>
      <c r="X23" s="42">
        <f>SUM('Quarter supply and use of fuels'!X74:X77)</f>
        <v>54617.320000000007</v>
      </c>
      <c r="Y23" s="42">
        <f>SUM('Quarter supply and use of fuels'!Y74:Y77)</f>
        <v>39026.589999999997</v>
      </c>
      <c r="Z23" s="42">
        <f>SUM('Quarter supply and use of fuels'!Z74:Z77)</f>
        <v>21748.36</v>
      </c>
      <c r="AA23" s="42">
        <f>SUM('Quarter supply and use of fuels'!AA74:AA77)</f>
        <v>5874.45</v>
      </c>
      <c r="AB23" s="42">
        <f>SUM('Quarter supply and use of fuels'!AB74:AB77)</f>
        <v>12958</v>
      </c>
      <c r="AC23" s="42">
        <f>SUM('Quarter supply and use of fuels'!AC74:AC77)</f>
        <v>1511.86</v>
      </c>
      <c r="AD23" s="42">
        <f>SUM('Quarter supply and use of fuels'!AD74:AD77)</f>
        <v>1404.0500000000002</v>
      </c>
      <c r="AE23" s="48">
        <f>SUM('Quarter supply and use of fuels'!AE74:AE77)</f>
        <v>8328.619999999999</v>
      </c>
    </row>
    <row r="24" spans="1:31" s="39" customFormat="1" ht="15.5" x14ac:dyDescent="0.35">
      <c r="A24" s="41">
        <v>2016</v>
      </c>
      <c r="B24" s="42">
        <f>SUM('Quarter supply and use of fuels'!B78:B81)</f>
        <v>124697.39</v>
      </c>
      <c r="C24" s="42">
        <f>SUM('Quarter supply and use of fuels'!C78:C81)</f>
        <v>149103.79</v>
      </c>
      <c r="D24" s="42">
        <f>SUM('Quarter supply and use of fuels'!D78:D81)</f>
        <v>-75914.92</v>
      </c>
      <c r="E24" s="42">
        <f>SUM('Quarter supply and use of fuels'!E78:E81)</f>
        <v>-2840.4500000000003</v>
      </c>
      <c r="F24" s="43">
        <f>SUM('Quarter supply and use of fuels'!F78:F81)</f>
        <v>4693.329999999999</v>
      </c>
      <c r="G24" s="42">
        <f>SUM('Quarter supply and use of fuels'!G78:G81)</f>
        <v>199739.13999999998</v>
      </c>
      <c r="H24" s="42">
        <f>SUM('Quarter supply and use of fuels'!H78:H81)</f>
        <v>-371.86000000000058</v>
      </c>
      <c r="I24" s="42">
        <f>SUM('Quarter supply and use of fuels'!I78:I81)</f>
        <v>200111</v>
      </c>
      <c r="J24" s="42">
        <f>SUM('Quarter supply and use of fuels'!J78:J81)</f>
        <v>47.329999999999927</v>
      </c>
      <c r="K24" s="42">
        <f>SUM('Quarter supply and use of fuels'!K78:K81)</f>
        <v>-37542.129999999997</v>
      </c>
      <c r="L24" s="42">
        <f>SUM('Quarter supply and use of fuels'!L78:L81)</f>
        <v>-34360.61</v>
      </c>
      <c r="M24" s="42">
        <f>SUM('Quarter supply and use of fuels'!M78:M81)</f>
        <v>-1211.5</v>
      </c>
      <c r="N24" s="42">
        <f>SUM('Quarter supply and use of fuels'!N78:N81)</f>
        <v>-87.320000000001528</v>
      </c>
      <c r="O24" s="42">
        <f>SUM('Quarter supply and use of fuels'!O78:O81)</f>
        <v>-81.160000000000025</v>
      </c>
      <c r="P24" s="42">
        <f>SUM('Quarter supply and use of fuels'!P78:P81)</f>
        <v>-1692.26</v>
      </c>
      <c r="Q24" s="42">
        <f>SUM('Quarter supply and use of fuels'!Q78:Q81)</f>
        <v>-63.61</v>
      </c>
      <c r="R24" s="42">
        <f>SUM('Quarter supply and use of fuels'!R78:R81)</f>
        <v>-45.67</v>
      </c>
      <c r="S24" s="42">
        <f>SUM('Quarter supply and use of fuels'!S78:S81)</f>
        <v>12052.060000000001</v>
      </c>
      <c r="T24" s="42">
        <f>SUM('Quarter supply and use of fuels'!T78:T81)</f>
        <v>2800.89</v>
      </c>
      <c r="U24" s="42">
        <f>SUM('Quarter supply and use of fuels'!U78:U81)</f>
        <v>147763.24</v>
      </c>
      <c r="V24" s="42">
        <f>SUM('Quarter supply and use of fuels'!V78:V81)</f>
        <v>984.45</v>
      </c>
      <c r="W24" s="42">
        <f>SUM('Quarter supply and use of fuels'!W78:W81)</f>
        <v>20934.019999999997</v>
      </c>
      <c r="X24" s="42">
        <f>SUM('Quarter supply and use of fuels'!X78:X81)</f>
        <v>56085.600000000006</v>
      </c>
      <c r="Y24" s="42">
        <f>SUM('Quarter supply and use of fuels'!Y78:Y81)</f>
        <v>39528.43</v>
      </c>
      <c r="Z24" s="42">
        <f>SUM('Quarter supply and use of fuels'!Z78:Z81)</f>
        <v>21899.4</v>
      </c>
      <c r="AA24" s="42">
        <f>SUM('Quarter supply and use of fuels'!AA78:AA81)</f>
        <v>5918.94</v>
      </c>
      <c r="AB24" s="42">
        <f>SUM('Quarter supply and use of fuels'!AB78:AB81)</f>
        <v>12992.69</v>
      </c>
      <c r="AC24" s="42">
        <f>SUM('Quarter supply and use of fuels'!AC78:AC81)</f>
        <v>1536.42</v>
      </c>
      <c r="AD24" s="42">
        <f>SUM('Quarter supply and use of fuels'!AD78:AD81)</f>
        <v>1451.35</v>
      </c>
      <c r="AE24" s="48">
        <f>SUM('Quarter supply and use of fuels'!AE78:AE81)</f>
        <v>8331.34</v>
      </c>
    </row>
    <row r="25" spans="1:31" s="39" customFormat="1" ht="15.5" x14ac:dyDescent="0.35">
      <c r="A25" s="41">
        <v>2017</v>
      </c>
      <c r="B25" s="42">
        <f>SUM('Quarter supply and use of fuels'!B82:B85)</f>
        <v>125170.85999999999</v>
      </c>
      <c r="C25" s="42">
        <f>SUM('Quarter supply and use of fuels'!C82:C85)</f>
        <v>152276.37</v>
      </c>
      <c r="D25" s="42">
        <f>SUM('Quarter supply and use of fuels'!D82:D85)</f>
        <v>-79240.289999999994</v>
      </c>
      <c r="E25" s="42">
        <f>SUM('Quarter supply and use of fuels'!E82:E85)</f>
        <v>-2618.67</v>
      </c>
      <c r="F25" s="43">
        <f>SUM('Quarter supply and use of fuels'!F82:F85)</f>
        <v>3682.25</v>
      </c>
      <c r="G25" s="42">
        <f>SUM('Quarter supply and use of fuels'!G82:G85)</f>
        <v>199270.52000000002</v>
      </c>
      <c r="H25" s="42">
        <f>SUM('Quarter supply and use of fuels'!H82:H85)</f>
        <v>439.16999999999825</v>
      </c>
      <c r="I25" s="42">
        <f>SUM('Quarter supply and use of fuels'!I82:I85)</f>
        <v>198831.34999999998</v>
      </c>
      <c r="J25" s="42">
        <f>SUM('Quarter supply and use of fuels'!J82:J85)</f>
        <v>10.639999999999873</v>
      </c>
      <c r="K25" s="42">
        <f>SUM('Quarter supply and use of fuels'!K82:K85)</f>
        <v>-35571.53</v>
      </c>
      <c r="L25" s="42">
        <f>SUM('Quarter supply and use of fuels'!L82:L85)</f>
        <v>-32657.200000000001</v>
      </c>
      <c r="M25" s="42">
        <f>SUM('Quarter supply and use of fuels'!M82:M85)</f>
        <v>-1007.8399999999998</v>
      </c>
      <c r="N25" s="42">
        <f>SUM('Quarter supply and use of fuels'!N82:N85)</f>
        <v>-149.08000000000175</v>
      </c>
      <c r="O25" s="42">
        <f>SUM('Quarter supply and use of fuels'!O82:O85)</f>
        <v>-84.080000000000041</v>
      </c>
      <c r="P25" s="42">
        <f>SUM('Quarter supply and use of fuels'!P82:P85)</f>
        <v>-1585.1899999999998</v>
      </c>
      <c r="Q25" s="42">
        <f>SUM('Quarter supply and use of fuels'!Q82:Q85)</f>
        <v>-54.459999999999994</v>
      </c>
      <c r="R25" s="42">
        <f>SUM('Quarter supply and use of fuels'!R82:R85)</f>
        <v>-33.680000000000021</v>
      </c>
      <c r="S25" s="42">
        <f>SUM('Quarter supply and use of fuels'!S82:S85)</f>
        <v>12066.449999999999</v>
      </c>
      <c r="T25" s="42">
        <f>SUM('Quarter supply and use of fuels'!T82:T85)</f>
        <v>2842.9300000000003</v>
      </c>
      <c r="U25" s="42">
        <f>SUM('Quarter supply and use of fuels'!U82:U85)</f>
        <v>148361.10999999999</v>
      </c>
      <c r="V25" s="42">
        <f>SUM('Quarter supply and use of fuels'!V82:V85)</f>
        <v>933.98000000000013</v>
      </c>
      <c r="W25" s="42">
        <f>SUM('Quarter supply and use of fuels'!W82:W85)</f>
        <v>20969.39</v>
      </c>
      <c r="X25" s="42">
        <f>SUM('Quarter supply and use of fuels'!X82:X85)</f>
        <v>57453.070000000007</v>
      </c>
      <c r="Y25" s="42">
        <f>SUM('Quarter supply and use of fuels'!Y82:Y85)</f>
        <v>38618.730000000003</v>
      </c>
      <c r="Z25" s="42">
        <f>SUM('Quarter supply and use of fuels'!Z82:Z85)</f>
        <v>21811.72</v>
      </c>
      <c r="AA25" s="42">
        <f>SUM('Quarter supply and use of fuels'!AA82:AA85)</f>
        <v>5916.08</v>
      </c>
      <c r="AB25" s="42">
        <f>SUM('Quarter supply and use of fuels'!AB82:AB85)</f>
        <v>12975.859999999999</v>
      </c>
      <c r="AC25" s="42">
        <f>SUM('Quarter supply and use of fuels'!AC82:AC85)</f>
        <v>1505.8600000000001</v>
      </c>
      <c r="AD25" s="42">
        <f>SUM('Quarter supply and use of fuels'!AD82:AD85)</f>
        <v>1413.9199999999998</v>
      </c>
      <c r="AE25" s="48">
        <f>SUM('Quarter supply and use of fuels'!AE82:AE85)</f>
        <v>8574.2200000000012</v>
      </c>
    </row>
    <row r="26" spans="1:31" s="39" customFormat="1" ht="15.5" x14ac:dyDescent="0.35">
      <c r="A26" s="41">
        <v>2018</v>
      </c>
      <c r="B26" s="42">
        <f>SUM('Quarter supply and use of fuels'!B86:B89)</f>
        <v>129168.57</v>
      </c>
      <c r="C26" s="42">
        <f>SUM('Quarter supply and use of fuels'!C86:C89)</f>
        <v>153795.13</v>
      </c>
      <c r="D26" s="42">
        <f>SUM('Quarter supply and use of fuels'!D86:D89)</f>
        <v>-81263.03</v>
      </c>
      <c r="E26" s="42">
        <f>SUM('Quarter supply and use of fuels'!E86:E89)</f>
        <v>-2615.4499999999998</v>
      </c>
      <c r="F26" s="43">
        <f>SUM('Quarter supply and use of fuels'!F86:F89)</f>
        <v>-302.67999999999955</v>
      </c>
      <c r="G26" s="42">
        <f>SUM('Quarter supply and use of fuels'!G86:G89)</f>
        <v>198782.54</v>
      </c>
      <c r="H26" s="42">
        <f>SUM('Quarter supply and use of fuels'!H86:H89)</f>
        <v>229.8500000000131</v>
      </c>
      <c r="I26" s="42">
        <f>SUM('Quarter supply and use of fuels'!I86:I89)</f>
        <v>198552.69</v>
      </c>
      <c r="J26" s="42">
        <f>SUM('Quarter supply and use of fuels'!J86:J89)</f>
        <v>-17.279999999999973</v>
      </c>
      <c r="K26" s="42">
        <f>SUM('Quarter supply and use of fuels'!K86:K89)</f>
        <v>-34038.580000000009</v>
      </c>
      <c r="L26" s="42">
        <f>SUM('Quarter supply and use of fuels'!L86:L89)</f>
        <v>-31130.73</v>
      </c>
      <c r="M26" s="42">
        <f>SUM('Quarter supply and use of fuels'!M86:M89)</f>
        <v>-1158.77</v>
      </c>
      <c r="N26" s="42">
        <f>SUM('Quarter supply and use of fuels'!N86:N89)</f>
        <v>-151.10000000000036</v>
      </c>
      <c r="O26" s="42">
        <f>SUM('Quarter supply and use of fuels'!O86:O89)</f>
        <v>-84.479999999999905</v>
      </c>
      <c r="P26" s="42">
        <f>SUM('Quarter supply and use of fuels'!P86:P89)</f>
        <v>-1431.5500000000002</v>
      </c>
      <c r="Q26" s="42">
        <f>SUM('Quarter supply and use of fuels'!Q86:Q89)</f>
        <v>-47.750000000000007</v>
      </c>
      <c r="R26" s="42">
        <f>SUM('Quarter supply and use of fuels'!R86:R89)</f>
        <v>-34.200000000000003</v>
      </c>
      <c r="S26" s="42">
        <f>SUM('Quarter supply and use of fuels'!S86:S89)</f>
        <v>11968.13</v>
      </c>
      <c r="T26" s="42">
        <f>SUM('Quarter supply and use of fuels'!T86:T89)</f>
        <v>2774.9500000000003</v>
      </c>
      <c r="U26" s="42">
        <f>SUM('Quarter supply and use of fuels'!U86:U89)</f>
        <v>149753.77999999997</v>
      </c>
      <c r="V26" s="42">
        <f>SUM('Quarter supply and use of fuels'!V86:V89)</f>
        <v>894.23</v>
      </c>
      <c r="W26" s="42">
        <f>SUM('Quarter supply and use of fuels'!W86:W89)</f>
        <v>21577.99</v>
      </c>
      <c r="X26" s="42">
        <f>SUM('Quarter supply and use of fuels'!X86:X89)</f>
        <v>57251.01</v>
      </c>
      <c r="Y26" s="42">
        <f>SUM('Quarter supply and use of fuels'!Y86:Y89)</f>
        <v>39430.31</v>
      </c>
      <c r="Z26" s="42">
        <f>SUM('Quarter supply and use of fuels'!Z86:Z89)</f>
        <v>22344.199999999997</v>
      </c>
      <c r="AA26" s="42">
        <f>SUM('Quarter supply and use of fuels'!AA86:AA89)</f>
        <v>5977.69</v>
      </c>
      <c r="AB26" s="42">
        <f>SUM('Quarter supply and use of fuels'!AB86:AB89)</f>
        <v>13357.81</v>
      </c>
      <c r="AC26" s="42">
        <f>SUM('Quarter supply and use of fuels'!AC86:AC89)</f>
        <v>1542.7400000000002</v>
      </c>
      <c r="AD26" s="42">
        <f>SUM('Quarter supply and use of fuels'!AD86:AD89)</f>
        <v>1465.96</v>
      </c>
      <c r="AE26" s="48">
        <f>SUM('Quarter supply and use of fuels'!AE86:AE89)</f>
        <v>8256.0400000000009</v>
      </c>
    </row>
    <row r="27" spans="1:31" s="39" customFormat="1" ht="15.5" x14ac:dyDescent="0.35">
      <c r="A27" s="41">
        <v>2019</v>
      </c>
      <c r="B27" s="42">
        <f>SUM('Quarter supply and use of fuels'!B90:B93)</f>
        <v>127692.96</v>
      </c>
      <c r="C27" s="42">
        <f>SUM('Quarter supply and use of fuels'!C90:C93)</f>
        <v>146935.31</v>
      </c>
      <c r="D27" s="42">
        <f>SUM('Quarter supply and use of fuels'!D90:D93)</f>
        <v>-80764.28</v>
      </c>
      <c r="E27" s="42">
        <f>SUM('Quarter supply and use of fuels'!E90:E93)</f>
        <v>-2436.7800000000002</v>
      </c>
      <c r="F27" s="43">
        <f>SUM('Quarter supply and use of fuels'!F90:F93)</f>
        <v>-275.80999999999972</v>
      </c>
      <c r="G27" s="42">
        <f>SUM('Quarter supply and use of fuels'!G90:G93)</f>
        <v>191151.40000000002</v>
      </c>
      <c r="H27" s="42">
        <f>SUM('Quarter supply and use of fuels'!H90:H93)</f>
        <v>-892.91999999999825</v>
      </c>
      <c r="I27" s="42">
        <f>SUM('Quarter supply and use of fuels'!I90:I93)</f>
        <v>192044.32</v>
      </c>
      <c r="J27" s="42">
        <f>SUM('Quarter supply and use of fuels'!J90:J93)</f>
        <v>23.629999999999882</v>
      </c>
      <c r="K27" s="42">
        <f>SUM('Quarter supply and use of fuels'!K90:K93)</f>
        <v>-30718.840000000004</v>
      </c>
      <c r="L27" s="42">
        <f>SUM('Quarter supply and use of fuels'!L90:L93)</f>
        <v>-27812.09</v>
      </c>
      <c r="M27" s="42">
        <f>SUM('Quarter supply and use of fuels'!M90:M93)</f>
        <v>-1051.08</v>
      </c>
      <c r="N27" s="42">
        <f>SUM('Quarter supply and use of fuels'!N90:N93)</f>
        <v>-211.61000000000058</v>
      </c>
      <c r="O27" s="42">
        <f>SUM('Quarter supply and use of fuels'!O90:O93)</f>
        <v>-82.820000000000107</v>
      </c>
      <c r="P27" s="42">
        <f>SUM('Quarter supply and use of fuels'!P90:P93)</f>
        <v>-1508.37</v>
      </c>
      <c r="Q27" s="42">
        <f>SUM('Quarter supply and use of fuels'!Q90:Q93)</f>
        <v>-13.79</v>
      </c>
      <c r="R27" s="42">
        <f>SUM('Quarter supply and use of fuels'!R90:R93)</f>
        <v>-39.080000000000013</v>
      </c>
      <c r="S27" s="42">
        <f>SUM('Quarter supply and use of fuels'!S90:S93)</f>
        <v>12288.130000000001</v>
      </c>
      <c r="T27" s="42">
        <f>SUM('Quarter supply and use of fuels'!T90:T93)</f>
        <v>2735.27</v>
      </c>
      <c r="U27" s="42">
        <f>SUM('Quarter supply and use of fuels'!U90:U93)</f>
        <v>146325.69999999998</v>
      </c>
      <c r="V27" s="42">
        <f>SUM('Quarter supply and use of fuels'!V90:V93)</f>
        <v>1006.38</v>
      </c>
      <c r="W27" s="42">
        <f>SUM('Quarter supply and use of fuels'!W90:W93)</f>
        <v>21267.64</v>
      </c>
      <c r="X27" s="42">
        <f>SUM('Quarter supply and use of fuels'!X90:X93)</f>
        <v>56275.12000000001</v>
      </c>
      <c r="Y27" s="42">
        <f>SUM('Quarter supply and use of fuels'!Y90:Y93)</f>
        <v>38338.76</v>
      </c>
      <c r="Z27" s="42">
        <f>SUM('Quarter supply and use of fuels'!Z90:Z93)</f>
        <v>22152.29</v>
      </c>
      <c r="AA27" s="42">
        <f>SUM('Quarter supply and use of fuels'!AA90:AA93)</f>
        <v>5900.8799999999992</v>
      </c>
      <c r="AB27" s="42">
        <f>SUM('Quarter supply and use of fuels'!AB90:AB93)</f>
        <v>13237.1</v>
      </c>
      <c r="AC27" s="42">
        <f>SUM('Quarter supply and use of fuels'!AC90:AC93)</f>
        <v>1581.87</v>
      </c>
      <c r="AD27" s="42">
        <f>SUM('Quarter supply and use of fuels'!AD90:AD93)</f>
        <v>1432.4399999999998</v>
      </c>
      <c r="AE27" s="48">
        <f>SUM('Quarter supply and use of fuels'!AE90:AE93)</f>
        <v>7285.51</v>
      </c>
    </row>
    <row r="28" spans="1:31" s="39" customFormat="1" ht="15.5" x14ac:dyDescent="0.35">
      <c r="A28" s="41">
        <v>2020</v>
      </c>
      <c r="B28" s="42">
        <f>SUM('Quarter supply and use of fuels'!B94:B97)</f>
        <v>123636.81999999999</v>
      </c>
      <c r="C28" s="42">
        <f>SUM('Quarter supply and use of fuels'!C94:C97)</f>
        <v>123976.45999999999</v>
      </c>
      <c r="D28" s="42">
        <f>SUM('Quarter supply and use of fuels'!D94:D97)</f>
        <v>-74676.290000000008</v>
      </c>
      <c r="E28" s="42">
        <f>SUM('Quarter supply and use of fuels'!E94:E97)</f>
        <v>-2009.57</v>
      </c>
      <c r="F28" s="43">
        <f>SUM('Quarter supply and use of fuels'!F94:F97)</f>
        <v>828.01999999999975</v>
      </c>
      <c r="G28" s="42">
        <f>SUM('Quarter supply and use of fuels'!G94:G97)</f>
        <v>171755.44</v>
      </c>
      <c r="H28" s="42">
        <f>SUM('Quarter supply and use of fuels'!H94:H97)</f>
        <v>184.77999999996973</v>
      </c>
      <c r="I28" s="42">
        <f>SUM('Quarter supply and use of fuels'!I94:I97)</f>
        <v>171570.66000000003</v>
      </c>
      <c r="J28" s="42">
        <f>SUM('Quarter supply and use of fuels'!J94:J97)</f>
        <v>-45.209999999999809</v>
      </c>
      <c r="K28" s="42">
        <f>SUM('Quarter supply and use of fuels'!K94:K97)</f>
        <v>-28146.469999999998</v>
      </c>
      <c r="L28" s="42">
        <f>SUM('Quarter supply and use of fuels'!L94:L97)</f>
        <v>-25286.13</v>
      </c>
      <c r="M28" s="42">
        <f>SUM('Quarter supply and use of fuels'!M94:M97)</f>
        <v>-1072.48</v>
      </c>
      <c r="N28" s="42">
        <f>SUM('Quarter supply and use of fuels'!N94:N97)</f>
        <v>-157.4900000000016</v>
      </c>
      <c r="O28" s="42">
        <f>SUM('Quarter supply and use of fuels'!O94:O97)</f>
        <v>-71.089999999999975</v>
      </c>
      <c r="P28" s="42">
        <f>SUM('Quarter supply and use of fuels'!P94:P97)</f>
        <v>-1498.22</v>
      </c>
      <c r="Q28" s="42">
        <f>SUM('Quarter supply and use of fuels'!Q94:Q97)</f>
        <v>-20.220000000000013</v>
      </c>
      <c r="R28" s="42">
        <f>SUM('Quarter supply and use of fuels'!R94:R97)</f>
        <v>-40.840000000000018</v>
      </c>
      <c r="S28" s="42">
        <f>SUM('Quarter supply and use of fuels'!S94:S97)</f>
        <v>11033.6</v>
      </c>
      <c r="T28" s="42">
        <f>SUM('Quarter supply and use of fuels'!T94:T97)</f>
        <v>2750.16</v>
      </c>
      <c r="U28" s="42">
        <f>SUM('Quarter supply and use of fuels'!U94:U97)</f>
        <v>129595.25000000001</v>
      </c>
      <c r="V28" s="42">
        <f>SUM('Quarter supply and use of fuels'!V94:V97)</f>
        <v>1031.79</v>
      </c>
      <c r="W28" s="42">
        <f>SUM('Quarter supply and use of fuels'!W94:W97)</f>
        <v>20313.68</v>
      </c>
      <c r="X28" s="42">
        <f>SUM('Quarter supply and use of fuels'!X94:X97)</f>
        <v>41711.82</v>
      </c>
      <c r="Y28" s="42">
        <f>SUM('Quarter supply and use of fuels'!Y94:Y97)</f>
        <v>39390.559999999998</v>
      </c>
      <c r="Z28" s="42">
        <f>SUM('Quarter supply and use of fuels'!Z94:Z97)</f>
        <v>20085.64</v>
      </c>
      <c r="AA28" s="42">
        <f>SUM('Quarter supply and use of fuels'!AA94:AA97)</f>
        <v>5254.11</v>
      </c>
      <c r="AB28" s="42">
        <f>SUM('Quarter supply and use of fuels'!AB94:AB97)</f>
        <v>11894.769999999999</v>
      </c>
      <c r="AC28" s="42">
        <f>SUM('Quarter supply and use of fuels'!AC94:AC97)</f>
        <v>1537.84</v>
      </c>
      <c r="AD28" s="42">
        <f>SUM('Quarter supply and use of fuels'!AD94:AD97)</f>
        <v>1398.92</v>
      </c>
      <c r="AE28" s="48">
        <f>SUM('Quarter supply and use of fuels'!AE94:AE97)</f>
        <v>7061.76</v>
      </c>
    </row>
    <row r="29" spans="1:31" ht="15.5" x14ac:dyDescent="0.35">
      <c r="A29" s="90">
        <v>2021</v>
      </c>
      <c r="B29" s="42">
        <f>SUM('Quarter supply and use of fuels'!B98:B101)</f>
        <v>106985.01</v>
      </c>
      <c r="C29" s="42">
        <f>SUM('Quarter supply and use of fuels'!C98:C101)</f>
        <v>133651.88</v>
      </c>
      <c r="D29" s="42">
        <f>SUM('Quarter supply and use of fuels'!D98:D101)</f>
        <v>-65887.42</v>
      </c>
      <c r="E29" s="42">
        <f>SUM('Quarter supply and use of fuels'!E98:E101)</f>
        <v>-2071.19</v>
      </c>
      <c r="F29" s="43">
        <f>SUM('Quarter supply and use of fuels'!F98:F101)</f>
        <v>3596.7200000000003</v>
      </c>
      <c r="G29" s="42">
        <f>SUM('Quarter supply and use of fuels'!G98:G101)</f>
        <v>176275</v>
      </c>
      <c r="H29" s="42">
        <f>SUM('Quarter supply and use of fuels'!H98:H101)</f>
        <v>77.680000000000291</v>
      </c>
      <c r="I29" s="42">
        <f>SUM('Quarter supply and use of fuels'!I98:I101)</f>
        <v>176197.31999999998</v>
      </c>
      <c r="J29" s="42">
        <f>SUM('Quarter supply and use of fuels'!J98:J101)</f>
        <v>36.319999999999936</v>
      </c>
      <c r="K29" s="42">
        <f>SUM('Quarter supply and use of fuels'!K98:K101)</f>
        <v>-29688.309999999998</v>
      </c>
      <c r="L29" s="42">
        <f>SUM('Quarter supply and use of fuels'!L98:L101)</f>
        <v>-26692.899999999994</v>
      </c>
      <c r="M29" s="42">
        <f>SUM('Quarter supply and use of fuels'!M98:M101)</f>
        <v>-1083.7600000000002</v>
      </c>
      <c r="N29" s="42">
        <f>SUM('Quarter supply and use of fuels'!N98:N101)</f>
        <v>-354.04000000000087</v>
      </c>
      <c r="O29" s="42">
        <f>SUM('Quarter supply and use of fuels'!O98:O101)</f>
        <v>-78.909999999999968</v>
      </c>
      <c r="P29" s="42">
        <f>SUM('Quarter supply and use of fuels'!P98:P101)</f>
        <v>-1425.71</v>
      </c>
      <c r="Q29" s="42">
        <f>SUM('Quarter supply and use of fuels'!Q98:Q101)</f>
        <v>-2.9199999999999982</v>
      </c>
      <c r="R29" s="42">
        <f>SUM('Quarter supply and use of fuels'!R98:R101)</f>
        <v>-50.070000000000007</v>
      </c>
      <c r="S29" s="42">
        <f>SUM('Quarter supply and use of fuels'!S98:S101)</f>
        <v>10077.24</v>
      </c>
      <c r="T29" s="42">
        <f>SUM('Quarter supply and use of fuels'!T98:T101)</f>
        <v>2817.3199999999997</v>
      </c>
      <c r="U29" s="42">
        <f>SUM('Quarter supply and use of fuels'!U98:U101)</f>
        <v>133650.78000000003</v>
      </c>
      <c r="V29" s="42">
        <f>SUM('Quarter supply and use of fuels'!V98:V101)</f>
        <v>1060.6300000000001</v>
      </c>
      <c r="W29" s="42">
        <f>SUM('Quarter supply and use of fuels'!W98:W101)</f>
        <v>20441.07</v>
      </c>
      <c r="X29" s="42">
        <f>SUM('Quarter supply and use of fuels'!X98:X101)</f>
        <v>44379.01</v>
      </c>
      <c r="Y29" s="42">
        <f>SUM('Quarter supply and use of fuels'!Y98:Y101)</f>
        <v>40924.800000000003</v>
      </c>
      <c r="Z29" s="42">
        <f>SUM('Quarter supply and use of fuels'!Z98:Z101)</f>
        <v>21223.24</v>
      </c>
      <c r="AA29" s="42">
        <f>SUM('Quarter supply and use of fuels'!AA98:AA101)</f>
        <v>5674.82</v>
      </c>
      <c r="AB29" s="42">
        <f>SUM('Quarter supply and use of fuels'!AB98:AB101)</f>
        <v>12602.2</v>
      </c>
      <c r="AC29" s="42">
        <f>SUM('Quarter supply and use of fuels'!AC98:AC101)</f>
        <v>1503.37</v>
      </c>
      <c r="AD29" s="42">
        <f>SUM('Quarter supply and use of fuels'!AD98:AD101)</f>
        <v>1442.85</v>
      </c>
      <c r="AE29" s="48">
        <f>SUM('Quarter supply and use of fuels'!AE98:AE101)</f>
        <v>5622.0299999999988</v>
      </c>
    </row>
    <row r="30" spans="1:31" ht="15.5" x14ac:dyDescent="0.35">
      <c r="A30" s="90">
        <v>2022</v>
      </c>
      <c r="B30" s="42">
        <f>SUM('Quarter supply and use of fuels'!B102:B105)</f>
        <v>110806.94</v>
      </c>
      <c r="C30" s="42">
        <f>SUM('Quarter supply and use of fuels'!C102:C105)</f>
        <v>146513.20000000001</v>
      </c>
      <c r="D30" s="42">
        <f>SUM('Quarter supply and use of fuels'!D102:D105)</f>
        <v>-82027.45</v>
      </c>
      <c r="E30" s="42">
        <f>SUM('Quarter supply and use of fuels'!E102:E105)</f>
        <v>-2094.36</v>
      </c>
      <c r="F30" s="43">
        <f>SUM('Quarter supply and use of fuels'!F102:F105)</f>
        <v>102.81000000000009</v>
      </c>
      <c r="G30" s="42">
        <f>SUM('Quarter supply and use of fuels'!G102:G105)</f>
        <v>173301.13999999998</v>
      </c>
      <c r="H30" s="42">
        <f>SUM('Quarter supply and use of fuels'!H102:H105)</f>
        <v>-47.290000000029977</v>
      </c>
      <c r="I30" s="42">
        <f>SUM('Quarter supply and use of fuels'!I102:I105)</f>
        <v>173348.43000000002</v>
      </c>
      <c r="J30" s="42">
        <f>SUM('Quarter supply and use of fuels'!J102:J105)</f>
        <v>-73.579999999999927</v>
      </c>
      <c r="K30" s="42">
        <f>SUM('Quarter supply and use of fuels'!K102:K105)</f>
        <v>-29601.699999999997</v>
      </c>
      <c r="L30" s="42">
        <f>SUM('Quarter supply and use of fuels'!L102:L105)</f>
        <v>-26426.63</v>
      </c>
      <c r="M30" s="42">
        <f>SUM('Quarter supply and use of fuels'!M102:M105)</f>
        <v>-1053.7599999999998</v>
      </c>
      <c r="N30" s="42">
        <f>SUM('Quarter supply and use of fuels'!N102:N105)</f>
        <v>-616.71999999999935</v>
      </c>
      <c r="O30" s="42">
        <f>SUM('Quarter supply and use of fuels'!O102:O105)</f>
        <v>-51.339999999999975</v>
      </c>
      <c r="P30" s="42">
        <f>SUM('Quarter supply and use of fuels'!P102:P105)</f>
        <v>-1417.06</v>
      </c>
      <c r="Q30" s="42">
        <f>SUM('Quarter supply and use of fuels'!Q102:Q105)</f>
        <v>-3.9400000000000031</v>
      </c>
      <c r="R30" s="42">
        <f>SUM('Quarter supply and use of fuels'!R102:R105)</f>
        <v>-32.250000000000028</v>
      </c>
      <c r="S30" s="42">
        <f>SUM('Quarter supply and use of fuels'!S102:S105)</f>
        <v>10466.94</v>
      </c>
      <c r="T30" s="42">
        <f>SUM('Quarter supply and use of fuels'!T102:T105)</f>
        <v>3043.3199999999997</v>
      </c>
      <c r="U30" s="42">
        <f>SUM('Quarter supply and use of fuels'!U102:U105)</f>
        <v>130162.87</v>
      </c>
      <c r="V30" s="42">
        <f>SUM('Quarter supply and use of fuels'!V102:V105)</f>
        <v>1052.9299999999998</v>
      </c>
      <c r="W30" s="42">
        <f>SUM('Quarter supply and use of fuels'!W102:W105)</f>
        <v>18973.169999999998</v>
      </c>
      <c r="X30" s="42">
        <f>SUM('Quarter supply and use of fuels'!X102:X105)</f>
        <v>50653.760000000002</v>
      </c>
      <c r="Y30" s="42">
        <f>SUM('Quarter supply and use of fuels'!Y102:Y105)</f>
        <v>34393.619999999995</v>
      </c>
      <c r="Z30" s="42">
        <f>SUM('Quarter supply and use of fuels'!Z102:Z105)</f>
        <v>20005.18</v>
      </c>
      <c r="AA30" s="42">
        <f>SUM('Quarter supply and use of fuels'!AA102:AA105)</f>
        <v>5175.37</v>
      </c>
      <c r="AB30" s="42">
        <f>SUM('Quarter supply and use of fuels'!AB102:AB105)</f>
        <v>12206.23</v>
      </c>
      <c r="AC30" s="42">
        <f>SUM('Quarter supply and use of fuels'!AC102:AC105)</f>
        <v>1364.18</v>
      </c>
      <c r="AD30" s="42">
        <f>SUM('Quarter supply and use of fuels'!AD102:AD105)</f>
        <v>1259.4000000000001</v>
      </c>
      <c r="AE30" s="48">
        <f>SUM('Quarter supply and use of fuels'!AE102:AE105)</f>
        <v>5084.21</v>
      </c>
    </row>
    <row r="31" spans="1:31" ht="15.5" x14ac:dyDescent="0.35">
      <c r="A31" s="90">
        <v>2023</v>
      </c>
      <c r="B31" s="42">
        <f>SUM('Quarter supply and use of fuels'!B106:B109)</f>
        <v>101420.62999999999</v>
      </c>
      <c r="C31" s="42">
        <f>SUM('Quarter supply and use of fuels'!C106:C109)</f>
        <v>136526.57999999999</v>
      </c>
      <c r="D31" s="42">
        <f>SUM('Quarter supply and use of fuels'!D106:D109)</f>
        <v>-67826.200000000012</v>
      </c>
      <c r="E31" s="42">
        <f>SUM('Quarter supply and use of fuels'!E106:E109)</f>
        <v>-2086.38</v>
      </c>
      <c r="F31" s="42">
        <f>SUM('Quarter supply and use of fuels'!F106:F109)</f>
        <v>208.37000000000012</v>
      </c>
      <c r="G31" s="42">
        <f>SUM('Quarter supply and use of fuels'!G106:G109)</f>
        <v>168243</v>
      </c>
      <c r="H31" s="42">
        <f>SUM('Quarter supply and use of fuels'!H106:H109)</f>
        <v>-203.77000000001135</v>
      </c>
      <c r="I31" s="42">
        <f>SUM('Quarter supply and use of fuels'!I106:I109)</f>
        <v>168446.77</v>
      </c>
      <c r="J31" s="42">
        <f>SUM('Quarter supply and use of fuels'!J106:J109)</f>
        <v>-235.1400000000001</v>
      </c>
      <c r="K31" s="42">
        <f>SUM('Quarter supply and use of fuels'!K106:K109)</f>
        <v>-26141.449999999997</v>
      </c>
      <c r="L31" s="42">
        <f>SUM('Quarter supply and use of fuels'!L106:L109)</f>
        <v>-22958.38</v>
      </c>
      <c r="M31" s="42">
        <f>SUM('Quarter supply and use of fuels'!M106:M109)</f>
        <v>-1054.23</v>
      </c>
      <c r="N31" s="42">
        <f>SUM('Quarter supply and use of fuels'!N106:N109)</f>
        <v>-429.7599999999984</v>
      </c>
      <c r="O31" s="42">
        <f>SUM('Quarter supply and use of fuels'!O106:O109)</f>
        <v>-48.790000000000006</v>
      </c>
      <c r="P31" s="42">
        <f>SUM('Quarter supply and use of fuels'!P106:P109)</f>
        <v>-1607.2199999999998</v>
      </c>
      <c r="Q31" s="42">
        <f>SUM('Quarter supply and use of fuels'!Q106:Q109)</f>
        <v>-15.620000000000003</v>
      </c>
      <c r="R31" s="42">
        <f>SUM('Quarter supply and use of fuels'!R106:R109)</f>
        <v>-27.450000000000017</v>
      </c>
      <c r="S31" s="42">
        <f>SUM('Quarter supply and use of fuels'!S106:S109)</f>
        <v>9887.23</v>
      </c>
      <c r="T31" s="42">
        <f>SUM('Quarter supply and use of fuels'!T106:T109)</f>
        <v>2900.25</v>
      </c>
      <c r="U31" s="42">
        <f>SUM('Quarter supply and use of fuels'!U106:U109)</f>
        <v>129282.66</v>
      </c>
      <c r="V31" s="42">
        <f>SUM('Quarter supply and use of fuels'!V106:V109)</f>
        <v>1030.6999999999998</v>
      </c>
      <c r="W31" s="42">
        <f>SUM('Quarter supply and use of fuels'!W106:W109)</f>
        <v>18722.34</v>
      </c>
      <c r="X31" s="42">
        <f>SUM('Quarter supply and use of fuels'!X106:X109)</f>
        <v>52514.720000000001</v>
      </c>
      <c r="Y31" s="42">
        <f>SUM('Quarter supply and use of fuels'!Y106:Y109)</f>
        <v>32737.190000000002</v>
      </c>
      <c r="Z31" s="42">
        <f>SUM('Quarter supply and use of fuels'!Z106:Z109)</f>
        <v>19803.13</v>
      </c>
      <c r="AA31" s="42">
        <f>SUM('Quarter supply and use of fuels'!AA106:AA109)</f>
        <v>5089.91</v>
      </c>
      <c r="AB31" s="42">
        <f>SUM('Quarter supply and use of fuels'!AB106:AB109)</f>
        <v>12074.34</v>
      </c>
      <c r="AC31" s="42">
        <f>SUM('Quarter supply and use of fuels'!AC106:AC109)</f>
        <v>1389.3600000000001</v>
      </c>
      <c r="AD31" s="42">
        <f>SUM('Quarter supply and use of fuels'!AD106:AD109)</f>
        <v>1249.52</v>
      </c>
      <c r="AE31" s="48">
        <f>SUM('Quarter supply and use of fuels'!AE106:AE109)</f>
        <v>4474.58</v>
      </c>
    </row>
    <row r="32" spans="1:31" ht="15.5" x14ac:dyDescent="0.35">
      <c r="A32" s="90">
        <v>2024</v>
      </c>
      <c r="B32" s="42">
        <f>SUM('Quarter supply and use of fuels'!B110:B113)</f>
        <v>94899.97</v>
      </c>
      <c r="C32" s="42">
        <f>SUM('Quarter supply and use of fuels'!C110:C113)</f>
        <v>138919.97</v>
      </c>
      <c r="D32" s="42">
        <f>SUM('Quarter supply and use of fuels'!D110:D113)</f>
        <v>-64075.96</v>
      </c>
      <c r="E32" s="42">
        <f>SUM('Quarter supply and use of fuels'!E110:E113)</f>
        <v>-2054.96</v>
      </c>
      <c r="F32" s="42">
        <f>SUM('Quarter supply and use of fuels'!F110:F113)</f>
        <v>1264.1400000000001</v>
      </c>
      <c r="G32" s="42">
        <f>SUM('Quarter supply and use of fuels'!G110:G113)</f>
        <v>168953.15999999997</v>
      </c>
      <c r="H32" s="42">
        <f>SUM('Quarter supply and use of fuels'!H110:H113)</f>
        <v>252.83999999999651</v>
      </c>
      <c r="I32" s="42">
        <f>SUM('Quarter supply and use of fuels'!I110:I113)</f>
        <v>168700.32</v>
      </c>
      <c r="J32" s="42">
        <f>SUM('Quarter supply and use of fuels'!J110:J113)</f>
        <v>83.029999999999973</v>
      </c>
      <c r="K32" s="42">
        <f>SUM('Quarter supply and use of fuels'!K110:K113)</f>
        <v>-24568.85</v>
      </c>
      <c r="L32" s="42">
        <f>SUM('Quarter supply and use of fuels'!L110:L113)</f>
        <v>-21941.53</v>
      </c>
      <c r="M32" s="42">
        <f>SUM('Quarter supply and use of fuels'!M110:M113)</f>
        <v>-1050.17</v>
      </c>
      <c r="N32" s="42">
        <f>SUM('Quarter supply and use of fuels'!N110:N113)</f>
        <v>-619.01999999999862</v>
      </c>
      <c r="O32" s="42">
        <f>SUM('Quarter supply and use of fuels'!O110:O113)</f>
        <v>-3.880000000000011</v>
      </c>
      <c r="P32" s="42">
        <f>SUM('Quarter supply and use of fuels'!P110:P113)</f>
        <v>-905.58</v>
      </c>
      <c r="Q32" s="42">
        <f>SUM('Quarter supply and use of fuels'!Q110:Q113)</f>
        <v>-23.439999999999991</v>
      </c>
      <c r="R32" s="42">
        <f>SUM('Quarter supply and use of fuels'!R110:R113)</f>
        <v>-25.230000000000004</v>
      </c>
      <c r="S32" s="42">
        <f>SUM('Quarter supply and use of fuels'!S110:S113)</f>
        <v>9168.7099999999991</v>
      </c>
      <c r="T32" s="42">
        <f>SUM('Quarter supply and use of fuels'!T110:T113)</f>
        <v>2865.5299999999997</v>
      </c>
      <c r="U32" s="42">
        <f>SUM('Quarter supply and use of fuels'!U110:U113)</f>
        <v>132180.25</v>
      </c>
      <c r="V32" s="42">
        <f>SUM('Quarter supply and use of fuels'!V110:V113)</f>
        <v>855.13</v>
      </c>
      <c r="W32" s="42">
        <f>SUM('Quarter supply and use of fuels'!W110:W113)</f>
        <v>18306.23</v>
      </c>
      <c r="X32" s="42">
        <f>SUM('Quarter supply and use of fuels'!X110:X113)</f>
        <v>54015.79</v>
      </c>
      <c r="Y32" s="42">
        <f>SUM('Quarter supply and use of fuels'!Y110:Y113)</f>
        <v>33815.75</v>
      </c>
      <c r="Z32" s="42">
        <f>SUM('Quarter supply and use of fuels'!Z110:Z113)</f>
        <v>20652.71</v>
      </c>
      <c r="AA32" s="42">
        <f>SUM('Quarter supply and use of fuels'!AA110:AA113)</f>
        <v>5369.3099999999995</v>
      </c>
      <c r="AB32" s="42">
        <f>SUM('Quarter supply and use of fuels'!AB110:AB113)</f>
        <v>12536.010000000002</v>
      </c>
      <c r="AC32" s="42">
        <f>SUM('Quarter supply and use of fuels'!AC110:AC113)</f>
        <v>1385.17</v>
      </c>
      <c r="AD32" s="42">
        <f>SUM('Quarter supply and use of fuels'!AD110:AD113)</f>
        <v>1362.22</v>
      </c>
      <c r="AE32" s="48">
        <f>SUM('Quarter supply and use of fuels'!AE110:AE113)</f>
        <v>4534.6400000000003</v>
      </c>
    </row>
    <row r="33" spans="1:31" ht="15.5" x14ac:dyDescent="0.35">
      <c r="A33" s="90" t="s">
        <v>524</v>
      </c>
      <c r="B33" s="42">
        <f>SUM('Quarter supply and use of fuels'!B114:B117)</f>
        <v>93996.650000000009</v>
      </c>
      <c r="C33" s="42">
        <f>SUM('Quarter supply and use of fuels'!C114:C117)</f>
        <v>136146.69</v>
      </c>
      <c r="D33" s="42">
        <f>SUM('Quarter supply and use of fuels'!D114:D117)</f>
        <v>-62966.990000000005</v>
      </c>
      <c r="E33" s="42">
        <f>SUM('Quarter supply and use of fuels'!E114:E117)</f>
        <v>-1919.7400000000002</v>
      </c>
      <c r="F33" s="42">
        <f>SUM('Quarter supply and use of fuels'!F114:F117)</f>
        <v>990.00000000000011</v>
      </c>
      <c r="G33" s="42">
        <f>SUM('Quarter supply and use of fuels'!G114:G117)</f>
        <v>166246.61000000002</v>
      </c>
      <c r="H33" s="42">
        <f>SUM('Quarter supply and use of fuels'!H114:H117)</f>
        <v>-59.979999999974098</v>
      </c>
      <c r="I33" s="42">
        <f>SUM('Quarter supply and use of fuels'!I114:I117)</f>
        <v>166306.59</v>
      </c>
      <c r="J33" s="42">
        <f>SUM('Quarter supply and use of fuels'!J114:J117)</f>
        <v>-34.600000000000364</v>
      </c>
      <c r="K33" s="42">
        <f>SUM('Quarter supply and use of fuels'!K114:K117)</f>
        <v>-23360.11</v>
      </c>
      <c r="L33" s="42">
        <f>SUM('Quarter supply and use of fuels'!L114:L117)</f>
        <v>-21376.110000000004</v>
      </c>
      <c r="M33" s="42">
        <f>SUM('Quarter supply and use of fuels'!M114:M117)</f>
        <v>-1050.1000000000001</v>
      </c>
      <c r="N33" s="42">
        <f>SUM('Quarter supply and use of fuels'!N114:N117)</f>
        <v>-457.25</v>
      </c>
      <c r="O33" s="42">
        <f>SUM('Quarter supply and use of fuels'!O114:O117)</f>
        <v>0</v>
      </c>
      <c r="P33" s="42">
        <f>SUM('Quarter supply and use of fuels'!P114:P117)</f>
        <v>-452.28</v>
      </c>
      <c r="Q33" s="42">
        <f>SUM('Quarter supply and use of fuels'!Q114:Q117)</f>
        <v>-3.4499999999999993</v>
      </c>
      <c r="R33" s="42">
        <f>SUM('Quarter supply and use of fuels'!R114:R117)</f>
        <v>-20.919999999999995</v>
      </c>
      <c r="S33" s="42">
        <f>SUM('Quarter supply and use of fuels'!S114:S117)</f>
        <v>8474.2199999999993</v>
      </c>
      <c r="T33" s="42">
        <f>SUM('Quarter supply and use of fuels'!T114:T117)</f>
        <v>2757.56</v>
      </c>
      <c r="U33" s="42">
        <f>SUM('Quarter supply and use of fuels'!U114:U117)</f>
        <v>131680.09</v>
      </c>
      <c r="V33" s="42">
        <f>SUM('Quarter supply and use of fuels'!V114:V117)</f>
        <v>572.69000000000005</v>
      </c>
      <c r="W33" s="42">
        <f>SUM('Quarter supply and use of fuels'!W114:W117)</f>
        <v>17416.689999999999</v>
      </c>
      <c r="X33" s="42">
        <f>SUM('Quarter supply and use of fuels'!X114:X117)</f>
        <v>55323.959999999992</v>
      </c>
      <c r="Y33" s="42">
        <f>SUM('Quarter supply and use of fuels'!Y114:Y117)</f>
        <v>33562.840000000004</v>
      </c>
      <c r="Z33" s="42">
        <f>SUM('Quarter supply and use of fuels'!Z114:Z117)</f>
        <v>20587.169999999998</v>
      </c>
      <c r="AA33" s="42">
        <f>SUM('Quarter supply and use of fuels'!AA114:AA117)</f>
        <v>5263.26</v>
      </c>
      <c r="AB33" s="42">
        <f>SUM('Quarter supply and use of fuels'!AB114:AB117)</f>
        <v>12642.01</v>
      </c>
      <c r="AC33" s="42">
        <f>SUM('Quarter supply and use of fuels'!AC114:AC117)</f>
        <v>1359.8600000000001</v>
      </c>
      <c r="AD33" s="42">
        <f>SUM('Quarter supply and use of fuels'!AD114:AD117)</f>
        <v>1322.04</v>
      </c>
      <c r="AE33" s="48">
        <f>SUM('Quarter supply and use of fuels'!AE114:AE117)</f>
        <v>4216.74</v>
      </c>
    </row>
    <row r="35" spans="1:31" x14ac:dyDescent="0.25">
      <c r="B35" s="231"/>
    </row>
    <row r="38" spans="1:31" x14ac:dyDescent="0.25">
      <c r="B38" s="231">
        <f>B33/B7-1</f>
        <v>-0.6842098384840376</v>
      </c>
    </row>
  </sheetData>
  <pageMargins left="0.75" right="0.75" top="1" bottom="1" header="0.5" footer="0.5"/>
  <pageSetup paperSize="9" scale="24"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 Sheet</vt:lpstr>
      <vt:lpstr>Contents</vt:lpstr>
      <vt:lpstr>Notes</vt:lpstr>
      <vt:lpstr>Commentary</vt:lpstr>
      <vt:lpstr>Table 1.3a</vt:lpstr>
      <vt:lpstr>Table 1.3b annual by fuel</vt:lpstr>
      <vt:lpstr>Table 1.3b quarterly by fuel</vt:lpstr>
      <vt:lpstr>Table 1.3c</vt:lpstr>
      <vt:lpstr>Annual supply and use of fuels</vt:lpstr>
      <vt:lpstr>Quarter supply and use of fuels</vt:lpstr>
      <vt:lpstr>Quarter supply</vt:lpstr>
      <vt:lpstr>Quarter demand</vt:lpstr>
      <vt:lpstr>Quarter final consumption</vt:lpstr>
      <vt:lpstr>Annual dependency &amp; low carbon</vt:lpstr>
      <vt:lpstr>Quarter dependency &amp; low carbon</vt:lpstr>
      <vt:lpstr>Annual SeasTempAdj</vt:lpstr>
      <vt:lpstr>Quarter SeasTempAdj</vt:lpstr>
      <vt:lpstr>calculation3a_hide</vt:lpstr>
      <vt:lpstr>calculation3b_hide</vt:lpstr>
      <vt:lpstr>calculation3c_hide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fuels and seasonally adjusted and temperature corrected final energy consumption</dc:title>
  <dc:creator>energy.stats@beis.gov.uk</dc:creator>
  <cp:keywords>Supply, demand, final, consumption, dependency, seasonally, adjusted, temperature, corrected</cp:keywords>
  <cp:lastModifiedBy>Harris, Kevin (Energy Security)</cp:lastModifiedBy>
  <cp:lastPrinted>2021-11-18T16:55:32Z</cp:lastPrinted>
  <dcterms:created xsi:type="dcterms:W3CDTF">2021-11-11T17:39:46Z</dcterms:created>
  <dcterms:modified xsi:type="dcterms:W3CDTF">2026-03-31T13:02:35Z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