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educationgovuk-my.sharepoint.com/personal/elaine_gowran_education_gov_uk/Documents/Desktop/"/>
    </mc:Choice>
  </mc:AlternateContent>
  <xr:revisionPtr revIDLastSave="9" documentId="8_{13B948FF-C0F3-4FF8-9D64-969BA5D96107}" xr6:coauthVersionLast="47" xr6:coauthVersionMax="47" xr10:uidLastSave="{615D35FE-4F43-45FD-9A5B-02CE12874ED3}"/>
  <bookViews>
    <workbookView xWindow="3830" yWindow="1700" windowWidth="16920" windowHeight="10460" xr2:uid="{0E52B1B0-9CD0-4F8A-88C8-C36EC314DDC7}"/>
  </bookViews>
  <sheets>
    <sheet name="Summary I&amp;E" sheetId="35" r:id="rId1"/>
    <sheet name="Summary KPIs" sheetId="37" r:id="rId2"/>
    <sheet name="Fin Health " sheetId="36" r:id="rId3"/>
    <sheet name="I&amp;E" sheetId="30" r:id="rId4"/>
    <sheet name="I&amp;E Bridge" sheetId="39" r:id="rId5"/>
    <sheet name="ASF" sheetId="46" r:id="rId6"/>
    <sheet name="Loan" sheetId="38" r:id="rId7"/>
    <sheet name="Bal Sheet" sheetId="8" r:id="rId8"/>
    <sheet name="Drs &amp; Crs" sheetId="40" r:id="rId9"/>
    <sheet name="Cash use " sheetId="41" r:id="rId10"/>
    <sheet name="Cash" sheetId="11" r:id="rId11"/>
    <sheet name="Cash graph" sheetId="48" r:id="rId12"/>
    <sheet name="KPIs" sheetId="42" r:id="rId13"/>
    <sheet name="Capital" sheetId="43" r:id="rId14"/>
    <sheet name="Risks &amp; Senstivities" sheetId="44" r:id="rId15"/>
    <sheet name="Issues for further review" sheetId="45" r:id="rId16"/>
    <sheet name="Staff numbers" sheetId="31" r:id="rId17"/>
    <sheet name="Sub-contracting activity" sheetId="32" r:id="rId18"/>
    <sheet name="Contribution analysis" sheetId="33" r:id="rId19"/>
    <sheet name="Trading activities &amp; projects" sheetId="34" r:id="rId20"/>
  </sheets>
  <externalReferences>
    <externalReference r:id="rId21"/>
    <externalReference r:id="rId22"/>
  </externalReferences>
  <definedNames>
    <definedName name="_xlnm.Print_Area" localSheetId="7">'Bal Sheet'!$B$1:$H$52</definedName>
    <definedName name="_xlnm.Print_Area" localSheetId="3">'I&amp;E'!$B$1:$L$67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41" l="1"/>
  <c r="C13" i="41"/>
  <c r="B13" i="41"/>
  <c r="C14" i="41"/>
  <c r="B14" i="41"/>
  <c r="B11" i="41"/>
  <c r="C7" i="41"/>
  <c r="C4" i="41"/>
  <c r="D11" i="42"/>
  <c r="D8" i="42"/>
  <c r="D5" i="42"/>
  <c r="D10" i="42"/>
  <c r="D9" i="42"/>
  <c r="D7" i="42"/>
  <c r="D6" i="42"/>
  <c r="D4" i="42"/>
  <c r="C10" i="42"/>
  <c r="C9" i="42"/>
  <c r="C8" i="42"/>
  <c r="C7" i="42"/>
  <c r="C6" i="42"/>
  <c r="C5" i="42"/>
  <c r="C4" i="42"/>
  <c r="B11" i="42"/>
  <c r="B10" i="42"/>
  <c r="B9" i="42"/>
  <c r="B8" i="42"/>
  <c r="B7" i="42"/>
  <c r="B6" i="42"/>
  <c r="B5" i="42"/>
  <c r="B4" i="42"/>
  <c r="C5" i="39"/>
  <c r="G5" i="46"/>
  <c r="I5" i="46" s="1"/>
  <c r="F5" i="46"/>
  <c r="C5" i="46"/>
  <c r="B5" i="46"/>
  <c r="H4" i="46"/>
  <c r="H5" i="46" s="1"/>
  <c r="J5" i="46" s="1"/>
  <c r="D4" i="46"/>
  <c r="D5" i="46" s="1"/>
  <c r="E5" i="46" s="1"/>
  <c r="K3" i="46"/>
  <c r="H3" i="46"/>
  <c r="J3" i="46" s="1"/>
  <c r="D3" i="46"/>
  <c r="E3" i="46" s="1"/>
  <c r="K5" i="46" l="1"/>
  <c r="E4" i="46"/>
  <c r="J4" i="46"/>
  <c r="K4" i="46"/>
  <c r="E11" i="43" l="1"/>
  <c r="C11" i="43"/>
  <c r="B11" i="43"/>
  <c r="G10" i="43"/>
  <c r="D10" i="43"/>
  <c r="D9" i="43"/>
  <c r="F9" i="43" s="1"/>
  <c r="G8" i="43"/>
  <c r="D8" i="43"/>
  <c r="G7" i="43"/>
  <c r="D7" i="43"/>
  <c r="G6" i="43"/>
  <c r="D6" i="43"/>
  <c r="G5" i="43"/>
  <c r="D5" i="43"/>
  <c r="D11" i="43" s="1"/>
  <c r="E13" i="42"/>
  <c r="E12" i="42"/>
  <c r="E11" i="42"/>
  <c r="E8" i="42"/>
  <c r="E7" i="42"/>
  <c r="E5" i="42"/>
  <c r="E4" i="42"/>
  <c r="B15" i="41"/>
  <c r="C6" i="41"/>
  <c r="B4" i="41"/>
  <c r="B6" i="41" s="1"/>
  <c r="C19" i="40"/>
  <c r="E18" i="40" s="1"/>
  <c r="B19" i="40"/>
  <c r="D18" i="40"/>
  <c r="D17" i="40"/>
  <c r="D16" i="40"/>
  <c r="D15" i="40"/>
  <c r="D19" i="40" s="1"/>
  <c r="C8" i="40"/>
  <c r="E6" i="40" s="1"/>
  <c r="B8" i="40"/>
  <c r="E7" i="40"/>
  <c r="D7" i="40"/>
  <c r="D8" i="40" s="1"/>
  <c r="D6" i="40"/>
  <c r="E5" i="40"/>
  <c r="D5" i="40"/>
  <c r="E4" i="40"/>
  <c r="D4" i="40"/>
  <c r="C24" i="39"/>
  <c r="C25" i="39" s="1"/>
  <c r="C29" i="39" s="1"/>
  <c r="C13" i="39"/>
  <c r="D2" i="39"/>
  <c r="C2" i="39"/>
  <c r="B2" i="39"/>
  <c r="C7" i="38"/>
  <c r="B7" i="38"/>
  <c r="C6" i="38"/>
  <c r="B6" i="38"/>
  <c r="C5" i="38"/>
  <c r="B5" i="38"/>
  <c r="E8" i="37"/>
  <c r="F6" i="36"/>
  <c r="D6" i="36"/>
  <c r="E5" i="36"/>
  <c r="C5" i="36"/>
  <c r="E4" i="36"/>
  <c r="C4" i="36"/>
  <c r="E3" i="36"/>
  <c r="C3" i="36"/>
  <c r="H19" i="35"/>
  <c r="K15" i="35"/>
  <c r="J15" i="35"/>
  <c r="G15" i="35"/>
  <c r="F15" i="35"/>
  <c r="H15" i="35" s="1"/>
  <c r="C15" i="35"/>
  <c r="B15" i="35"/>
  <c r="H14" i="35"/>
  <c r="D14" i="35"/>
  <c r="H13" i="35"/>
  <c r="D13" i="35"/>
  <c r="K11" i="35"/>
  <c r="K17" i="35" s="1"/>
  <c r="K21" i="35" s="1"/>
  <c r="J11" i="35"/>
  <c r="J17" i="35" s="1"/>
  <c r="J21" i="35" s="1"/>
  <c r="G11" i="35"/>
  <c r="G17" i="35" s="1"/>
  <c r="G21" i="35" s="1"/>
  <c r="F11" i="35"/>
  <c r="C11" i="35"/>
  <c r="D11" i="35" s="1"/>
  <c r="B11" i="35"/>
  <c r="B17" i="35" s="1"/>
  <c r="B21" i="35" s="1"/>
  <c r="H9" i="35"/>
  <c r="D9" i="35"/>
  <c r="H8" i="35"/>
  <c r="D8" i="35"/>
  <c r="H7" i="35"/>
  <c r="D7" i="35"/>
  <c r="G25" i="34"/>
  <c r="G22" i="34"/>
  <c r="G23" i="34" s="1"/>
  <c r="F22" i="34"/>
  <c r="F25" i="34" s="1"/>
  <c r="C22" i="34"/>
  <c r="C25" i="34" s="1"/>
  <c r="B22" i="34"/>
  <c r="B25" i="34" s="1"/>
  <c r="H21" i="34"/>
  <c r="D21" i="34"/>
  <c r="H20" i="34"/>
  <c r="D20" i="34"/>
  <c r="D22" i="34" s="1"/>
  <c r="H19" i="34"/>
  <c r="H22" i="34" s="1"/>
  <c r="D19" i="34"/>
  <c r="G10" i="34"/>
  <c r="G13" i="34" s="1"/>
  <c r="F10" i="34"/>
  <c r="F13" i="34" s="1"/>
  <c r="C10" i="34"/>
  <c r="C13" i="34" s="1"/>
  <c r="B10" i="34"/>
  <c r="B11" i="34" s="1"/>
  <c r="H9" i="34"/>
  <c r="D9" i="34"/>
  <c r="D10" i="34" s="1"/>
  <c r="H8" i="34"/>
  <c r="H10" i="34" s="1"/>
  <c r="D8" i="34"/>
  <c r="H7" i="34"/>
  <c r="D7" i="34"/>
  <c r="N25" i="33"/>
  <c r="N23" i="33"/>
  <c r="I22" i="33"/>
  <c r="N22" i="33" s="1"/>
  <c r="H22" i="33"/>
  <c r="G22" i="33"/>
  <c r="D22" i="33"/>
  <c r="C22" i="33"/>
  <c r="B22" i="33"/>
  <c r="H21" i="33"/>
  <c r="M21" i="33" s="1"/>
  <c r="G21" i="33"/>
  <c r="I21" i="33" s="1"/>
  <c r="D21" i="33"/>
  <c r="E21" i="33" s="1"/>
  <c r="M17" i="33"/>
  <c r="M18" i="33" s="1"/>
  <c r="H17" i="33"/>
  <c r="G17" i="33"/>
  <c r="I17" i="33" s="1"/>
  <c r="C17" i="33"/>
  <c r="B17" i="33"/>
  <c r="L17" i="33" s="1"/>
  <c r="L18" i="33" s="1"/>
  <c r="M21" i="32"/>
  <c r="O21" i="32" s="1"/>
  <c r="L21" i="32"/>
  <c r="H21" i="32"/>
  <c r="J21" i="32" s="1"/>
  <c r="G21" i="32"/>
  <c r="M17" i="32"/>
  <c r="O17" i="32" s="1"/>
  <c r="L17" i="32"/>
  <c r="H17" i="32"/>
  <c r="J17" i="32" s="1"/>
  <c r="G17" i="32"/>
  <c r="D17" i="32"/>
  <c r="D21" i="32" s="1"/>
  <c r="C17" i="32"/>
  <c r="C21" i="32" s="1"/>
  <c r="B17" i="32"/>
  <c r="B21" i="32" s="1"/>
  <c r="P16" i="32"/>
  <c r="O16" i="32"/>
  <c r="N16" i="32"/>
  <c r="J16" i="32"/>
  <c r="I16" i="32"/>
  <c r="E16" i="32"/>
  <c r="D16" i="32"/>
  <c r="O15" i="32"/>
  <c r="N15" i="32"/>
  <c r="P15" i="32" s="1"/>
  <c r="J15" i="32"/>
  <c r="I15" i="32"/>
  <c r="E15" i="32"/>
  <c r="D15" i="32"/>
  <c r="O14" i="32"/>
  <c r="N14" i="32"/>
  <c r="N17" i="32" s="1"/>
  <c r="J14" i="32"/>
  <c r="I14" i="32"/>
  <c r="I17" i="32" s="1"/>
  <c r="E14" i="32"/>
  <c r="D14" i="32"/>
  <c r="M9" i="32"/>
  <c r="O9" i="32" s="1"/>
  <c r="L9" i="32"/>
  <c r="H9" i="32"/>
  <c r="J9" i="32" s="1"/>
  <c r="G9" i="32"/>
  <c r="C9" i="32"/>
  <c r="E9" i="32" s="1"/>
  <c r="B9" i="32"/>
  <c r="P8" i="32"/>
  <c r="O8" i="32"/>
  <c r="N8" i="32"/>
  <c r="J8" i="32"/>
  <c r="I8" i="32"/>
  <c r="E8" i="32"/>
  <c r="D8" i="32"/>
  <c r="O7" i="32"/>
  <c r="N7" i="32"/>
  <c r="P7" i="32" s="1"/>
  <c r="J7" i="32"/>
  <c r="I7" i="32"/>
  <c r="E7" i="32"/>
  <c r="D7" i="32"/>
  <c r="O6" i="32"/>
  <c r="N6" i="32"/>
  <c r="P6" i="32" s="1"/>
  <c r="P9" i="32" s="1"/>
  <c r="J6" i="32"/>
  <c r="I6" i="32"/>
  <c r="I9" i="32" s="1"/>
  <c r="E6" i="32"/>
  <c r="D6" i="32"/>
  <c r="D9" i="32" s="1"/>
  <c r="I24" i="31"/>
  <c r="H24" i="31"/>
  <c r="G24" i="31"/>
  <c r="F24" i="31"/>
  <c r="E24" i="31"/>
  <c r="D24" i="31"/>
  <c r="C24" i="31"/>
  <c r="N22" i="31"/>
  <c r="N24" i="31" s="1"/>
  <c r="M22" i="31"/>
  <c r="L22" i="31"/>
  <c r="K22" i="31"/>
  <c r="J22" i="31"/>
  <c r="I22" i="31"/>
  <c r="H22" i="31"/>
  <c r="G22" i="31"/>
  <c r="F22" i="31"/>
  <c r="E22" i="31"/>
  <c r="D22" i="31"/>
  <c r="C22" i="31"/>
  <c r="B22" i="31"/>
  <c r="N17" i="31"/>
  <c r="M17" i="31"/>
  <c r="M24" i="31" s="1"/>
  <c r="L17" i="31"/>
  <c r="L24" i="31" s="1"/>
  <c r="K17" i="31"/>
  <c r="K24" i="31" s="1"/>
  <c r="J17" i="31"/>
  <c r="J24" i="31" s="1"/>
  <c r="I17" i="31"/>
  <c r="H17" i="31"/>
  <c r="G17" i="31"/>
  <c r="F17" i="31"/>
  <c r="E17" i="31"/>
  <c r="D17" i="31"/>
  <c r="C17" i="31"/>
  <c r="B14" i="31"/>
  <c r="B17" i="31" s="1"/>
  <c r="I11" i="30"/>
  <c r="I10" i="30"/>
  <c r="I9" i="30"/>
  <c r="C9" i="41" l="1"/>
  <c r="C11" i="41" s="1"/>
  <c r="C18" i="41"/>
  <c r="C15" i="41"/>
  <c r="E6" i="42"/>
  <c r="E9" i="42"/>
  <c r="C19" i="41"/>
  <c r="C20" i="41" s="1"/>
  <c r="G9" i="43"/>
  <c r="G11" i="43" s="1"/>
  <c r="F11" i="43"/>
  <c r="B19" i="41"/>
  <c r="B18" i="41"/>
  <c r="B9" i="41"/>
  <c r="E15" i="40"/>
  <c r="E16" i="40"/>
  <c r="E17" i="40"/>
  <c r="D15" i="35"/>
  <c r="C17" i="35"/>
  <c r="C21" i="35" s="1"/>
  <c r="F17" i="35"/>
  <c r="F21" i="35"/>
  <c r="H21" i="35" s="1"/>
  <c r="H17" i="35"/>
  <c r="D21" i="35"/>
  <c r="D17" i="35"/>
  <c r="H11" i="35"/>
  <c r="N21" i="33"/>
  <c r="J21" i="33"/>
  <c r="O21" i="33" s="1"/>
  <c r="I21" i="32"/>
  <c r="F25" i="31"/>
  <c r="B24" i="31"/>
  <c r="D25" i="31" s="1"/>
  <c r="J17" i="33"/>
  <c r="I26" i="33"/>
  <c r="I24" i="33"/>
  <c r="I18" i="33"/>
  <c r="N17" i="33"/>
  <c r="N18" i="33" s="1"/>
  <c r="C25" i="31"/>
  <c r="G25" i="31"/>
  <c r="E21" i="32"/>
  <c r="P14" i="32"/>
  <c r="P17" i="32" s="1"/>
  <c r="P21" i="32" s="1"/>
  <c r="E17" i="32"/>
  <c r="C11" i="34"/>
  <c r="D17" i="33"/>
  <c r="B23" i="34"/>
  <c r="C23" i="34"/>
  <c r="N9" i="32"/>
  <c r="N21" i="32" s="1"/>
  <c r="B13" i="34"/>
  <c r="L21" i="33"/>
  <c r="F11" i="34"/>
  <c r="G11" i="34"/>
  <c r="F23" i="34"/>
  <c r="D28" i="8"/>
  <c r="C41" i="11"/>
  <c r="D41" i="11"/>
  <c r="E41" i="11"/>
  <c r="B41" i="11"/>
  <c r="C38" i="11"/>
  <c r="D38" i="11"/>
  <c r="E38" i="11"/>
  <c r="F38" i="11"/>
  <c r="B38" i="11"/>
  <c r="F33" i="11"/>
  <c r="C33" i="11"/>
  <c r="D33" i="11"/>
  <c r="E33" i="11"/>
  <c r="B33" i="11"/>
  <c r="I41" i="11"/>
  <c r="J41" i="11"/>
  <c r="K41" i="11"/>
  <c r="N41" i="11"/>
  <c r="O41" i="11"/>
  <c r="P41" i="11"/>
  <c r="Q41" i="11"/>
  <c r="R41" i="11"/>
  <c r="H41" i="11"/>
  <c r="H38" i="11"/>
  <c r="I38" i="11"/>
  <c r="J38" i="11"/>
  <c r="K38" i="11"/>
  <c r="L38" i="11"/>
  <c r="M38" i="11"/>
  <c r="N38" i="11"/>
  <c r="O38" i="11"/>
  <c r="P38" i="11"/>
  <c r="Q38" i="11"/>
  <c r="R38" i="11"/>
  <c r="S38" i="11"/>
  <c r="G38" i="11"/>
  <c r="H33" i="11"/>
  <c r="I33" i="11"/>
  <c r="J33" i="11"/>
  <c r="K33" i="11"/>
  <c r="L33" i="11"/>
  <c r="M33" i="11"/>
  <c r="N33" i="11"/>
  <c r="O33" i="11"/>
  <c r="P33" i="11"/>
  <c r="Q33" i="11"/>
  <c r="R33" i="11"/>
  <c r="S33" i="11"/>
  <c r="G33" i="11"/>
  <c r="O17" i="11"/>
  <c r="P17" i="11"/>
  <c r="Q17" i="11"/>
  <c r="R17" i="11"/>
  <c r="S17" i="11"/>
  <c r="O18" i="11"/>
  <c r="P18" i="11"/>
  <c r="Q18" i="11"/>
  <c r="R18" i="11"/>
  <c r="S18" i="11"/>
  <c r="O19" i="11"/>
  <c r="P19" i="11"/>
  <c r="Q19" i="11"/>
  <c r="R19" i="11"/>
  <c r="S19" i="11"/>
  <c r="N18" i="11"/>
  <c r="N19" i="11"/>
  <c r="N17" i="11"/>
  <c r="C47" i="11"/>
  <c r="D47" i="11" s="1"/>
  <c r="I14" i="30"/>
  <c r="E14" i="30"/>
  <c r="B20" i="41" l="1"/>
  <c r="H25" i="31"/>
  <c r="E25" i="31"/>
  <c r="D18" i="33"/>
  <c r="D26" i="33"/>
  <c r="N26" i="33" s="1"/>
  <c r="E17" i="33"/>
  <c r="D24" i="33"/>
  <c r="N24" i="33" s="1"/>
  <c r="O17" i="33"/>
  <c r="E47" i="11"/>
  <c r="F47" i="11" l="1"/>
  <c r="G47" i="11" l="1"/>
  <c r="H47" i="11" s="1"/>
  <c r="I47" i="11" l="1"/>
  <c r="J47" i="11" s="1"/>
  <c r="K47" i="11" s="1"/>
  <c r="L47" i="11" l="1"/>
  <c r="C7" i="11" l="1"/>
  <c r="D7" i="11"/>
  <c r="E7" i="11"/>
  <c r="F7" i="11"/>
  <c r="G7" i="11"/>
  <c r="H7" i="11"/>
  <c r="I7" i="11"/>
  <c r="J7" i="11"/>
  <c r="K7" i="11"/>
  <c r="L7" i="11"/>
  <c r="M7" i="11"/>
  <c r="N7" i="11"/>
  <c r="O7" i="11"/>
  <c r="P7" i="11"/>
  <c r="Q7" i="11"/>
  <c r="R7" i="11"/>
  <c r="S7" i="11"/>
  <c r="B7" i="11"/>
  <c r="O6" i="11"/>
  <c r="P6" i="11"/>
  <c r="Q6" i="11"/>
  <c r="R6" i="11"/>
  <c r="S6" i="11"/>
  <c r="N6" i="11"/>
  <c r="I61" i="30"/>
  <c r="I60" i="30"/>
  <c r="I59" i="30"/>
  <c r="E59" i="30"/>
  <c r="G49" i="8"/>
  <c r="F49" i="8"/>
  <c r="D49" i="8"/>
  <c r="C49" i="8"/>
  <c r="C52" i="8" s="1"/>
  <c r="D44" i="8"/>
  <c r="F44" i="8"/>
  <c r="G44" i="8"/>
  <c r="C44" i="8"/>
  <c r="H43" i="8"/>
  <c r="E43" i="8"/>
  <c r="H38" i="8"/>
  <c r="E38" i="8"/>
  <c r="D32" i="8"/>
  <c r="F32" i="8"/>
  <c r="G32" i="8"/>
  <c r="H29" i="8"/>
  <c r="E29" i="8"/>
  <c r="C32" i="8"/>
  <c r="H24" i="8"/>
  <c r="E24" i="8"/>
  <c r="H27" i="8"/>
  <c r="E27" i="8"/>
  <c r="H30" i="8"/>
  <c r="E30" i="8"/>
  <c r="H26" i="8"/>
  <c r="E26" i="8"/>
  <c r="H28" i="8"/>
  <c r="E28" i="8"/>
  <c r="H25" i="8"/>
  <c r="E25" i="8"/>
  <c r="H23" i="8"/>
  <c r="E23" i="8"/>
  <c r="E61" i="30"/>
  <c r="E62" i="30"/>
  <c r="H62" i="30"/>
  <c r="G62" i="30"/>
  <c r="E60" i="30"/>
  <c r="I12" i="30"/>
  <c r="I15" i="30"/>
  <c r="I16" i="30"/>
  <c r="I17" i="30"/>
  <c r="I18" i="30"/>
  <c r="I19" i="30"/>
  <c r="I20" i="30"/>
  <c r="I21" i="30"/>
  <c r="I22" i="30"/>
  <c r="E18" i="30"/>
  <c r="E19" i="30"/>
  <c r="E20" i="30"/>
  <c r="E21" i="30"/>
  <c r="E22" i="30"/>
  <c r="E23" i="30"/>
  <c r="E24" i="30"/>
  <c r="E10" i="30"/>
  <c r="E11" i="30"/>
  <c r="E12" i="30"/>
  <c r="E13" i="30"/>
  <c r="E15" i="30"/>
  <c r="E16" i="30"/>
  <c r="E17" i="30"/>
  <c r="L54" i="30"/>
  <c r="K54" i="30"/>
  <c r="H54" i="30"/>
  <c r="G54" i="30"/>
  <c r="D54" i="30"/>
  <c r="C54" i="30"/>
  <c r="I51" i="30"/>
  <c r="E51" i="30"/>
  <c r="I50" i="30"/>
  <c r="E50" i="30"/>
  <c r="I48" i="30"/>
  <c r="E48" i="30"/>
  <c r="I47" i="30"/>
  <c r="E47" i="30"/>
  <c r="I46" i="30"/>
  <c r="E46" i="30"/>
  <c r="I45" i="30"/>
  <c r="E45" i="30"/>
  <c r="I44" i="30"/>
  <c r="E44" i="30"/>
  <c r="I43" i="30"/>
  <c r="E43" i="30"/>
  <c r="L40" i="30"/>
  <c r="K40" i="30"/>
  <c r="I40" i="30"/>
  <c r="H40" i="30"/>
  <c r="G40" i="30"/>
  <c r="E40" i="30"/>
  <c r="D40" i="30"/>
  <c r="C40" i="30"/>
  <c r="L27" i="30"/>
  <c r="C40" i="8" s="1"/>
  <c r="K27" i="30"/>
  <c r="G27" i="30"/>
  <c r="G40" i="8" s="1"/>
  <c r="D27" i="30"/>
  <c r="C27" i="30"/>
  <c r="I25" i="30"/>
  <c r="E25" i="30"/>
  <c r="I24" i="30"/>
  <c r="I23" i="30"/>
  <c r="E9" i="30"/>
  <c r="I13" i="30" l="1"/>
  <c r="I27" i="30" s="1"/>
  <c r="H27" i="30"/>
  <c r="F40" i="8" s="1"/>
  <c r="I62" i="30"/>
  <c r="E32" i="8"/>
  <c r="H32" i="8"/>
  <c r="G56" i="30"/>
  <c r="D56" i="30"/>
  <c r="D63" i="30" s="1"/>
  <c r="L56" i="30"/>
  <c r="L63" i="30" s="1"/>
  <c r="C56" i="30"/>
  <c r="C63" i="30" s="1"/>
  <c r="K56" i="30"/>
  <c r="K63" i="30" s="1"/>
  <c r="E54" i="30"/>
  <c r="E27" i="30"/>
  <c r="I54" i="30"/>
  <c r="G63" i="30" l="1"/>
  <c r="K57" i="30"/>
  <c r="H56" i="30"/>
  <c r="H63" i="30" s="1"/>
  <c r="E56" i="30"/>
  <c r="E63" i="30" s="1"/>
  <c r="G57" i="30"/>
  <c r="C57" i="30"/>
  <c r="L57" i="30"/>
  <c r="D57" i="30"/>
  <c r="I56" i="30"/>
  <c r="I63" i="30" s="1"/>
  <c r="H57" i="30" l="1"/>
  <c r="L65" i="30"/>
  <c r="K65" i="30"/>
  <c r="D65" i="30"/>
  <c r="C65" i="30"/>
  <c r="I65" i="30"/>
  <c r="I67" i="30" s="1"/>
  <c r="E65" i="30"/>
  <c r="E67" i="30" s="1"/>
  <c r="C67" i="30" l="1"/>
  <c r="D51" i="8" s="1"/>
  <c r="D52" i="8" s="1"/>
  <c r="D67" i="30"/>
  <c r="K67" i="30"/>
  <c r="L67" i="30"/>
  <c r="F51" i="8"/>
  <c r="F52" i="8" s="1"/>
  <c r="H65" i="30"/>
  <c r="G65" i="30"/>
  <c r="G51" i="8"/>
  <c r="G52" i="8" s="1"/>
  <c r="G67" i="30" l="1"/>
  <c r="H67" i="30"/>
  <c r="B42" i="11"/>
  <c r="E27" i="11"/>
  <c r="D27" i="11"/>
  <c r="C27" i="11"/>
  <c r="B27" i="11"/>
  <c r="E20" i="11"/>
  <c r="D20" i="11"/>
  <c r="C20" i="11"/>
  <c r="B20" i="11"/>
  <c r="E14" i="11"/>
  <c r="D14" i="11"/>
  <c r="C14" i="11"/>
  <c r="B14" i="11"/>
  <c r="B29" i="11" l="1"/>
  <c r="B43" i="11" s="1"/>
  <c r="C29" i="11"/>
  <c r="D29" i="11"/>
  <c r="E29" i="11"/>
  <c r="B45" i="11" l="1"/>
  <c r="C42" i="11"/>
  <c r="C43" i="11" s="1"/>
  <c r="B48" i="11"/>
  <c r="F27" i="11"/>
  <c r="F20" i="11"/>
  <c r="F14" i="11"/>
  <c r="C45" i="11" l="1"/>
  <c r="D42" i="11"/>
  <c r="D43" i="11" s="1"/>
  <c r="C48" i="11"/>
  <c r="F29" i="11"/>
  <c r="F41" i="11" s="1"/>
  <c r="D45" i="11" l="1"/>
  <c r="E42" i="11"/>
  <c r="E43" i="11" s="1"/>
  <c r="D48" i="11"/>
  <c r="R27" i="11"/>
  <c r="R20" i="11"/>
  <c r="R14" i="11"/>
  <c r="K9" i="11"/>
  <c r="H9" i="11"/>
  <c r="E45" i="11" l="1"/>
  <c r="E48" i="11"/>
  <c r="F42" i="11"/>
  <c r="F43" i="11" s="1"/>
  <c r="R29" i="11"/>
  <c r="S27" i="11"/>
  <c r="Q27" i="11"/>
  <c r="P27" i="11"/>
  <c r="O27" i="11"/>
  <c r="N27" i="11"/>
  <c r="M27" i="11"/>
  <c r="L27" i="11"/>
  <c r="K27" i="11"/>
  <c r="J27" i="11"/>
  <c r="I27" i="11"/>
  <c r="H27" i="11"/>
  <c r="G27" i="11"/>
  <c r="S20" i="11"/>
  <c r="Q20" i="11"/>
  <c r="P20" i="11"/>
  <c r="O20" i="11"/>
  <c r="N20" i="11"/>
  <c r="M20" i="11"/>
  <c r="L20" i="11"/>
  <c r="K20" i="11"/>
  <c r="J20" i="11"/>
  <c r="I20" i="11"/>
  <c r="H20" i="11"/>
  <c r="G20" i="11"/>
  <c r="S14" i="11"/>
  <c r="Q14" i="11"/>
  <c r="P14" i="11"/>
  <c r="O14" i="11"/>
  <c r="N14" i="11"/>
  <c r="M14" i="11"/>
  <c r="L14" i="11"/>
  <c r="K14" i="11"/>
  <c r="J14" i="11"/>
  <c r="I14" i="11"/>
  <c r="H14" i="11"/>
  <c r="G14" i="11"/>
  <c r="F45" i="11" l="1"/>
  <c r="L29" i="11"/>
  <c r="L41" i="11" s="1"/>
  <c r="F48" i="11"/>
  <c r="P29" i="11"/>
  <c r="Q29" i="11"/>
  <c r="N29" i="11"/>
  <c r="M29" i="11"/>
  <c r="M41" i="11" s="1"/>
  <c r="I29" i="11"/>
  <c r="J29" i="11"/>
  <c r="H29" i="11"/>
  <c r="S29" i="11"/>
  <c r="S41" i="11" s="1"/>
  <c r="G29" i="11"/>
  <c r="G41" i="11" s="1"/>
  <c r="K29" i="11"/>
  <c r="O29" i="11"/>
  <c r="G42" i="11" l="1"/>
  <c r="G43" i="11" s="1"/>
  <c r="G45" i="11" l="1"/>
  <c r="G48" i="11"/>
  <c r="H42" i="11"/>
  <c r="H43" i="11" s="1"/>
  <c r="H48" i="11" l="1"/>
  <c r="H45" i="11"/>
  <c r="I42" i="11"/>
  <c r="I43" i="11" s="1"/>
  <c r="H49" i="8"/>
  <c r="F12" i="8"/>
  <c r="F39" i="8"/>
  <c r="H44" i="8"/>
  <c r="H37" i="8"/>
  <c r="F20" i="8"/>
  <c r="H19" i="8"/>
  <c r="H17" i="8"/>
  <c r="H16" i="8"/>
  <c r="H15" i="8"/>
  <c r="H10" i="8"/>
  <c r="H9" i="8"/>
  <c r="I45" i="11" l="1"/>
  <c r="F33" i="8"/>
  <c r="F35" i="8" s="1"/>
  <c r="F46" i="8" s="1"/>
  <c r="F34" i="8"/>
  <c r="I48" i="11"/>
  <c r="J42" i="11"/>
  <c r="J43" i="11" s="1"/>
  <c r="G39" i="8"/>
  <c r="D39" i="8"/>
  <c r="E44" i="8"/>
  <c r="H50" i="8"/>
  <c r="E50" i="8"/>
  <c r="E37" i="8"/>
  <c r="G20" i="8"/>
  <c r="D20" i="8"/>
  <c r="J48" i="11" l="1"/>
  <c r="J45" i="11"/>
  <c r="D34" i="8"/>
  <c r="D33" i="8"/>
  <c r="G34" i="8"/>
  <c r="G33" i="8"/>
  <c r="K42" i="11"/>
  <c r="K43" i="11" s="1"/>
  <c r="H20" i="8"/>
  <c r="H33" i="8" s="1"/>
  <c r="E39" i="8"/>
  <c r="H39" i="8"/>
  <c r="C20" i="8"/>
  <c r="C34" i="8" s="1"/>
  <c r="K48" i="11" l="1"/>
  <c r="K45" i="11"/>
  <c r="L42" i="11"/>
  <c r="L43" i="11" s="1"/>
  <c r="C39" i="8"/>
  <c r="E19" i="8"/>
  <c r="E17" i="8"/>
  <c r="E16" i="8"/>
  <c r="E15" i="8"/>
  <c r="G12" i="8"/>
  <c r="G35" i="8" s="1"/>
  <c r="G46" i="8" s="1"/>
  <c r="D12" i="8"/>
  <c r="D35" i="8" s="1"/>
  <c r="D46" i="8" s="1"/>
  <c r="C12" i="8"/>
  <c r="H12" i="8"/>
  <c r="E10" i="8"/>
  <c r="E9" i="8"/>
  <c r="L48" i="11" l="1"/>
  <c r="L45" i="11"/>
  <c r="M42" i="11"/>
  <c r="M43" i="11" s="1"/>
  <c r="H35" i="8"/>
  <c r="H46" i="8" s="1"/>
  <c r="E20" i="8"/>
  <c r="E33" i="8" s="1"/>
  <c r="E12" i="8"/>
  <c r="C33" i="8"/>
  <c r="C35" i="8" s="1"/>
  <c r="C46" i="8" s="1"/>
  <c r="M48" i="11" l="1"/>
  <c r="M45" i="11"/>
  <c r="N42" i="11"/>
  <c r="N43" i="11" s="1"/>
  <c r="N47" i="11" s="1"/>
  <c r="E35" i="8"/>
  <c r="E46" i="8" s="1"/>
  <c r="N45" i="11" l="1"/>
  <c r="O42" i="11"/>
  <c r="O43" i="11" s="1"/>
  <c r="O47" i="11" s="1"/>
  <c r="O45" i="11" l="1"/>
  <c r="E51" i="8"/>
  <c r="E52" i="8" s="1"/>
  <c r="P42" i="11"/>
  <c r="P43" i="11" s="1"/>
  <c r="P47" i="11" s="1"/>
  <c r="P45" i="11" l="1"/>
  <c r="Q42" i="11"/>
  <c r="Q43" i="11" s="1"/>
  <c r="Q47" i="11" s="1"/>
  <c r="Q45" i="11" l="1"/>
  <c r="S42" i="11"/>
  <c r="S43" i="11" s="1"/>
  <c r="S47" i="11" s="1"/>
  <c r="R42" i="11"/>
  <c r="R43" i="11" s="1"/>
  <c r="R47" i="11" s="1"/>
  <c r="R45" i="11" l="1"/>
  <c r="S45" i="11"/>
  <c r="H51" i="8"/>
  <c r="H52" i="8" s="1"/>
</calcChain>
</file>

<file path=xl/sharedStrings.xml><?xml version="1.0" encoding="utf-8"?>
<sst xmlns="http://schemas.openxmlformats.org/spreadsheetml/2006/main" count="763" uniqueCount="491">
  <si>
    <t>INCOME &amp; EXPENDITURE ACCOUNT FOR THE 6 MONTHS TO 31st JANUARY 202X</t>
  </si>
  <si>
    <t>Cumulative YTD</t>
  </si>
  <si>
    <t>Full Year</t>
  </si>
  <si>
    <t>Prior Year</t>
  </si>
  <si>
    <t>Actual</t>
  </si>
  <si>
    <t>Budget</t>
  </si>
  <si>
    <t>Variance</t>
  </si>
  <si>
    <t>Forecast</t>
  </si>
  <si>
    <t>YTD</t>
  </si>
  <si>
    <t>£000s</t>
  </si>
  <si>
    <t>CFFR group</t>
  </si>
  <si>
    <t>INCOME</t>
  </si>
  <si>
    <t>14-16 Income   (funding)</t>
  </si>
  <si>
    <t>14-16 income</t>
  </si>
  <si>
    <t>16-19 Income   (funding)</t>
  </si>
  <si>
    <t>16-19 income (incl. Element 2)</t>
  </si>
  <si>
    <t>Local Authority High Needs - Element 3</t>
  </si>
  <si>
    <t>Apprenticeships Income    (funding)</t>
  </si>
  <si>
    <t>Apprenticeships</t>
  </si>
  <si>
    <t>Adult Education and Training Income (funding)</t>
  </si>
  <si>
    <t>Adult Skills Fund (ASF)</t>
  </si>
  <si>
    <t>Devolved ASF</t>
  </si>
  <si>
    <t>Advanced Learner Loans</t>
  </si>
  <si>
    <t>HE Income  (funding)</t>
  </si>
  <si>
    <t xml:space="preserve">OFS </t>
  </si>
  <si>
    <t>HE Loans</t>
  </si>
  <si>
    <t xml:space="preserve">Other income from provision of education </t>
  </si>
  <si>
    <t>Other Funding body grants</t>
  </si>
  <si>
    <t>Other income from provision of education (fees)</t>
  </si>
  <si>
    <t>Full Cost Fees</t>
  </si>
  <si>
    <t>Apprenticeship Fees</t>
  </si>
  <si>
    <t>Other Tuition Fee Income</t>
  </si>
  <si>
    <t>Commercial income</t>
  </si>
  <si>
    <t>Catering</t>
  </si>
  <si>
    <t>Nursery</t>
  </si>
  <si>
    <t>Other commercial income</t>
  </si>
  <si>
    <t>Other income</t>
  </si>
  <si>
    <t>Other Income</t>
  </si>
  <si>
    <t>TOTAL OPERATING INCOME</t>
  </si>
  <si>
    <t>of which is from sub-contracting</t>
  </si>
  <si>
    <t>PAY</t>
  </si>
  <si>
    <t>Teaching staff</t>
  </si>
  <si>
    <t>Teaching - sessional</t>
  </si>
  <si>
    <t>Contracted tuition services</t>
  </si>
  <si>
    <t>Teaching and other support staff</t>
  </si>
  <si>
    <t>Administration staff</t>
  </si>
  <si>
    <t>Operational &amp; maintenance staff</t>
  </si>
  <si>
    <t>Commercial staff costs</t>
  </si>
  <si>
    <t>Catering Staff</t>
  </si>
  <si>
    <t>Nursery Staff</t>
  </si>
  <si>
    <t>TOTAL PAY</t>
  </si>
  <si>
    <t>Teaching costs</t>
  </si>
  <si>
    <t>NON PAY</t>
  </si>
  <si>
    <t>Teaching and other support costs</t>
  </si>
  <si>
    <t>Administration costs</t>
  </si>
  <si>
    <t>Operational &amp; maintenance costs</t>
  </si>
  <si>
    <t>Examination costs</t>
  </si>
  <si>
    <t>Rent and lease costs</t>
  </si>
  <si>
    <t>Commercial costs</t>
  </si>
  <si>
    <t>Catering costs</t>
  </si>
  <si>
    <t>Subcontracting out costs</t>
  </si>
  <si>
    <t>Nursery costs</t>
  </si>
  <si>
    <t>Other operating expenditure costs</t>
  </si>
  <si>
    <t>Subcontracting costs</t>
  </si>
  <si>
    <t>Other operating expenditure</t>
  </si>
  <si>
    <t>TOTAL NON PAY</t>
  </si>
  <si>
    <t>Education-specific EBITDA</t>
  </si>
  <si>
    <t>EBITDA as % of Income</t>
  </si>
  <si>
    <t>Release of DCGs</t>
  </si>
  <si>
    <t>Depreciation and amortisation</t>
  </si>
  <si>
    <t>Interest and investment income</t>
  </si>
  <si>
    <t>Interest and other finance costs</t>
  </si>
  <si>
    <t>Operating Surplus/(deficit) after ITDA</t>
  </si>
  <si>
    <t>Surplus/(deficit) after ITDA</t>
  </si>
  <si>
    <t>FRS102 adj. - current service costs (non-cash)</t>
  </si>
  <si>
    <t>TCI</t>
  </si>
  <si>
    <t>BALANCE SHEET AS AT 31st JANUARY 202X</t>
  </si>
  <si>
    <t>Opening</t>
  </si>
  <si>
    <t>Balance</t>
  </si>
  <si>
    <t>as at</t>
  </si>
  <si>
    <t>Movement</t>
  </si>
  <si>
    <t>Budget v Forecast</t>
  </si>
  <si>
    <t>1 Aug</t>
  </si>
  <si>
    <t>January 202X</t>
  </si>
  <si>
    <t>ytd</t>
  </si>
  <si>
    <t>31 July 202X</t>
  </si>
  <si>
    <t>Full year</t>
  </si>
  <si>
    <t>Fixed Assets</t>
  </si>
  <si>
    <t xml:space="preserve">Land &amp; Buildings </t>
  </si>
  <si>
    <t xml:space="preserve">Equipment   </t>
  </si>
  <si>
    <t>Total Fixed Assets</t>
  </si>
  <si>
    <t>Current Assets</t>
  </si>
  <si>
    <t>Stock</t>
  </si>
  <si>
    <t>Trade Receivables</t>
  </si>
  <si>
    <t>Other Receivables &amp; Prepayments</t>
  </si>
  <si>
    <t>Cash and cash equivalents</t>
  </si>
  <si>
    <t>Total Current Assets</t>
  </si>
  <si>
    <t>Creditors due within one year</t>
  </si>
  <si>
    <t>Commercial Loans</t>
  </si>
  <si>
    <t>Capital Grant Liability</t>
  </si>
  <si>
    <t>Trade Payables</t>
  </si>
  <si>
    <t>Other Payments on Account</t>
  </si>
  <si>
    <t>Deferred Income</t>
  </si>
  <si>
    <t>Accruals</t>
  </si>
  <si>
    <t>Holiday and Sabbatical Pay Accrual</t>
  </si>
  <si>
    <t>Other Taxation and Social Security</t>
  </si>
  <si>
    <t>Total Creditors due within one year</t>
  </si>
  <si>
    <t>Net Current Assets/(Liabilities)</t>
  </si>
  <si>
    <t>Adjusted current ratio</t>
  </si>
  <si>
    <t>Total assets less current liabilities</t>
  </si>
  <si>
    <t>Creditors: Amounts falling due after one year</t>
  </si>
  <si>
    <t>Commercial loans</t>
  </si>
  <si>
    <t>Capital Grants</t>
  </si>
  <si>
    <t>Total Creditors: Amounts falling due after one year</t>
  </si>
  <si>
    <t>Total borrowing as % of income</t>
  </si>
  <si>
    <t>Provisions</t>
  </si>
  <si>
    <t>Local Government Pension Scheme Provision</t>
  </si>
  <si>
    <t>Total Provisions</t>
  </si>
  <si>
    <t>Total Net Assets</t>
  </si>
  <si>
    <t>Reserves</t>
  </si>
  <si>
    <t>Pension Reserve</t>
  </si>
  <si>
    <t>Revaluation Reserve</t>
  </si>
  <si>
    <t>Income and Expenditure Reserve</t>
  </si>
  <si>
    <t>Total Reserves</t>
  </si>
  <si>
    <t>WEATHERBURY COLLEGE - 12 month rolling cashflow forecast</t>
  </si>
  <si>
    <t>All amounts £'000s</t>
  </si>
  <si>
    <t>Aug</t>
  </si>
  <si>
    <t>Sep</t>
  </si>
  <si>
    <t>Oct</t>
  </si>
  <si>
    <t>Nov</t>
  </si>
  <si>
    <t>Dec</t>
  </si>
  <si>
    <t>Jan 202X</t>
  </si>
  <si>
    <t>Feb</t>
  </si>
  <si>
    <t>Mar</t>
  </si>
  <si>
    <t>Apr</t>
  </si>
  <si>
    <t>May</t>
  </si>
  <si>
    <t>Jun</t>
  </si>
  <si>
    <t>Jul</t>
  </si>
  <si>
    <t>Jan</t>
  </si>
  <si>
    <t>Operating Receipts</t>
  </si>
  <si>
    <t>16-19 Allocation</t>
  </si>
  <si>
    <t>Student Loans (HE &amp; ALL)</t>
  </si>
  <si>
    <t>OfS</t>
  </si>
  <si>
    <t>Other funding body grants</t>
  </si>
  <si>
    <t>Other fees &amp; contracts</t>
  </si>
  <si>
    <t>Other income generating activities</t>
  </si>
  <si>
    <t>Total Operating Receipts</t>
  </si>
  <si>
    <t>Payroll</t>
  </si>
  <si>
    <t>Salaries</t>
  </si>
  <si>
    <t>Pension (TPS &amp; LGPS)</t>
  </si>
  <si>
    <t>HMRC</t>
  </si>
  <si>
    <t>Total Payroll</t>
  </si>
  <si>
    <t>Operating payments</t>
  </si>
  <si>
    <t>Supplier payments</t>
  </si>
  <si>
    <t>Sub Contractor</t>
  </si>
  <si>
    <t>HMRC VAT</t>
  </si>
  <si>
    <t>Prior year funding adjust</t>
  </si>
  <si>
    <t>Total operating payments</t>
  </si>
  <si>
    <t>Cash movement on operating activities</t>
  </si>
  <si>
    <t>Annual Capex</t>
  </si>
  <si>
    <t>Payments</t>
  </si>
  <si>
    <t>Net expenditure on Capex</t>
  </si>
  <si>
    <t>Financing</t>
  </si>
  <si>
    <t>Interest received</t>
  </si>
  <si>
    <t>Bank Loan repayments</t>
  </si>
  <si>
    <t>Total Financing</t>
  </si>
  <si>
    <t>Net cash movement for period</t>
  </si>
  <si>
    <t>Opening Balance</t>
  </si>
  <si>
    <t>Closing Balance</t>
  </si>
  <si>
    <t>Cash Days - Closing balance</t>
  </si>
  <si>
    <t>Budget closing balance</t>
  </si>
  <si>
    <t>Actual closing balance</t>
  </si>
  <si>
    <t>Restricted cash</t>
  </si>
  <si>
    <t>WEATHERBURY COLLEGE</t>
  </si>
  <si>
    <t>Staff FTE Report</t>
  </si>
  <si>
    <t>June</t>
  </si>
  <si>
    <t>July</t>
  </si>
  <si>
    <t>Curriculum Areas</t>
  </si>
  <si>
    <t>Health &amp; social Care</t>
  </si>
  <si>
    <t>Art, Design &amp; Media</t>
  </si>
  <si>
    <t>Business</t>
  </si>
  <si>
    <t>Construction</t>
  </si>
  <si>
    <t>Engineering</t>
  </si>
  <si>
    <t>Sport &amp; Public Services</t>
  </si>
  <si>
    <t>Hair, Beauty, Hospitality &amp; catering</t>
  </si>
  <si>
    <t>Additional Learning Support</t>
  </si>
  <si>
    <t xml:space="preserve">HE </t>
  </si>
  <si>
    <t>International</t>
  </si>
  <si>
    <t>Total Curriculum Staff</t>
  </si>
  <si>
    <t>Other</t>
  </si>
  <si>
    <t>Business Support/ Overheads</t>
  </si>
  <si>
    <t xml:space="preserve">Total Actual FTE </t>
  </si>
  <si>
    <t>Variance from budget</t>
  </si>
  <si>
    <t>Vacant posts have been slower to recruit than the plan, which assumed all posts fully occupied.</t>
  </si>
  <si>
    <t>Sub-Contractor summary</t>
  </si>
  <si>
    <t xml:space="preserve">Planned </t>
  </si>
  <si>
    <t>Year to Date</t>
  </si>
  <si>
    <t>Full year forecast</t>
  </si>
  <si>
    <t>Income £'000s</t>
  </si>
  <si>
    <t>Partner Cost £'000s</t>
  </si>
  <si>
    <t>Contribution £'000s</t>
  </si>
  <si>
    <t>% to Partner</t>
  </si>
  <si>
    <t>Variance on Cont. £'000s</t>
  </si>
  <si>
    <t>ASF</t>
  </si>
  <si>
    <t>Partner 1</t>
  </si>
  <si>
    <t>Partner 2</t>
  </si>
  <si>
    <t>Partner 3</t>
  </si>
  <si>
    <t>Total ASF to sub-con</t>
  </si>
  <si>
    <t xml:space="preserve">Total ASF income </t>
  </si>
  <si>
    <t>% of ASF income by S/C</t>
  </si>
  <si>
    <t>Total Apps to sub-con</t>
  </si>
  <si>
    <t xml:space="preserve">Total Apps income </t>
  </si>
  <si>
    <t>% of Apps income by S/C</t>
  </si>
  <si>
    <t>Total all S/C</t>
  </si>
  <si>
    <t>Total College Income</t>
  </si>
  <si>
    <t>% of income from S/C</t>
  </si>
  <si>
    <t>Comments</t>
  </si>
  <si>
    <t xml:space="preserve">Sub-contracted delivery is budgeted at </t>
  </si>
  <si>
    <t xml:space="preserve">Delivery to date is marginally behind profile </t>
  </si>
  <si>
    <t xml:space="preserve">Direct costs of subcontracted delivery at </t>
  </si>
  <si>
    <t xml:space="preserve">£300,000 for the year as a whole, </t>
  </si>
  <si>
    <t xml:space="preserve">but forecast to hit contracted volume by </t>
  </si>
  <si>
    <t>£240,000 for the year equate to 80% of</t>
  </si>
  <si>
    <t>representing under 2% of total delivery</t>
  </si>
  <si>
    <t>year-end</t>
  </si>
  <si>
    <t>the value of the provision</t>
  </si>
  <si>
    <t>Contribution analysis</t>
  </si>
  <si>
    <t>Direct Cost £'000s</t>
  </si>
  <si>
    <t>Contribution %</t>
  </si>
  <si>
    <t>Contribution rate %</t>
  </si>
  <si>
    <t>Health &amp; social care</t>
  </si>
  <si>
    <t>Art, design &amp; media</t>
  </si>
  <si>
    <t>Sport &amp; public services</t>
  </si>
  <si>
    <t>Hair, beauty, hospitality &amp; catering</t>
  </si>
  <si>
    <t>English and maths (ALS)</t>
  </si>
  <si>
    <t xml:space="preserve">Check </t>
  </si>
  <si>
    <t>Other operating income</t>
  </si>
  <si>
    <t>Commercial income contribution</t>
  </si>
  <si>
    <t>Check against I&amp;E</t>
  </si>
  <si>
    <t>Total operating overheads</t>
  </si>
  <si>
    <t>EBITDA surplus/deficit</t>
  </si>
  <si>
    <t>Total overheads (incl. net interest and depreciation)</t>
  </si>
  <si>
    <t>Surplus/deficit</t>
  </si>
  <si>
    <t xml:space="preserve">Engineering and Construction contribution was planned </t>
  </si>
  <si>
    <t xml:space="preserve">Direct contribution is forecast to be £438k lower than </t>
  </si>
  <si>
    <t>to be lower due to difficulty obtaining specialist staffing</t>
  </si>
  <si>
    <t xml:space="preserve">budget, the biggest factors being underrecruitment in </t>
  </si>
  <si>
    <t>leading to higher staff cost (agency staffing)</t>
  </si>
  <si>
    <t>Business and Sport, with no corresponding staff savings.</t>
  </si>
  <si>
    <t xml:space="preserve">However, there have been savings on </t>
  </si>
  <si>
    <t>overhead costs of £196k which have offset this position.</t>
  </si>
  <si>
    <t>Trading Activities and Projects as at 31 January 202X</t>
  </si>
  <si>
    <t>Notes</t>
  </si>
  <si>
    <t>Sales</t>
  </si>
  <si>
    <t>Higher number of children attending</t>
  </si>
  <si>
    <t>Direct Costs- pay</t>
  </si>
  <si>
    <t>Staff overtime costs</t>
  </si>
  <si>
    <t>Direct Costs-  non pay</t>
  </si>
  <si>
    <t>Additional sundry costs for higher number of children</t>
  </si>
  <si>
    <t>Gross Profit</t>
  </si>
  <si>
    <t>GP %</t>
  </si>
  <si>
    <t>Overheads</t>
  </si>
  <si>
    <t>Notional estates cost charge of 2.5% of total running costs</t>
  </si>
  <si>
    <t>Net Profit/(Loss)</t>
  </si>
  <si>
    <t>Increased average spend per customer</t>
  </si>
  <si>
    <t>Staff costs plan expected to be as budget</t>
  </si>
  <si>
    <t>Food cost increases from main suppliers</t>
  </si>
  <si>
    <t>Notional estates cost charge of 4% of total running costs</t>
  </si>
  <si>
    <t>Income &amp; Expenditure</t>
  </si>
  <si>
    <t>£'000s</t>
  </si>
  <si>
    <t>Income</t>
  </si>
  <si>
    <t>Pay Expenditure</t>
  </si>
  <si>
    <t>Non-Pay Expenditure</t>
  </si>
  <si>
    <t>EBITDA (Earnings before Interest, Tax &amp; Depreciation)</t>
  </si>
  <si>
    <t>Release of Capital Grants</t>
  </si>
  <si>
    <t>Depreciation</t>
  </si>
  <si>
    <t>Net interest</t>
  </si>
  <si>
    <t>Surplus/(Deficit) after ITDA</t>
  </si>
  <si>
    <t>FRS102 Pension adjustments</t>
  </si>
  <si>
    <t>Surplus/(Deficit) after Exceptional Items</t>
  </si>
  <si>
    <t>KPI</t>
  </si>
  <si>
    <t>Current Year</t>
  </si>
  <si>
    <t>Staff Cost %</t>
  </si>
  <si>
    <t>Closing Month-End Cash Balance (£k)</t>
  </si>
  <si>
    <t>Cash Days in Hand (No of Days)</t>
  </si>
  <si>
    <t>Financial Health Rating</t>
  </si>
  <si>
    <t>RI</t>
  </si>
  <si>
    <t>Good</t>
  </si>
  <si>
    <t>Loan Covenants</t>
  </si>
  <si>
    <t>2 covenants breached</t>
  </si>
  <si>
    <t>At risk</t>
  </si>
  <si>
    <t>Compliant</t>
  </si>
  <si>
    <t>Financial Health</t>
  </si>
  <si>
    <t xml:space="preserve">Budget </t>
  </si>
  <si>
    <t xml:space="preserve">Forecast </t>
  </si>
  <si>
    <t>RAG</t>
  </si>
  <si>
    <t>Headroom</t>
  </si>
  <si>
    <t>Bank covenants and financial health as at 31st January 202X</t>
  </si>
  <si>
    <t>Ratio</t>
  </si>
  <si>
    <t>Points</t>
  </si>
  <si>
    <t>Bank Covenants</t>
  </si>
  <si>
    <r>
      <t xml:space="preserve">Solvency </t>
    </r>
    <r>
      <rPr>
        <sz val="14"/>
        <color rgb="FF000000"/>
        <rFont val="Arial"/>
        <family val="2"/>
      </rPr>
      <t>(adjusted current ratio)</t>
    </r>
  </si>
  <si>
    <t>Net current assets down by £133k</t>
  </si>
  <si>
    <t>Covenant Measure</t>
  </si>
  <si>
    <t>Budget 202W/2X</t>
  </si>
  <si>
    <t>Forecast 202W/2X</t>
  </si>
  <si>
    <t>Covenant Met</t>
  </si>
  <si>
    <r>
      <t xml:space="preserve">Performance </t>
    </r>
    <r>
      <rPr>
        <sz val="14"/>
        <color rgb="FF000000"/>
        <rFont val="Arial"/>
        <family val="2"/>
      </rPr>
      <t>(EBITDA as % of adjusted income)</t>
    </r>
  </si>
  <si>
    <t>EBITDA down by £37k</t>
  </si>
  <si>
    <t>Debt Service Cover &gt;1.25</t>
  </si>
  <si>
    <t>NO</t>
  </si>
  <si>
    <t>Need to generate +£199k of cash to meet covenant or reduce debt costs by c£160k</t>
  </si>
  <si>
    <r>
      <t xml:space="preserve"> Borrowing </t>
    </r>
    <r>
      <rPr>
        <sz val="14"/>
        <color rgb="FF000000"/>
        <rFont val="Arial"/>
        <family val="2"/>
      </rPr>
      <t>(as % of adjusted income)</t>
    </r>
  </si>
  <si>
    <t>Income down by £870k or borrowing up by £351k</t>
  </si>
  <si>
    <t>Net borrowings:EBITDA &lt;7.0</t>
  </si>
  <si>
    <t>Need EBITDA to increase by £179k to meet covenant</t>
  </si>
  <si>
    <t>Total Points</t>
  </si>
  <si>
    <t>Net Assets (excl. pension liability) &gt;0</t>
  </si>
  <si>
    <t>YES</t>
  </si>
  <si>
    <t>Automated Financial Health Grade</t>
  </si>
  <si>
    <t>Self-Assessed Financial Health Grade</t>
  </si>
  <si>
    <t>Headroom on performance ratio is only £37k creating a high risk that the financial health autoscore could slip to inadequate.</t>
  </si>
  <si>
    <t xml:space="preserve">Requires </t>
  </si>
  <si>
    <t>Improvement</t>
  </si>
  <si>
    <t>AMBER</t>
  </si>
  <si>
    <t>RED</t>
  </si>
  <si>
    <t>covenants at year-end. this will impact adversely on the solvency ratio and almost certainly push the financial health autoscore to inadequate.</t>
  </si>
  <si>
    <t xml:space="preserve">Given the prospect of a covenant breach, the DfE will be informed and dialogue is ongoing with the bank to secure a waiver or agreement not to measure </t>
  </si>
  <si>
    <t>Worse</t>
  </si>
  <si>
    <t>I &amp; E  Key full year forecast variances to budget as at 31st January 202X</t>
  </si>
  <si>
    <t>£'000</t>
  </si>
  <si>
    <t>Original budgeted / forecast operating deficit excl FRS 102</t>
  </si>
  <si>
    <t>Variance from budget is £242k adverse</t>
  </si>
  <si>
    <t>Key Variances</t>
  </si>
  <si>
    <t>Better/Worse v Budget</t>
  </si>
  <si>
    <t>Income Variances</t>
  </si>
  <si>
    <t>Adult Skills Fund</t>
  </si>
  <si>
    <t>See the table below for delivery against the separate contracts.</t>
  </si>
  <si>
    <t xml:space="preserve">Apprenticeships </t>
  </si>
  <si>
    <t>New starts behind on profile</t>
  </si>
  <si>
    <t>HE Fees</t>
  </si>
  <si>
    <t>FT Learner numbers are 10 lower than target</t>
  </si>
  <si>
    <t>Other income lines</t>
  </si>
  <si>
    <t>LA 14-16 schools not willing to pay (£26k), full cost fees lower take up on course offer (£26k), apprenticeship fees (£17k) lower new starts</t>
  </si>
  <si>
    <t>Total Income Variances</t>
  </si>
  <si>
    <t>Overall 2% below budget</t>
  </si>
  <si>
    <t>Expenditure Variances</t>
  </si>
  <si>
    <t>Teaching pay costs</t>
  </si>
  <si>
    <t>Better</t>
  </si>
  <si>
    <t>1% underspend, due to unfilled vacancies partially offset by higher sessional staff</t>
  </si>
  <si>
    <t>Non teaching pay costs</t>
  </si>
  <si>
    <t>2% underspend due to slower filling of vacant roles</t>
  </si>
  <si>
    <t>Agency staffing</t>
  </si>
  <si>
    <t>Lower need than anticipated</t>
  </si>
  <si>
    <t>Other staff</t>
  </si>
  <si>
    <t>Nursery staff</t>
  </si>
  <si>
    <t xml:space="preserve">4% underspend - saving across curriculum areas to offset IT overspend </t>
  </si>
  <si>
    <t>Increased in utility charges, and some urgent maintenance work on main site 2% overspend</t>
  </si>
  <si>
    <t>Change of exam entry mix</t>
  </si>
  <si>
    <t>New lease for evening provision</t>
  </si>
  <si>
    <t>Catering supplies cost increases</t>
  </si>
  <si>
    <t>IT costs 31k over due to additional student laptops</t>
  </si>
  <si>
    <t>Total Expenditure Variances</t>
  </si>
  <si>
    <t>Overall 0.5% better than budget</t>
  </si>
  <si>
    <t>Depreciation and interest</t>
  </si>
  <si>
    <t>Total of all variances</t>
  </si>
  <si>
    <t>Budgeted deficit £20k, Forecast deficit is £262k</t>
  </si>
  <si>
    <t>Debtors and Creditors Analysis</t>
  </si>
  <si>
    <t>Debtors</t>
  </si>
  <si>
    <t>Jul 202W</t>
  </si>
  <si>
    <t>Change</t>
  </si>
  <si>
    <t>% of total Jan 202X</t>
  </si>
  <si>
    <t>Current &lt; 30 days</t>
  </si>
  <si>
    <t>30-60 days</t>
  </si>
  <si>
    <t>60-90 days</t>
  </si>
  <si>
    <t>Over 3 months</t>
  </si>
  <si>
    <t>Total</t>
  </si>
  <si>
    <t>Debtors over 3 months are fully provided for. All debtors below 90 days are currently expected to be fully recoverable.</t>
  </si>
  <si>
    <t>Creditors</t>
  </si>
  <si>
    <t>Policy is to pay all suppliers within 30 days unless agreed terms state otherwise.  Current balance over 3 months relates to one supplier where there is an outstanding query to resolve on the invoice. This is expected to be resolved in the next month.</t>
  </si>
  <si>
    <t>Use of Cash Summary 202W/2X</t>
  </si>
  <si>
    <t>Cash generation from Operations</t>
  </si>
  <si>
    <t>Cash received from interest</t>
  </si>
  <si>
    <t>Total Cash available</t>
  </si>
  <si>
    <t>Cash used to service debt</t>
  </si>
  <si>
    <t>Cash spent on routine capital</t>
  </si>
  <si>
    <t>Cash Movement excl. major capital projects &amp; new loans</t>
  </si>
  <si>
    <t>Net cash contribution to major capital project</t>
  </si>
  <si>
    <t>Total Cash Movement</t>
  </si>
  <si>
    <t>Cash at Start of Year</t>
  </si>
  <si>
    <t>Cash at End of Year</t>
  </si>
  <si>
    <t>Budgeted Cash Movement for Year</t>
  </si>
  <si>
    <t>% cash used to service debt</t>
  </si>
  <si>
    <t>% cash used for routine capex</t>
  </si>
  <si>
    <t>Total % use of cash</t>
  </si>
  <si>
    <t>We will use approximately double the amount of cash we generate from operations this year to meet our debt servicing commitments and to meet the capital expenditure investment programme. This is not sustainable in future years.</t>
  </si>
  <si>
    <t>KPIs as at 31st January 202X</t>
  </si>
  <si>
    <t>Indicator</t>
  </si>
  <si>
    <t>Actuals YTD</t>
  </si>
  <si>
    <t>Budget / Target (full year)</t>
  </si>
  <si>
    <t>Operating Surplus/(Deficit) as % of Turnover</t>
  </si>
  <si>
    <t>DECREASE</t>
  </si>
  <si>
    <t>Cash Days in Hand</t>
  </si>
  <si>
    <t>Pay as % of Turnover</t>
  </si>
  <si>
    <t>GREEN</t>
  </si>
  <si>
    <t>NO CHANGE</t>
  </si>
  <si>
    <t>Education EBITDA (£'000s)</t>
  </si>
  <si>
    <t>Cash Balance (£'000s)</t>
  </si>
  <si>
    <t>Debtor Days</t>
  </si>
  <si>
    <t>Creditor Days</t>
  </si>
  <si>
    <t>-</t>
  </si>
  <si>
    <t>Staff Numbers (fte’s)</t>
  </si>
  <si>
    <t>Staff Utilisation</t>
  </si>
  <si>
    <t>Average class size - overall</t>
  </si>
  <si>
    <t>Capital Budget</t>
  </si>
  <si>
    <t>Year to date actual</t>
  </si>
  <si>
    <t>Committed</t>
  </si>
  <si>
    <t>Total (actual + committed)</t>
  </si>
  <si>
    <t>Full year budget</t>
  </si>
  <si>
    <t>Forecast Full Year</t>
  </si>
  <si>
    <t>Forecast under/ (over)</t>
  </si>
  <si>
    <t>£’000</t>
  </si>
  <si>
    <t>Server Upgrades</t>
  </si>
  <si>
    <t>New HR System</t>
  </si>
  <si>
    <t>Replacement PCs</t>
  </si>
  <si>
    <t>Curriculum Equipment</t>
  </si>
  <si>
    <t>Relocation of Electrical</t>
  </si>
  <si>
    <t>Refectory Upgrade</t>
  </si>
  <si>
    <t>All capital projects are proceeding to plan. Overall capex for the year is forecast to be £10,000 below the full-year budget.</t>
  </si>
  <si>
    <t>Risk and Sensitivity as at 31 Januay 202X</t>
  </si>
  <si>
    <t>Forecast Outturn (£'000)</t>
  </si>
  <si>
    <t>Base case</t>
  </si>
  <si>
    <t>Best case</t>
  </si>
  <si>
    <t>Worst case</t>
  </si>
  <si>
    <t>16-19 Income</t>
  </si>
  <si>
    <t>Other Grants / LA Income</t>
  </si>
  <si>
    <t>Higher Education Grants / Fees</t>
  </si>
  <si>
    <t>FE Loans, FE and Full Cost Fees</t>
  </si>
  <si>
    <t>Total Income</t>
  </si>
  <si>
    <t>Pay Costs (excl. staff restructuring)</t>
  </si>
  <si>
    <t>Staff Restructuring Costs</t>
  </si>
  <si>
    <t>Other Non-Pay Costs</t>
  </si>
  <si>
    <t>Total Operating Expenditure</t>
  </si>
  <si>
    <t>Education EBITDA</t>
  </si>
  <si>
    <t>Investment Income</t>
  </si>
  <si>
    <t>Interest</t>
  </si>
  <si>
    <t>Operating Surplus / (Deficit)</t>
  </si>
  <si>
    <t>Summary of Key Financial Risks</t>
  </si>
  <si>
    <t>Issues for Further Review</t>
  </si>
  <si>
    <t>Ref</t>
  </si>
  <si>
    <t>Risk</t>
  </si>
  <si>
    <t>Issue for Review</t>
  </si>
  <si>
    <t>Timescale</t>
  </si>
  <si>
    <t>Failure to achieve budget targets for 202W/2X leads to a breach of loan covenants that could trigger a decline in financial health to inadequate.</t>
  </si>
  <si>
    <t>Monitoring of forecast loan covenant breach and progress with securing waiver before year-end.  Inform the DfE of potential breach.</t>
  </si>
  <si>
    <t>Jul 202X</t>
  </si>
  <si>
    <t>Failure to  improve the underlying financial sustainability, including forward cashflows, of the college leading to a possible case for structural change.</t>
  </si>
  <si>
    <t>Monitoring of potential for decline in forecast financial health grade for 202W/2X to inadequate (linked to covenant breach).  Inform the DfE of potential breach/financial health grade.</t>
  </si>
  <si>
    <t>Failure to secure agreement with the bank regarding waiver of the forecast covenant breach and/or to revised covenant terms.</t>
  </si>
  <si>
    <t>Confirmation of cost reduction actions aimed at achieving target in-year savings of c£242,000.  Inform the DfE of potential breach.</t>
  </si>
  <si>
    <t>April 202X (actions agreed) 
July 202X (actions implemented)</t>
  </si>
  <si>
    <t>Confirmation of strategies to achieve ASF budget targets for 202W/2X i.e. closing projected shortfall of £139,000.</t>
  </si>
  <si>
    <t>Underdelivery year to date</t>
  </si>
  <si>
    <t>Forecast out-turn</t>
  </si>
  <si>
    <t>Tolerance for underdelivery</t>
  </si>
  <si>
    <t>Forecast underdelivery</t>
  </si>
  <si>
    <t>Forecast recovery (clawback)</t>
  </si>
  <si>
    <t>Actual £000</t>
  </si>
  <si>
    <t>Budget £000</t>
  </si>
  <si>
    <t>Var £000</t>
  </si>
  <si>
    <t>£000</t>
  </si>
  <si>
    <t>ASF grant-funded</t>
  </si>
  <si>
    <t>ASF devolved</t>
  </si>
  <si>
    <t xml:space="preserve">The table opposite indicates three scenarios for the forecast out-turn </t>
  </si>
  <si>
    <t xml:space="preserve">reflecting three key variables: </t>
  </si>
  <si>
    <t xml:space="preserve">2. FE / Full cost fees potential additional shortfall of £50,000 (worst case) </t>
  </si>
  <si>
    <t>shortfall of 10% in worst case)</t>
  </si>
  <si>
    <t xml:space="preserve">1. ASF income (full achievement of allocations under best case and </t>
  </si>
  <si>
    <t>3. Achievement in-year of £82,000 savings in pay costs and £160,000</t>
  </si>
  <si>
    <t xml:space="preserve"> i.e. marginally better than budget. </t>
  </si>
  <si>
    <t>The best case scenario would result in an operating surplus of £119,000</t>
  </si>
  <si>
    <t xml:space="preserve">deficit of £262,000 which will trigger a covenant breach.  </t>
  </si>
  <si>
    <t>The base case scenario (most likely outcome) results in an operating</t>
  </si>
  <si>
    <t>If a waiver can be secured financial health will remain requires</t>
  </si>
  <si>
    <t>improvement</t>
  </si>
  <si>
    <t>The worst case scenario results in an operating deficit of £472,000</t>
  </si>
  <si>
    <t xml:space="preserve"> and covenant breach.  Even if a waiver is secured, the financial health </t>
  </si>
  <si>
    <t xml:space="preserve">adjusted current ratio.  </t>
  </si>
  <si>
    <t xml:space="preserve">autoscore would fall to inadequate to a lower EBITDA and a weaker </t>
  </si>
  <si>
    <t>Cashflow Forecast as at 31st January 202X</t>
  </si>
  <si>
    <t xml:space="preserve">Cash days of 27 days in April 202X  (low point for year), decreasing to 17 days in January 202Y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</si>
</sst>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43" formatCode="_-* #,##0.00_-;\-* #,##0.00_-;_-* &quot;-&quot;??_-;_-@_-"/>
    <numFmt numFmtId="164" formatCode="0.0%"/>
    <numFmt numFmtId="165" formatCode="_-* #,##0_-;\-* #,##0_-;_-* &quot;-&quot;??_-;_-@_-"/>
    <numFmt numFmtId="166" formatCode="#,###;\(#,###\)"/>
    <numFmt numFmtId="167" formatCode="#,##0;\(#,##0\)"/>
    <numFmt numFmtId="168" formatCode="_-* #,##0_-;* \(#,##0\)_-;_-* &quot;-&quot;??_-;_-@_-"/>
    <numFmt numFmtId="169" formatCode="&quot;Forecast&quot;;&quot;Act/For&quot;;&quot;Actual&quot;"/>
    <numFmt numFmtId="170" formatCode="0.0"/>
    <numFmt numFmtId="171" formatCode="&quot; &quot;* #,##0.00&quot; &quot;;&quot;-&quot;* #,##0.00&quot; &quot;;&quot; &quot;* &quot;-&quot;#&quot; &quot;;&quot; &quot;@&quot; &quot;"/>
    <numFmt numFmtId="172" formatCode="#,##0&quot; Days&quot;;\(#,##0\ &quot;Days&quot;\)"/>
    <numFmt numFmtId="173" formatCode="0.0%;\(0.0%\)"/>
    <numFmt numFmtId="174" formatCode="#,##0.0;\(#,##0.0\)"/>
  </numFmts>
  <fonts count="56"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color indexed="20"/>
      <name val="Times New Roman"/>
      <family val="2"/>
    </font>
    <font>
      <b/>
      <sz val="12"/>
      <name val="Arial"/>
      <family val="2"/>
    </font>
    <font>
      <b/>
      <sz val="12"/>
      <color indexed="10"/>
      <name val="Arial"/>
      <family val="2"/>
    </font>
    <font>
      <sz val="12"/>
      <name val="Arial"/>
      <family val="2"/>
    </font>
    <font>
      <sz val="12"/>
      <color theme="1"/>
      <name val="Calibri"/>
      <family val="2"/>
      <scheme val="minor"/>
    </font>
    <font>
      <sz val="12"/>
      <color theme="1"/>
      <name val="Arial"/>
      <family val="2"/>
    </font>
    <font>
      <sz val="11"/>
      <name val="Calibri"/>
      <family val="2"/>
      <scheme val="minor"/>
    </font>
    <font>
      <b/>
      <sz val="12"/>
      <color theme="1"/>
      <name val="Arial"/>
      <family val="2"/>
    </font>
    <font>
      <b/>
      <sz val="16"/>
      <color theme="1"/>
      <name val="Arial"/>
      <family val="2"/>
    </font>
    <font>
      <b/>
      <sz val="16"/>
      <name val="Arial"/>
      <family val="2"/>
    </font>
    <font>
      <b/>
      <sz val="10"/>
      <name val="Arial"/>
      <family val="2"/>
    </font>
    <font>
      <sz val="8"/>
      <color theme="1"/>
      <name val="Calibri"/>
      <family val="2"/>
      <scheme val="minor"/>
    </font>
    <font>
      <b/>
      <sz val="11"/>
      <color theme="0"/>
      <name val="Calibri"/>
      <family val="2"/>
    </font>
    <font>
      <b/>
      <sz val="11"/>
      <name val="Arial"/>
      <family val="2"/>
    </font>
    <font>
      <sz val="11"/>
      <name val="Arial"/>
      <family val="2"/>
    </font>
    <font>
      <sz val="8"/>
      <name val="Calibri"/>
      <family val="2"/>
      <scheme val="minor"/>
    </font>
    <font>
      <b/>
      <sz val="11"/>
      <name val="Calibri"/>
      <family val="2"/>
      <scheme val="minor"/>
    </font>
    <font>
      <sz val="11"/>
      <color rgb="FF000000"/>
      <name val="Calibri"/>
      <family val="2"/>
    </font>
    <font>
      <b/>
      <sz val="16"/>
      <color rgb="FF000000"/>
      <name val="Arial"/>
      <family val="2"/>
    </font>
    <font>
      <sz val="14"/>
      <color rgb="FF000000"/>
      <name val="Arial"/>
      <family val="2"/>
    </font>
    <font>
      <b/>
      <sz val="14"/>
      <color rgb="FF000000"/>
      <name val="Arial"/>
      <family val="2"/>
    </font>
    <font>
      <b/>
      <sz val="12"/>
      <color rgb="FF000000"/>
      <name val="Arial"/>
      <family val="2"/>
    </font>
    <font>
      <sz val="12"/>
      <color rgb="FF000000"/>
      <name val="Arial"/>
      <family val="2"/>
    </font>
    <font>
      <sz val="11"/>
      <color rgb="FF000000"/>
      <name val="Arial"/>
      <family val="2"/>
    </font>
    <font>
      <b/>
      <sz val="11"/>
      <color rgb="FF000000"/>
      <name val="Arial"/>
      <family val="2"/>
    </font>
    <font>
      <sz val="14"/>
      <color rgb="FF000000"/>
      <name val="Calibri"/>
      <family val="2"/>
    </font>
    <font>
      <b/>
      <sz val="12"/>
      <color rgb="FF305496"/>
      <name val="Arial"/>
      <family val="2"/>
    </font>
    <font>
      <b/>
      <sz val="12"/>
      <color rgb="FF900000"/>
      <name val="Arial"/>
      <family val="2"/>
    </font>
    <font>
      <sz val="8"/>
      <color rgb="FF000000"/>
      <name val="Arial"/>
      <family val="2"/>
    </font>
    <font>
      <b/>
      <u/>
      <sz val="14"/>
      <color rgb="FF000000"/>
      <name val="Arial"/>
      <family val="2"/>
    </font>
    <font>
      <b/>
      <sz val="12"/>
      <color rgb="FFA20000"/>
      <name val="Arial"/>
      <family val="2"/>
    </font>
    <font>
      <b/>
      <u/>
      <sz val="12"/>
      <color rgb="FF000000"/>
      <name val="Arial"/>
      <family val="2"/>
    </font>
    <font>
      <b/>
      <sz val="12"/>
      <color rgb="FF000000"/>
      <name val="Calibri"/>
      <family val="2"/>
      <scheme val="minor"/>
    </font>
    <font>
      <sz val="12"/>
      <color rgb="FF000000"/>
      <name val="Calibri"/>
      <family val="2"/>
      <scheme val="minor"/>
    </font>
    <font>
      <b/>
      <sz val="11"/>
      <color rgb="FF000000"/>
      <name val="Calibri"/>
      <family val="2"/>
      <scheme val="minor"/>
    </font>
    <font>
      <b/>
      <sz val="14"/>
      <name val="Arial"/>
      <family val="2"/>
    </font>
    <font>
      <sz val="14"/>
      <name val="Arial"/>
      <family val="2"/>
    </font>
    <font>
      <sz val="16"/>
      <name val="Arial"/>
      <family val="2"/>
    </font>
    <font>
      <b/>
      <sz val="14"/>
      <color theme="1"/>
      <name val="Arial"/>
      <family val="2"/>
    </font>
    <font>
      <sz val="14"/>
      <color theme="1"/>
      <name val="Arial"/>
      <family val="2"/>
    </font>
    <font>
      <sz val="18"/>
      <name val="Arial"/>
      <family val="2"/>
    </font>
    <font>
      <b/>
      <sz val="11"/>
      <color theme="1"/>
      <name val="Arial"/>
      <family val="2"/>
    </font>
    <font>
      <b/>
      <sz val="12"/>
      <color rgb="FFED0000"/>
      <name val="Arial"/>
      <family val="2"/>
    </font>
    <font>
      <b/>
      <sz val="12"/>
      <color theme="9" tint="-0.249977111117893"/>
      <name val="Arial"/>
      <family val="2"/>
    </font>
    <font>
      <b/>
      <sz val="12"/>
      <color theme="0"/>
      <name val="Arial"/>
      <family val="2"/>
    </font>
    <font>
      <sz val="18"/>
      <color rgb="FF000000"/>
      <name val="Calibri"/>
      <family val="2"/>
      <scheme val="minor"/>
    </font>
    <font>
      <sz val="18"/>
      <color theme="1"/>
      <name val="Arial"/>
      <family val="2"/>
    </font>
    <font>
      <sz val="16"/>
      <color rgb="FF000000"/>
      <name val="Calibri"/>
      <family val="2"/>
    </font>
    <font>
      <sz val="14"/>
      <color theme="1"/>
      <name val="Calibri"/>
      <family val="2"/>
      <scheme val="minor"/>
    </font>
    <font>
      <b/>
      <sz val="16"/>
      <color rgb="FF000000"/>
      <name val="Calibri"/>
      <family val="2"/>
    </font>
    <font>
      <sz val="16"/>
      <color rgb="FF000000"/>
      <name val="Arial"/>
      <family val="2"/>
    </font>
    <font>
      <sz val="11"/>
      <color theme="1"/>
      <name val="Arial"/>
      <family val="2"/>
    </font>
  </fonts>
  <fills count="26">
    <fill>
      <patternFill patternType="none"/>
    </fill>
    <fill>
      <patternFill patternType="gray125"/>
    </fill>
    <fill>
      <patternFill patternType="solid">
        <fgColor indexed="46"/>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6337778862885"/>
        <bgColor indexed="64"/>
      </patternFill>
    </fill>
    <fill>
      <patternFill patternType="solid">
        <fgColor theme="0" tint="-0.34998626667073579"/>
        <bgColor indexed="64"/>
      </patternFill>
    </fill>
    <fill>
      <patternFill patternType="solid">
        <fgColor rgb="FF0070C0"/>
        <bgColor indexed="64"/>
      </patternFill>
    </fill>
    <fill>
      <patternFill patternType="solid">
        <fgColor rgb="FFB4C6E7"/>
        <bgColor rgb="FFB4C6E7"/>
      </patternFill>
    </fill>
    <fill>
      <patternFill patternType="solid">
        <fgColor rgb="FFFFF2CC"/>
        <bgColor rgb="FFFFF2CC"/>
      </patternFill>
    </fill>
    <fill>
      <patternFill patternType="solid">
        <fgColor rgb="FFD9E1F2"/>
        <bgColor rgb="FFD9E1F2"/>
      </patternFill>
    </fill>
    <fill>
      <patternFill patternType="solid">
        <fgColor rgb="FFEDEDED"/>
        <bgColor rgb="FFEDEDED"/>
      </patternFill>
    </fill>
    <fill>
      <patternFill patternType="solid">
        <fgColor theme="2"/>
        <bgColor indexed="64"/>
      </patternFill>
    </fill>
    <fill>
      <patternFill patternType="solid">
        <fgColor theme="2"/>
        <bgColor rgb="FFD9E1F2"/>
      </patternFill>
    </fill>
    <fill>
      <patternFill patternType="solid">
        <fgColor theme="0" tint="-4.9989318521683403E-2"/>
        <bgColor indexed="64"/>
      </patternFill>
    </fill>
    <fill>
      <patternFill patternType="solid">
        <fgColor theme="0"/>
        <bgColor rgb="FFEDEDED"/>
      </patternFill>
    </fill>
    <fill>
      <patternFill patternType="solid">
        <fgColor theme="0"/>
        <bgColor rgb="FFD9E1F2"/>
      </patternFill>
    </fill>
    <fill>
      <patternFill patternType="solid">
        <fgColor theme="4"/>
        <bgColor indexed="64"/>
      </patternFill>
    </fill>
    <fill>
      <patternFill patternType="solid">
        <fgColor theme="5"/>
        <bgColor indexed="64"/>
      </patternFill>
    </fill>
    <fill>
      <patternFill patternType="solid">
        <fgColor theme="9" tint="0.59999389629810485"/>
        <bgColor indexed="64"/>
      </patternFill>
    </fill>
    <fill>
      <patternFill patternType="solid">
        <fgColor rgb="FFE9EBF5"/>
        <bgColor indexed="64"/>
      </patternFill>
    </fill>
    <fill>
      <patternFill patternType="solid">
        <fgColor rgb="FFCFD5EA"/>
        <bgColor indexed="64"/>
      </patternFill>
    </fill>
    <fill>
      <patternFill patternType="solid">
        <fgColor theme="4" tint="0.39997558519241921"/>
        <bgColor indexed="64"/>
      </patternFill>
    </fill>
  </fills>
  <borders count="12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top style="medium">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rgb="FF000000"/>
      </left>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double">
        <color rgb="FF000000"/>
      </bottom>
      <diagonal/>
    </border>
    <border>
      <left style="medium">
        <color rgb="FF000000"/>
      </left>
      <right/>
      <top style="thin">
        <color rgb="FF000000"/>
      </top>
      <bottom style="double">
        <color rgb="FF000000"/>
      </bottom>
      <diagonal/>
    </border>
    <border>
      <left/>
      <right/>
      <top style="thin">
        <color rgb="FF000000"/>
      </top>
      <bottom style="double">
        <color rgb="FF000000"/>
      </bottom>
      <diagonal/>
    </border>
    <border>
      <left/>
      <right style="medium">
        <color rgb="FF000000"/>
      </right>
      <top style="thin">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right style="thin">
        <color indexed="64"/>
      </right>
      <top/>
      <bottom/>
      <diagonal/>
    </border>
    <border>
      <left/>
      <right style="thin">
        <color indexed="64"/>
      </right>
      <top style="thin">
        <color rgb="FF000000"/>
      </top>
      <bottom/>
      <diagonal/>
    </border>
    <border>
      <left/>
      <right style="thin">
        <color rgb="FF000000"/>
      </right>
      <top/>
      <bottom/>
      <diagonal/>
    </border>
    <border>
      <left/>
      <right style="thin">
        <color indexed="64"/>
      </right>
      <top/>
      <bottom style="thin">
        <color rgb="FF000000"/>
      </bottom>
      <diagonal/>
    </border>
    <border>
      <left style="thin">
        <color rgb="FF000000"/>
      </left>
      <right/>
      <top style="thin">
        <color rgb="FF000000"/>
      </top>
      <bottom/>
      <diagonal/>
    </border>
    <border>
      <left/>
      <right style="thin">
        <color rgb="FF000000"/>
      </right>
      <top style="thin">
        <color rgb="FF000000"/>
      </top>
      <bottom style="double">
        <color rgb="FF000000"/>
      </bottom>
      <diagonal/>
    </border>
    <border>
      <left/>
      <right/>
      <top/>
      <bottom style="double">
        <color rgb="FF000000"/>
      </bottom>
      <diagonal/>
    </border>
    <border>
      <left/>
      <right style="thin">
        <color indexed="64"/>
      </right>
      <top/>
      <bottom style="double">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thin">
        <color indexed="64"/>
      </right>
      <top style="thin">
        <color rgb="FF000000"/>
      </top>
      <bottom style="double">
        <color rgb="FF000000"/>
      </bottom>
      <diagonal/>
    </border>
    <border>
      <left/>
      <right style="thin">
        <color rgb="FF000000"/>
      </right>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style="medium">
        <color rgb="FF000000"/>
      </top>
      <bottom/>
      <diagonal/>
    </border>
    <border>
      <left/>
      <right style="thin">
        <color indexed="64"/>
      </right>
      <top style="medium">
        <color rgb="FF000000"/>
      </top>
      <bottom/>
      <diagonal/>
    </border>
    <border>
      <left style="medium">
        <color rgb="FF000000"/>
      </left>
      <right/>
      <top/>
      <bottom style="medium">
        <color rgb="FF000000"/>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medium">
        <color auto="1"/>
      </right>
      <top style="medium">
        <color rgb="FF000000"/>
      </top>
      <bottom/>
      <diagonal/>
    </border>
    <border>
      <left style="medium">
        <color auto="1"/>
      </left>
      <right style="medium">
        <color auto="1"/>
      </right>
      <top style="medium">
        <color rgb="FF000000"/>
      </top>
      <bottom/>
      <diagonal/>
    </border>
    <border>
      <left style="medium">
        <color auto="1"/>
      </left>
      <right style="medium">
        <color rgb="FF000000"/>
      </right>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style="double">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indexed="64"/>
      </bottom>
      <diagonal/>
    </border>
    <border>
      <left/>
      <right style="medium">
        <color rgb="FF000000"/>
      </right>
      <top style="medium">
        <color rgb="FF000000"/>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rgb="FFFFFFFF"/>
      </top>
      <bottom style="medium">
        <color rgb="FFFFFFFF"/>
      </bottom>
      <diagonal/>
    </border>
    <border>
      <left style="medium">
        <color indexed="64"/>
      </left>
      <right style="medium">
        <color indexed="64"/>
      </right>
      <top style="medium">
        <color rgb="FFFFFFFF"/>
      </top>
      <bottom style="medium">
        <color rgb="FFFFFFFF"/>
      </bottom>
      <diagonal/>
    </border>
    <border>
      <left style="medium">
        <color indexed="64"/>
      </left>
      <right style="medium">
        <color indexed="64"/>
      </right>
      <top/>
      <bottom style="medium">
        <color rgb="FFFFFFFF"/>
      </bottom>
      <diagonal/>
    </border>
    <border>
      <left style="medium">
        <color indexed="64"/>
      </left>
      <right style="medium">
        <color indexed="64"/>
      </right>
      <top style="thick">
        <color rgb="FFFFFFFF"/>
      </top>
      <bottom style="medium">
        <color rgb="FFFFFFFF"/>
      </bottom>
      <diagonal/>
    </border>
    <border>
      <left style="medium">
        <color indexed="64"/>
      </left>
      <right style="medium">
        <color indexed="64"/>
      </right>
      <top style="medium">
        <color rgb="FFFFFFFF"/>
      </top>
      <bottom/>
      <diagonal/>
    </border>
    <border>
      <left style="thin">
        <color indexed="64"/>
      </left>
      <right/>
      <top style="medium">
        <color rgb="FFFFFFFF"/>
      </top>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s>
  <cellStyleXfs count="17">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0" fontId="4" fillId="2" borderId="0" applyNumberFormat="0" applyBorder="0" applyAlignment="0" applyProtection="0"/>
    <xf numFmtId="0" fontId="1" fillId="0" borderId="0">
      <alignment wrapText="1"/>
    </xf>
    <xf numFmtId="168" fontId="1" fillId="8" borderId="24"/>
    <xf numFmtId="168" fontId="1" fillId="5" borderId="24"/>
    <xf numFmtId="168" fontId="1" fillId="8" borderId="24"/>
    <xf numFmtId="168" fontId="2" fillId="9" borderId="24"/>
    <xf numFmtId="0" fontId="15" fillId="0" borderId="0" applyFill="0"/>
    <xf numFmtId="168" fontId="16" fillId="10" borderId="0" applyBorder="0" applyAlignment="0"/>
    <xf numFmtId="169" fontId="16" fillId="10" borderId="0"/>
    <xf numFmtId="15" fontId="16" fillId="10" borderId="0"/>
    <xf numFmtId="0" fontId="21" fillId="0" borderId="0"/>
    <xf numFmtId="9" fontId="21" fillId="0" borderId="0" applyFont="0" applyFill="0" applyBorder="0" applyAlignment="0" applyProtection="0"/>
    <xf numFmtId="171" fontId="21" fillId="0" borderId="0" applyFont="0" applyFill="0" applyBorder="0" applyAlignment="0" applyProtection="0"/>
  </cellStyleXfs>
  <cellXfs count="878">
    <xf numFmtId="0" fontId="0" fillId="0" borderId="0" xfId="0"/>
    <xf numFmtId="0" fontId="7" fillId="0" borderId="0" xfId="0" applyFont="1"/>
    <xf numFmtId="0" fontId="7" fillId="0" borderId="15" xfId="0" applyFont="1" applyBorder="1"/>
    <xf numFmtId="0" fontId="7" fillId="0" borderId="2" xfId="0" applyFont="1" applyBorder="1"/>
    <xf numFmtId="0" fontId="5" fillId="0" borderId="0" xfId="0" applyFont="1" applyAlignment="1">
      <alignment horizontal="left" indent="1"/>
    </xf>
    <xf numFmtId="0" fontId="7" fillId="0" borderId="0" xfId="0" applyFont="1" applyAlignment="1">
      <alignment horizontal="left" indent="1"/>
    </xf>
    <xf numFmtId="0" fontId="7" fillId="0" borderId="0" xfId="3" applyFont="1"/>
    <xf numFmtId="3" fontId="9" fillId="0" borderId="9" xfId="0" applyNumberFormat="1" applyFont="1" applyBorder="1"/>
    <xf numFmtId="0" fontId="9" fillId="0" borderId="0" xfId="0" applyFont="1"/>
    <xf numFmtId="3" fontId="5" fillId="0" borderId="12" xfId="0" applyNumberFormat="1" applyFont="1" applyBorder="1"/>
    <xf numFmtId="3" fontId="9" fillId="0" borderId="12" xfId="0" applyNumberFormat="1" applyFont="1" applyBorder="1"/>
    <xf numFmtId="3" fontId="7" fillId="0" borderId="12" xfId="0" applyNumberFormat="1" applyFont="1" applyBorder="1"/>
    <xf numFmtId="165" fontId="7" fillId="0" borderId="2" xfId="1" applyNumberFormat="1" applyFont="1" applyBorder="1"/>
    <xf numFmtId="165" fontId="7" fillId="0" borderId="0" xfId="1" applyNumberFormat="1" applyFont="1" applyBorder="1"/>
    <xf numFmtId="165" fontId="7" fillId="0" borderId="0" xfId="1" applyNumberFormat="1" applyFont="1" applyFill="1" applyBorder="1"/>
    <xf numFmtId="165" fontId="5" fillId="0" borderId="0" xfId="1" applyNumberFormat="1" applyFont="1" applyFill="1" applyBorder="1"/>
    <xf numFmtId="0" fontId="5" fillId="4" borderId="0" xfId="0" applyFont="1" applyFill="1" applyAlignment="1">
      <alignment horizontal="left" indent="1"/>
    </xf>
    <xf numFmtId="165" fontId="5" fillId="4" borderId="12" xfId="1" applyNumberFormat="1" applyFont="1" applyFill="1" applyBorder="1"/>
    <xf numFmtId="165" fontId="5" fillId="4" borderId="0" xfId="1" applyNumberFormat="1" applyFont="1" applyFill="1" applyBorder="1"/>
    <xf numFmtId="0" fontId="7" fillId="4" borderId="7" xfId="0" applyFont="1" applyFill="1" applyBorder="1" applyAlignment="1">
      <alignment horizontal="left" indent="1"/>
    </xf>
    <xf numFmtId="0" fontId="0" fillId="4" borderId="0" xfId="0" applyFill="1"/>
    <xf numFmtId="166" fontId="5" fillId="0" borderId="13" xfId="0" applyNumberFormat="1" applyFont="1" applyBorder="1"/>
    <xf numFmtId="166" fontId="7" fillId="0" borderId="13" xfId="0" applyNumberFormat="1" applyFont="1" applyBorder="1"/>
    <xf numFmtId="3" fontId="5" fillId="6" borderId="12" xfId="0" applyNumberFormat="1" applyFont="1" applyFill="1" applyBorder="1" applyAlignment="1">
      <alignment horizontal="center"/>
    </xf>
    <xf numFmtId="0" fontId="5" fillId="0" borderId="0" xfId="0" applyFont="1"/>
    <xf numFmtId="0" fontId="9" fillId="0" borderId="12" xfId="0" applyFont="1" applyBorder="1"/>
    <xf numFmtId="3" fontId="5" fillId="6" borderId="13" xfId="0" applyNumberFormat="1" applyFont="1" applyFill="1" applyBorder="1"/>
    <xf numFmtId="0" fontId="0" fillId="0" borderId="21" xfId="0" applyBorder="1"/>
    <xf numFmtId="167" fontId="10" fillId="0" borderId="0" xfId="0" applyNumberFormat="1" applyFont="1"/>
    <xf numFmtId="0" fontId="8" fillId="6" borderId="20" xfId="0" applyFont="1" applyFill="1" applyBorder="1"/>
    <xf numFmtId="0" fontId="8" fillId="6" borderId="6" xfId="0" applyFont="1" applyFill="1" applyBorder="1"/>
    <xf numFmtId="165" fontId="7" fillId="0" borderId="2" xfId="1" applyNumberFormat="1" applyFont="1" applyBorder="1" applyAlignment="1">
      <alignment horizontal="right"/>
    </xf>
    <xf numFmtId="165" fontId="7" fillId="0" borderId="2" xfId="1" applyNumberFormat="1" applyFont="1" applyBorder="1" applyAlignment="1"/>
    <xf numFmtId="167" fontId="7" fillId="0" borderId="13" xfId="1" applyNumberFormat="1" applyFont="1" applyBorder="1" applyAlignment="1">
      <alignment horizontal="right"/>
    </xf>
    <xf numFmtId="167" fontId="7" fillId="0" borderId="2" xfId="1" applyNumberFormat="1" applyFont="1" applyBorder="1" applyAlignment="1">
      <alignment horizontal="right"/>
    </xf>
    <xf numFmtId="0" fontId="17" fillId="4" borderId="7" xfId="0" applyFont="1" applyFill="1" applyBorder="1" applyAlignment="1">
      <alignment horizontal="left" indent="1"/>
    </xf>
    <xf numFmtId="165" fontId="18" fillId="0" borderId="0" xfId="1" applyNumberFormat="1" applyFont="1" applyFill="1" applyBorder="1"/>
    <xf numFmtId="165" fontId="17" fillId="0" borderId="0" xfId="1" applyNumberFormat="1" applyFont="1" applyFill="1" applyBorder="1"/>
    <xf numFmtId="165" fontId="7" fillId="0" borderId="15" xfId="1" applyNumberFormat="1" applyFont="1" applyBorder="1"/>
    <xf numFmtId="165" fontId="7" fillId="0" borderId="13" xfId="1" applyNumberFormat="1" applyFont="1" applyBorder="1" applyAlignment="1"/>
    <xf numFmtId="0" fontId="7" fillId="0" borderId="12" xfId="0" applyFont="1" applyBorder="1"/>
    <xf numFmtId="0" fontId="5" fillId="0" borderId="12" xfId="0" applyFont="1" applyBorder="1"/>
    <xf numFmtId="0" fontId="7" fillId="0" borderId="12" xfId="3" applyFont="1" applyBorder="1"/>
    <xf numFmtId="0" fontId="5" fillId="4" borderId="12" xfId="0" applyFont="1" applyFill="1" applyBorder="1" applyAlignment="1">
      <alignment horizontal="left" indent="1"/>
    </xf>
    <xf numFmtId="165" fontId="5" fillId="4" borderId="2" xfId="1" applyNumberFormat="1" applyFont="1" applyFill="1" applyBorder="1"/>
    <xf numFmtId="165" fontId="7" fillId="0" borderId="0" xfId="1" applyNumberFormat="1" applyFont="1" applyBorder="1" applyAlignment="1"/>
    <xf numFmtId="0" fontId="7" fillId="0" borderId="2" xfId="0" applyFont="1" applyBorder="1" applyAlignment="1">
      <alignment horizontal="left" indent="1"/>
    </xf>
    <xf numFmtId="0" fontId="5" fillId="4" borderId="2" xfId="0" applyFont="1" applyFill="1" applyBorder="1" applyAlignment="1">
      <alignment horizontal="left" indent="1"/>
    </xf>
    <xf numFmtId="0" fontId="5" fillId="0" borderId="2" xfId="0" applyFont="1" applyBorder="1" applyAlignment="1">
      <alignment horizontal="left" indent="1"/>
    </xf>
    <xf numFmtId="0" fontId="5" fillId="0" borderId="3" xfId="0" applyFont="1" applyBorder="1" applyAlignment="1">
      <alignment horizontal="left" indent="1"/>
    </xf>
    <xf numFmtId="0" fontId="8" fillId="6" borderId="12" xfId="0" applyFont="1" applyFill="1" applyBorder="1"/>
    <xf numFmtId="0" fontId="7" fillId="0" borderId="1" xfId="0" applyFont="1" applyBorder="1"/>
    <xf numFmtId="0" fontId="7" fillId="0" borderId="3" xfId="0" applyFont="1" applyBorder="1"/>
    <xf numFmtId="165" fontId="7" fillId="4" borderId="1" xfId="1" applyNumberFormat="1" applyFont="1" applyFill="1" applyBorder="1"/>
    <xf numFmtId="165" fontId="7" fillId="4" borderId="9" xfId="1" applyNumberFormat="1" applyFont="1" applyFill="1" applyBorder="1"/>
    <xf numFmtId="165" fontId="17" fillId="4" borderId="3" xfId="1" applyNumberFormat="1" applyFont="1" applyFill="1" applyBorder="1"/>
    <xf numFmtId="165" fontId="17" fillId="4" borderId="14" xfId="1" applyNumberFormat="1" applyFont="1" applyFill="1" applyBorder="1"/>
    <xf numFmtId="165" fontId="7" fillId="0" borderId="12" xfId="1" applyNumberFormat="1" applyFont="1" applyBorder="1" applyAlignment="1">
      <alignment horizontal="right"/>
    </xf>
    <xf numFmtId="167" fontId="7" fillId="0" borderId="0" xfId="1" applyNumberFormat="1" applyFont="1" applyBorder="1" applyAlignment="1">
      <alignment horizontal="right"/>
    </xf>
    <xf numFmtId="165" fontId="7" fillId="0" borderId="0" xfId="1" applyNumberFormat="1" applyFont="1" applyBorder="1" applyAlignment="1">
      <alignment horizontal="right"/>
    </xf>
    <xf numFmtId="165" fontId="17" fillId="4" borderId="16" xfId="1" applyNumberFormat="1" applyFont="1" applyFill="1" applyBorder="1"/>
    <xf numFmtId="167" fontId="5" fillId="4" borderId="13" xfId="1" applyNumberFormat="1" applyFont="1" applyFill="1" applyBorder="1"/>
    <xf numFmtId="165" fontId="7" fillId="4" borderId="3" xfId="1" applyNumberFormat="1" applyFont="1" applyFill="1" applyBorder="1"/>
    <xf numFmtId="0" fontId="17" fillId="4" borderId="0" xfId="0" applyFont="1" applyFill="1" applyAlignment="1">
      <alignment horizontal="left" indent="1"/>
    </xf>
    <xf numFmtId="165" fontId="17" fillId="4" borderId="13" xfId="1" applyNumberFormat="1" applyFont="1" applyFill="1" applyBorder="1"/>
    <xf numFmtId="165" fontId="17" fillId="4" borderId="2" xfId="1" applyNumberFormat="1" applyFont="1" applyFill="1" applyBorder="1"/>
    <xf numFmtId="43" fontId="7" fillId="0" borderId="1" xfId="1" applyFont="1" applyBorder="1"/>
    <xf numFmtId="43" fontId="7" fillId="0" borderId="2" xfId="1" applyFont="1" applyBorder="1"/>
    <xf numFmtId="43" fontId="7" fillId="0" borderId="0" xfId="1" applyFont="1" applyBorder="1"/>
    <xf numFmtId="43" fontId="7" fillId="0" borderId="13" xfId="1" applyFont="1" applyBorder="1" applyAlignment="1">
      <alignment horizontal="right"/>
    </xf>
    <xf numFmtId="43" fontId="7" fillId="0" borderId="2" xfId="1" applyFont="1" applyBorder="1" applyAlignment="1">
      <alignment horizontal="right"/>
    </xf>
    <xf numFmtId="43" fontId="7" fillId="0" borderId="13" xfId="1" applyFont="1" applyBorder="1"/>
    <xf numFmtId="43" fontId="7" fillId="0" borderId="13" xfId="1" applyFont="1" applyFill="1" applyBorder="1"/>
    <xf numFmtId="165" fontId="8" fillId="6" borderId="0" xfId="1" applyNumberFormat="1" applyFont="1" applyFill="1" applyBorder="1"/>
    <xf numFmtId="165" fontId="8" fillId="6" borderId="7" xfId="1" applyNumberFormat="1" applyFont="1" applyFill="1" applyBorder="1"/>
    <xf numFmtId="165" fontId="8" fillId="6" borderId="13" xfId="1" applyNumberFormat="1" applyFont="1" applyFill="1" applyBorder="1"/>
    <xf numFmtId="165" fontId="6" fillId="0" borderId="0" xfId="1" applyNumberFormat="1" applyFont="1" applyBorder="1"/>
    <xf numFmtId="165" fontId="5" fillId="0" borderId="0" xfId="1" applyNumberFormat="1" applyFont="1" applyBorder="1" applyAlignment="1">
      <alignment horizontal="center"/>
    </xf>
    <xf numFmtId="165" fontId="7" fillId="0" borderId="1" xfId="1" applyNumberFormat="1" applyFont="1" applyBorder="1"/>
    <xf numFmtId="165" fontId="8" fillId="0" borderId="12" xfId="1" applyNumberFormat="1" applyFont="1" applyBorder="1"/>
    <xf numFmtId="165" fontId="8" fillId="0" borderId="0" xfId="1" applyNumberFormat="1" applyFont="1" applyBorder="1"/>
    <xf numFmtId="165" fontId="7" fillId="0" borderId="13" xfId="1" applyNumberFormat="1" applyFont="1" applyBorder="1" applyAlignment="1">
      <alignment horizontal="right"/>
    </xf>
    <xf numFmtId="165" fontId="8" fillId="0" borderId="12" xfId="1" applyNumberFormat="1" applyFont="1" applyBorder="1" applyAlignment="1">
      <alignment horizontal="right"/>
    </xf>
    <xf numFmtId="165" fontId="7" fillId="0" borderId="3" xfId="1" applyNumberFormat="1" applyFont="1" applyBorder="1" applyAlignment="1">
      <alignment horizontal="right"/>
    </xf>
    <xf numFmtId="165" fontId="5" fillId="4" borderId="13" xfId="1" applyNumberFormat="1" applyFont="1" applyFill="1" applyBorder="1"/>
    <xf numFmtId="165" fontId="11" fillId="6" borderId="9" xfId="1" applyNumberFormat="1" applyFont="1" applyFill="1" applyBorder="1"/>
    <xf numFmtId="165" fontId="11" fillId="6" borderId="19" xfId="1" applyNumberFormat="1" applyFont="1" applyFill="1" applyBorder="1"/>
    <xf numFmtId="165" fontId="11" fillId="6" borderId="21" xfId="1" applyNumberFormat="1" applyFont="1" applyFill="1" applyBorder="1"/>
    <xf numFmtId="165" fontId="0" fillId="0" borderId="0" xfId="1" applyNumberFormat="1" applyFont="1" applyBorder="1"/>
    <xf numFmtId="165" fontId="5" fillId="6" borderId="2" xfId="1" applyNumberFormat="1" applyFont="1" applyFill="1" applyBorder="1" applyAlignment="1">
      <alignment horizontal="right"/>
    </xf>
    <xf numFmtId="165" fontId="5" fillId="6" borderId="12" xfId="1" applyNumberFormat="1" applyFont="1" applyFill="1" applyBorder="1" applyAlignment="1">
      <alignment horizontal="right"/>
    </xf>
    <xf numFmtId="165" fontId="5" fillId="6" borderId="3" xfId="1" applyNumberFormat="1" applyFont="1" applyFill="1" applyBorder="1" applyAlignment="1">
      <alignment horizontal="right"/>
    </xf>
    <xf numFmtId="165" fontId="5" fillId="6" borderId="14" xfId="1" applyNumberFormat="1" applyFont="1" applyFill="1" applyBorder="1" applyAlignment="1">
      <alignment horizontal="right"/>
    </xf>
    <xf numFmtId="165" fontId="5" fillId="6" borderId="11" xfId="1" applyNumberFormat="1" applyFont="1" applyFill="1" applyBorder="1" applyAlignment="1">
      <alignment horizontal="right"/>
    </xf>
    <xf numFmtId="165" fontId="5" fillId="6" borderId="13" xfId="1" applyNumberFormat="1" applyFont="1" applyFill="1" applyBorder="1" applyAlignment="1">
      <alignment horizontal="right"/>
    </xf>
    <xf numFmtId="165" fontId="5" fillId="6" borderId="16" xfId="1" applyNumberFormat="1" applyFont="1" applyFill="1" applyBorder="1" applyAlignment="1">
      <alignment horizontal="right"/>
    </xf>
    <xf numFmtId="165" fontId="5" fillId="6" borderId="1" xfId="1" applyNumberFormat="1" applyFont="1" applyFill="1" applyBorder="1" applyAlignment="1">
      <alignment horizontal="right"/>
    </xf>
    <xf numFmtId="166" fontId="7" fillId="0" borderId="2" xfId="1" applyNumberFormat="1" applyFont="1" applyBorder="1" applyAlignment="1">
      <alignment horizontal="right"/>
    </xf>
    <xf numFmtId="165" fontId="7" fillId="0" borderId="1" xfId="1" applyNumberFormat="1" applyFont="1" applyBorder="1" applyAlignment="1">
      <alignment horizontal="right"/>
    </xf>
    <xf numFmtId="165" fontId="7" fillId="0" borderId="2" xfId="1" applyNumberFormat="1" applyFont="1" applyFill="1" applyBorder="1" applyAlignment="1">
      <alignment horizontal="right"/>
    </xf>
    <xf numFmtId="0" fontId="7" fillId="4" borderId="9" xfId="3" applyFont="1" applyFill="1" applyBorder="1"/>
    <xf numFmtId="165" fontId="7" fillId="4" borderId="10" xfId="1" applyNumberFormat="1" applyFont="1" applyFill="1" applyBorder="1" applyAlignment="1">
      <alignment horizontal="right"/>
    </xf>
    <xf numFmtId="165" fontId="7" fillId="4" borderId="11" xfId="1" applyNumberFormat="1" applyFont="1" applyFill="1" applyBorder="1" applyAlignment="1">
      <alignment horizontal="right"/>
    </xf>
    <xf numFmtId="0" fontId="17" fillId="4" borderId="12" xfId="0" applyFont="1" applyFill="1" applyBorder="1" applyAlignment="1">
      <alignment horizontal="left" indent="1"/>
    </xf>
    <xf numFmtId="0" fontId="17" fillId="4" borderId="14" xfId="0" applyFont="1" applyFill="1" applyBorder="1" applyAlignment="1">
      <alignment horizontal="left" indent="1"/>
    </xf>
    <xf numFmtId="165" fontId="17" fillId="4" borderId="15" xfId="1" applyNumberFormat="1" applyFont="1" applyFill="1" applyBorder="1"/>
    <xf numFmtId="165" fontId="7" fillId="4" borderId="9" xfId="1" applyNumberFormat="1" applyFont="1" applyFill="1" applyBorder="1" applyAlignment="1">
      <alignment horizontal="right"/>
    </xf>
    <xf numFmtId="165" fontId="17" fillId="4" borderId="12" xfId="1" applyNumberFormat="1" applyFont="1" applyFill="1" applyBorder="1"/>
    <xf numFmtId="165" fontId="7" fillId="4" borderId="1" xfId="1" applyNumberFormat="1" applyFont="1" applyFill="1" applyBorder="1" applyAlignment="1">
      <alignment horizontal="right"/>
    </xf>
    <xf numFmtId="167" fontId="5" fillId="4" borderId="2" xfId="1" applyNumberFormat="1" applyFont="1" applyFill="1" applyBorder="1"/>
    <xf numFmtId="166" fontId="7" fillId="0" borderId="13" xfId="1" applyNumberFormat="1" applyFont="1" applyBorder="1" applyAlignment="1">
      <alignment horizontal="right"/>
    </xf>
    <xf numFmtId="166" fontId="11" fillId="6" borderId="19" xfId="1" applyNumberFormat="1" applyFont="1" applyFill="1" applyBorder="1"/>
    <xf numFmtId="167" fontId="7" fillId="0" borderId="15" xfId="1" applyNumberFormat="1" applyFont="1" applyBorder="1"/>
    <xf numFmtId="43" fontId="7" fillId="0" borderId="2" xfId="1" applyFont="1" applyFill="1" applyBorder="1" applyAlignment="1">
      <alignment horizontal="right"/>
    </xf>
    <xf numFmtId="165" fontId="7" fillId="4" borderId="10" xfId="1" applyNumberFormat="1" applyFont="1" applyFill="1" applyBorder="1"/>
    <xf numFmtId="165" fontId="7" fillId="4" borderId="15" xfId="1" applyNumberFormat="1" applyFont="1" applyFill="1" applyBorder="1"/>
    <xf numFmtId="0" fontId="7" fillId="4" borderId="1" xfId="0" applyFont="1" applyFill="1" applyBorder="1" applyAlignment="1">
      <alignment horizontal="left" indent="1"/>
    </xf>
    <xf numFmtId="0" fontId="7" fillId="4" borderId="3" xfId="0" applyFont="1" applyFill="1" applyBorder="1" applyAlignment="1">
      <alignment horizontal="left" indent="1"/>
    </xf>
    <xf numFmtId="0" fontId="5" fillId="0" borderId="1" xfId="0" applyFont="1" applyBorder="1" applyAlignment="1">
      <alignment horizontal="left" indent="1"/>
    </xf>
    <xf numFmtId="0" fontId="7" fillId="0" borderId="3" xfId="0" applyFont="1" applyBorder="1" applyAlignment="1">
      <alignment horizontal="left" indent="1"/>
    </xf>
    <xf numFmtId="165" fontId="7" fillId="0" borderId="1" xfId="1" applyNumberFormat="1" applyFont="1" applyBorder="1" applyAlignment="1"/>
    <xf numFmtId="165" fontId="7" fillId="0" borderId="11" xfId="1" applyNumberFormat="1" applyFont="1" applyBorder="1" applyAlignment="1"/>
    <xf numFmtId="165" fontId="7" fillId="0" borderId="16" xfId="1" applyNumberFormat="1" applyFont="1" applyBorder="1" applyAlignment="1">
      <alignment horizontal="right"/>
    </xf>
    <xf numFmtId="166" fontId="7" fillId="0" borderId="16" xfId="1" applyNumberFormat="1" applyFont="1" applyBorder="1" applyAlignment="1">
      <alignment horizontal="right"/>
    </xf>
    <xf numFmtId="165" fontId="7" fillId="0" borderId="11" xfId="1" applyNumberFormat="1" applyFont="1" applyBorder="1" applyAlignment="1">
      <alignment horizontal="right"/>
    </xf>
    <xf numFmtId="165" fontId="7" fillId="4" borderId="16" xfId="1" applyNumberFormat="1" applyFont="1" applyFill="1" applyBorder="1"/>
    <xf numFmtId="0" fontId="0" fillId="4" borderId="9" xfId="0" applyFill="1" applyBorder="1"/>
    <xf numFmtId="0" fontId="7" fillId="4" borderId="14" xfId="0" applyFont="1" applyFill="1" applyBorder="1" applyAlignment="1">
      <alignment horizontal="left" indent="1"/>
    </xf>
    <xf numFmtId="165" fontId="7" fillId="4" borderId="14" xfId="1" applyNumberFormat="1" applyFont="1" applyFill="1" applyBorder="1"/>
    <xf numFmtId="167" fontId="7" fillId="4" borderId="16" xfId="1" applyNumberFormat="1" applyFont="1" applyFill="1" applyBorder="1"/>
    <xf numFmtId="167" fontId="7" fillId="4" borderId="11" xfId="1" applyNumberFormat="1" applyFont="1" applyFill="1" applyBorder="1"/>
    <xf numFmtId="166" fontId="7" fillId="4" borderId="11" xfId="1" applyNumberFormat="1" applyFont="1" applyFill="1" applyBorder="1"/>
    <xf numFmtId="166" fontId="5" fillId="4" borderId="13" xfId="1" applyNumberFormat="1" applyFont="1" applyFill="1" applyBorder="1"/>
    <xf numFmtId="165" fontId="7" fillId="4" borderId="11" xfId="1" applyNumberFormat="1" applyFont="1" applyFill="1" applyBorder="1"/>
    <xf numFmtId="166" fontId="11" fillId="6" borderId="10" xfId="1" applyNumberFormat="1" applyFont="1" applyFill="1" applyBorder="1"/>
    <xf numFmtId="166" fontId="7" fillId="0" borderId="13" xfId="1" applyNumberFormat="1" applyFont="1" applyFill="1" applyBorder="1"/>
    <xf numFmtId="166" fontId="7" fillId="0" borderId="12" xfId="1" applyNumberFormat="1" applyFont="1" applyFill="1" applyBorder="1"/>
    <xf numFmtId="166" fontId="7" fillId="0" borderId="1" xfId="1" applyNumberFormat="1" applyFont="1" applyFill="1" applyBorder="1"/>
    <xf numFmtId="166" fontId="7" fillId="0" borderId="2" xfId="1" applyNumberFormat="1" applyFont="1" applyFill="1" applyBorder="1"/>
    <xf numFmtId="43" fontId="7" fillId="0" borderId="3" xfId="1" applyFont="1" applyBorder="1"/>
    <xf numFmtId="166" fontId="7" fillId="0" borderId="9" xfId="1" applyNumberFormat="1" applyFont="1" applyFill="1" applyBorder="1"/>
    <xf numFmtId="43" fontId="7" fillId="0" borderId="11" xfId="1" applyFont="1" applyFill="1" applyBorder="1"/>
    <xf numFmtId="166" fontId="7" fillId="0" borderId="11" xfId="1" applyNumberFormat="1" applyFont="1" applyFill="1" applyBorder="1"/>
    <xf numFmtId="166" fontId="9" fillId="0" borderId="13" xfId="1" applyNumberFormat="1" applyFont="1" applyBorder="1"/>
    <xf numFmtId="165" fontId="7" fillId="0" borderId="3" xfId="1" applyNumberFormat="1" applyFont="1" applyBorder="1"/>
    <xf numFmtId="166" fontId="11" fillId="6" borderId="21" xfId="1" applyNumberFormat="1" applyFont="1" applyFill="1" applyBorder="1"/>
    <xf numFmtId="166" fontId="7" fillId="0" borderId="1" xfId="1" applyNumberFormat="1" applyFont="1" applyBorder="1"/>
    <xf numFmtId="166" fontId="7" fillId="0" borderId="2" xfId="1" applyNumberFormat="1" applyFont="1" applyBorder="1"/>
    <xf numFmtId="166" fontId="7" fillId="0" borderId="3" xfId="1" applyNumberFormat="1" applyFont="1" applyBorder="1"/>
    <xf numFmtId="166" fontId="7" fillId="0" borderId="0" xfId="1" applyNumberFormat="1" applyFont="1" applyBorder="1"/>
    <xf numFmtId="166" fontId="11" fillId="6" borderId="23" xfId="1" applyNumberFormat="1" applyFont="1" applyFill="1" applyBorder="1"/>
    <xf numFmtId="164" fontId="14" fillId="0" borderId="0" xfId="2" applyNumberFormat="1" applyFont="1" applyFill="1" applyBorder="1"/>
    <xf numFmtId="165" fontId="5" fillId="6" borderId="9" xfId="1" applyNumberFormat="1" applyFont="1" applyFill="1" applyBorder="1" applyAlignment="1">
      <alignment horizontal="right"/>
    </xf>
    <xf numFmtId="165" fontId="0" fillId="0" borderId="15" xfId="1" applyNumberFormat="1" applyFont="1" applyBorder="1"/>
    <xf numFmtId="167" fontId="0" fillId="0" borderId="16" xfId="1" applyNumberFormat="1" applyFont="1" applyBorder="1"/>
    <xf numFmtId="164" fontId="3" fillId="0" borderId="0" xfId="2" applyNumberFormat="1" applyFont="1" applyFill="1" applyBorder="1"/>
    <xf numFmtId="165" fontId="0" fillId="0" borderId="14" xfId="1" applyNumberFormat="1" applyFont="1" applyBorder="1"/>
    <xf numFmtId="165" fontId="0" fillId="0" borderId="16" xfId="1" applyNumberFormat="1" applyFont="1" applyBorder="1"/>
    <xf numFmtId="166" fontId="0" fillId="0" borderId="14" xfId="1" applyNumberFormat="1" applyFont="1" applyBorder="1"/>
    <xf numFmtId="164" fontId="3" fillId="3" borderId="22" xfId="2" applyNumberFormat="1" applyFont="1" applyFill="1" applyBorder="1"/>
    <xf numFmtId="164" fontId="3" fillId="3" borderId="19" xfId="2" applyNumberFormat="1" applyFont="1" applyFill="1" applyBorder="1"/>
    <xf numFmtId="164" fontId="14" fillId="3" borderId="22" xfId="2" applyNumberFormat="1" applyFont="1" applyFill="1" applyBorder="1"/>
    <xf numFmtId="164" fontId="3" fillId="3" borderId="21" xfId="2" applyNumberFormat="1" applyFont="1" applyFill="1" applyBorder="1"/>
    <xf numFmtId="0" fontId="5" fillId="0" borderId="21" xfId="0" applyFont="1" applyBorder="1" applyAlignment="1">
      <alignment horizontal="left" indent="1"/>
    </xf>
    <xf numFmtId="0" fontId="14" fillId="0" borderId="21" xfId="0" applyFont="1" applyBorder="1" applyAlignment="1">
      <alignment horizontal="left" indent="1"/>
    </xf>
    <xf numFmtId="0" fontId="7" fillId="0" borderId="1" xfId="0" applyFont="1" applyBorder="1" applyAlignment="1">
      <alignment horizontal="left" indent="1"/>
    </xf>
    <xf numFmtId="167" fontId="11" fillId="6" borderId="21" xfId="1" applyNumberFormat="1" applyFont="1" applyFill="1" applyBorder="1"/>
    <xf numFmtId="3" fontId="5" fillId="6" borderId="0" xfId="0" applyNumberFormat="1" applyFont="1" applyFill="1"/>
    <xf numFmtId="3" fontId="5" fillId="6" borderId="0" xfId="0" applyNumberFormat="1" applyFont="1" applyFill="1" applyAlignment="1">
      <alignment horizontal="center"/>
    </xf>
    <xf numFmtId="166" fontId="5" fillId="0" borderId="0" xfId="0" applyNumberFormat="1" applyFont="1"/>
    <xf numFmtId="166" fontId="7" fillId="0" borderId="0" xfId="0" applyNumberFormat="1" applyFont="1"/>
    <xf numFmtId="3" fontId="5" fillId="6" borderId="10" xfId="0" applyNumberFormat="1" applyFont="1" applyFill="1" applyBorder="1" applyAlignment="1">
      <alignment horizontal="right"/>
    </xf>
    <xf numFmtId="3" fontId="5" fillId="6" borderId="11" xfId="0" applyNumberFormat="1" applyFont="1" applyFill="1" applyBorder="1" applyAlignment="1">
      <alignment horizontal="right"/>
    </xf>
    <xf numFmtId="3" fontId="5" fillId="6" borderId="0" xfId="0" applyNumberFormat="1" applyFont="1" applyFill="1" applyAlignment="1">
      <alignment horizontal="right"/>
    </xf>
    <xf numFmtId="3" fontId="5" fillId="6" borderId="13" xfId="0" applyNumberFormat="1" applyFont="1" applyFill="1" applyBorder="1" applyAlignment="1">
      <alignment horizontal="right"/>
    </xf>
    <xf numFmtId="49" fontId="5" fillId="6" borderId="0" xfId="0" applyNumberFormat="1" applyFont="1" applyFill="1" applyAlignment="1">
      <alignment horizontal="right"/>
    </xf>
    <xf numFmtId="3" fontId="5" fillId="6" borderId="0" xfId="0" quotePrefix="1" applyNumberFormat="1" applyFont="1" applyFill="1" applyAlignment="1">
      <alignment horizontal="right"/>
    </xf>
    <xf numFmtId="3" fontId="9" fillId="0" borderId="12" xfId="0" applyNumberFormat="1" applyFont="1" applyBorder="1" applyAlignment="1">
      <alignment horizontal="right"/>
    </xf>
    <xf numFmtId="0" fontId="0" fillId="0" borderId="0" xfId="0" applyAlignment="1">
      <alignment horizontal="right"/>
    </xf>
    <xf numFmtId="3" fontId="9" fillId="0" borderId="14" xfId="0" applyNumberFormat="1" applyFont="1" applyBorder="1" applyAlignment="1">
      <alignment horizontal="right"/>
    </xf>
    <xf numFmtId="3" fontId="5" fillId="6" borderId="15" xfId="0" applyNumberFormat="1" applyFont="1" applyFill="1" applyBorder="1" applyAlignment="1">
      <alignment horizontal="right"/>
    </xf>
    <xf numFmtId="3" fontId="5" fillId="6" borderId="16" xfId="0" applyNumberFormat="1" applyFont="1" applyFill="1" applyBorder="1" applyAlignment="1">
      <alignment horizontal="right"/>
    </xf>
    <xf numFmtId="3" fontId="5" fillId="6" borderId="1" xfId="0" applyNumberFormat="1" applyFont="1" applyFill="1" applyBorder="1" applyAlignment="1">
      <alignment horizontal="right"/>
    </xf>
    <xf numFmtId="3" fontId="5" fillId="6" borderId="2" xfId="0" applyNumberFormat="1" applyFont="1" applyFill="1" applyBorder="1" applyAlignment="1">
      <alignment horizontal="right"/>
    </xf>
    <xf numFmtId="49" fontId="5" fillId="6" borderId="2" xfId="0" quotePrefix="1" applyNumberFormat="1" applyFont="1" applyFill="1" applyBorder="1" applyAlignment="1">
      <alignment horizontal="right"/>
    </xf>
    <xf numFmtId="3" fontId="5" fillId="6" borderId="2" xfId="0" quotePrefix="1" applyNumberFormat="1" applyFont="1" applyFill="1" applyBorder="1" applyAlignment="1">
      <alignment horizontal="right"/>
    </xf>
    <xf numFmtId="166" fontId="5" fillId="0" borderId="1" xfId="0" applyNumberFormat="1" applyFont="1" applyBorder="1"/>
    <xf numFmtId="166" fontId="7" fillId="0" borderId="2" xfId="0" applyNumberFormat="1" applyFont="1" applyBorder="1"/>
    <xf numFmtId="166" fontId="7" fillId="0" borderId="3" xfId="0" applyNumberFormat="1" applyFont="1" applyBorder="1"/>
    <xf numFmtId="3" fontId="5" fillId="0" borderId="1" xfId="0" applyNumberFormat="1" applyFont="1" applyBorder="1"/>
    <xf numFmtId="3" fontId="7" fillId="0" borderId="2" xfId="0" applyNumberFormat="1" applyFont="1" applyBorder="1"/>
    <xf numFmtId="3" fontId="7" fillId="0" borderId="3" xfId="0" applyNumberFormat="1" applyFont="1" applyBorder="1"/>
    <xf numFmtId="166" fontId="5" fillId="0" borderId="10" xfId="0" applyNumberFormat="1" applyFont="1" applyBorder="1"/>
    <xf numFmtId="166" fontId="5" fillId="0" borderId="11" xfId="0" applyNumberFormat="1" applyFont="1" applyBorder="1"/>
    <xf numFmtId="166" fontId="7" fillId="0" borderId="15" xfId="0" applyNumberFormat="1" applyFont="1" applyBorder="1"/>
    <xf numFmtId="166" fontId="7" fillId="0" borderId="16" xfId="0" applyNumberFormat="1" applyFont="1" applyBorder="1"/>
    <xf numFmtId="3" fontId="5" fillId="0" borderId="9" xfId="0" applyNumberFormat="1" applyFont="1" applyBorder="1"/>
    <xf numFmtId="3" fontId="7" fillId="0" borderId="12" xfId="0" applyNumberFormat="1" applyFont="1" applyBorder="1" applyAlignment="1">
      <alignment horizontal="left"/>
    </xf>
    <xf numFmtId="3" fontId="7" fillId="0" borderId="14" xfId="0" applyNumberFormat="1" applyFont="1" applyBorder="1" applyAlignment="1">
      <alignment horizontal="left"/>
    </xf>
    <xf numFmtId="166" fontId="7" fillId="0" borderId="10" xfId="0" applyNumberFormat="1" applyFont="1" applyBorder="1"/>
    <xf numFmtId="166" fontId="7" fillId="0" borderId="11" xfId="0" applyNumberFormat="1" applyFont="1" applyBorder="1"/>
    <xf numFmtId="167" fontId="7" fillId="0" borderId="16" xfId="1" applyNumberFormat="1" applyFont="1" applyBorder="1"/>
    <xf numFmtId="166" fontId="7" fillId="0" borderId="1" xfId="0" applyNumberFormat="1" applyFont="1" applyBorder="1"/>
    <xf numFmtId="167" fontId="7" fillId="0" borderId="3" xfId="1" applyNumberFormat="1" applyFont="1" applyBorder="1"/>
    <xf numFmtId="2" fontId="7" fillId="7" borderId="21" xfId="2" applyNumberFormat="1" applyFont="1" applyFill="1" applyBorder="1"/>
    <xf numFmtId="3" fontId="5" fillId="0" borderId="21" xfId="0" applyNumberFormat="1" applyFont="1" applyBorder="1" applyAlignment="1">
      <alignment horizontal="left"/>
    </xf>
    <xf numFmtId="166" fontId="5" fillId="0" borderId="21" xfId="0" applyNumberFormat="1" applyFont="1" applyBorder="1"/>
    <xf numFmtId="3" fontId="5" fillId="0" borderId="21" xfId="0" applyNumberFormat="1" applyFont="1" applyBorder="1"/>
    <xf numFmtId="167" fontId="5" fillId="0" borderId="21" xfId="1" applyNumberFormat="1" applyFont="1" applyBorder="1" applyAlignment="1"/>
    <xf numFmtId="43" fontId="5" fillId="0" borderId="21" xfId="1" applyFont="1" applyBorder="1" applyAlignment="1"/>
    <xf numFmtId="3" fontId="7" fillId="7" borderId="21" xfId="0" applyNumberFormat="1" applyFont="1" applyFill="1" applyBorder="1"/>
    <xf numFmtId="3" fontId="5" fillId="0" borderId="1" xfId="0" applyNumberFormat="1" applyFont="1" applyBorder="1" applyAlignment="1">
      <alignment wrapText="1"/>
    </xf>
    <xf numFmtId="167" fontId="7" fillId="0" borderId="2" xfId="0" applyNumberFormat="1" applyFont="1" applyBorder="1"/>
    <xf numFmtId="3" fontId="5" fillId="0" borderId="21" xfId="0" applyNumberFormat="1" applyFont="1" applyBorder="1" applyAlignment="1">
      <alignment vertical="center" wrapText="1"/>
    </xf>
    <xf numFmtId="167" fontId="5" fillId="0" borderId="21" xfId="0" applyNumberFormat="1" applyFont="1" applyBorder="1" applyAlignment="1">
      <alignment vertical="center"/>
    </xf>
    <xf numFmtId="43" fontId="5" fillId="0" borderId="21" xfId="1" applyFont="1" applyBorder="1" applyAlignment="1">
      <alignment vertical="center"/>
    </xf>
    <xf numFmtId="164" fontId="7" fillId="7" borderId="21" xfId="0" applyNumberFormat="1" applyFont="1" applyFill="1" applyBorder="1"/>
    <xf numFmtId="167" fontId="5" fillId="0" borderId="21" xfId="0" applyNumberFormat="1" applyFont="1" applyBorder="1"/>
    <xf numFmtId="43" fontId="5" fillId="0" borderId="21" xfId="1" applyFont="1" applyBorder="1"/>
    <xf numFmtId="166" fontId="5" fillId="0" borderId="12" xfId="0" applyNumberFormat="1" applyFont="1" applyBorder="1"/>
    <xf numFmtId="3" fontId="7" fillId="0" borderId="1" xfId="0" applyNumberFormat="1" applyFont="1" applyBorder="1"/>
    <xf numFmtId="165" fontId="10" fillId="0" borderId="0" xfId="1" applyNumberFormat="1" applyFont="1" applyFill="1" applyBorder="1"/>
    <xf numFmtId="165" fontId="10" fillId="0" borderId="13" xfId="1" applyNumberFormat="1" applyFont="1" applyFill="1" applyBorder="1"/>
    <xf numFmtId="165" fontId="10" fillId="0" borderId="0" xfId="1" applyNumberFormat="1" applyFont="1" applyFill="1" applyBorder="1" applyAlignment="1">
      <alignment horizontal="right"/>
    </xf>
    <xf numFmtId="0" fontId="10" fillId="0" borderId="0" xfId="0" applyFont="1"/>
    <xf numFmtId="0" fontId="10" fillId="0" borderId="0" xfId="0" applyFont="1" applyAlignment="1">
      <alignment wrapText="1"/>
    </xf>
    <xf numFmtId="0" fontId="10" fillId="6" borderId="1" xfId="0" applyFont="1" applyFill="1" applyBorder="1"/>
    <xf numFmtId="0" fontId="10" fillId="6" borderId="10" xfId="0" applyFont="1" applyFill="1" applyBorder="1"/>
    <xf numFmtId="0" fontId="10" fillId="6" borderId="2" xfId="0" applyFont="1" applyFill="1" applyBorder="1"/>
    <xf numFmtId="0" fontId="10" fillId="6" borderId="0" xfId="0" applyFont="1" applyFill="1" applyAlignment="1">
      <alignment horizontal="right"/>
    </xf>
    <xf numFmtId="0" fontId="10" fillId="6" borderId="20" xfId="0" applyFont="1" applyFill="1" applyBorder="1" applyAlignment="1">
      <alignment horizontal="right"/>
    </xf>
    <xf numFmtId="0" fontId="10" fillId="6" borderId="7" xfId="0" applyFont="1" applyFill="1" applyBorder="1" applyAlignment="1">
      <alignment horizontal="right"/>
    </xf>
    <xf numFmtId="0" fontId="10" fillId="6" borderId="18" xfId="0" applyFont="1" applyFill="1" applyBorder="1"/>
    <xf numFmtId="0" fontId="10" fillId="6" borderId="4" xfId="0" applyFont="1" applyFill="1" applyBorder="1" applyAlignment="1">
      <alignment horizontal="right"/>
    </xf>
    <xf numFmtId="0" fontId="10" fillId="6" borderId="5" xfId="0" applyFont="1" applyFill="1" applyBorder="1" applyAlignment="1">
      <alignment horizontal="right"/>
    </xf>
    <xf numFmtId="0" fontId="10" fillId="6" borderId="17" xfId="0" applyFont="1" applyFill="1" applyBorder="1" applyAlignment="1">
      <alignment horizontal="right"/>
    </xf>
    <xf numFmtId="0" fontId="10" fillId="6" borderId="3" xfId="0" applyFont="1" applyFill="1" applyBorder="1"/>
    <xf numFmtId="17" fontId="10" fillId="6" borderId="15" xfId="0" applyNumberFormat="1" applyFont="1" applyFill="1" applyBorder="1" applyAlignment="1">
      <alignment horizontal="right"/>
    </xf>
    <xf numFmtId="17" fontId="10" fillId="6" borderId="15" xfId="0" quotePrefix="1" applyNumberFormat="1" applyFont="1" applyFill="1" applyBorder="1" applyAlignment="1">
      <alignment horizontal="right"/>
    </xf>
    <xf numFmtId="17" fontId="10" fillId="6" borderId="16" xfId="0" applyNumberFormat="1" applyFont="1" applyFill="1" applyBorder="1" applyAlignment="1">
      <alignment horizontal="right"/>
    </xf>
    <xf numFmtId="0" fontId="20" fillId="0" borderId="2" xfId="0" applyFont="1" applyBorder="1"/>
    <xf numFmtId="0" fontId="20" fillId="0" borderId="0" xfId="0" applyFont="1"/>
    <xf numFmtId="165" fontId="10" fillId="0" borderId="0" xfId="1" applyNumberFormat="1" applyFont="1" applyBorder="1"/>
    <xf numFmtId="165" fontId="10" fillId="0" borderId="13" xfId="1" applyNumberFormat="1" applyFont="1" applyBorder="1"/>
    <xf numFmtId="0" fontId="10" fillId="0" borderId="2" xfId="0" applyFont="1" applyBorder="1"/>
    <xf numFmtId="0" fontId="10" fillId="0" borderId="2" xfId="0" applyFont="1" applyBorder="1" applyAlignment="1">
      <alignment wrapText="1"/>
    </xf>
    <xf numFmtId="0" fontId="20" fillId="0" borderId="21" xfId="0" applyFont="1" applyBorder="1"/>
    <xf numFmtId="165" fontId="20" fillId="0" borderId="8" xfId="1" applyNumberFormat="1" applyFont="1" applyBorder="1"/>
    <xf numFmtId="165" fontId="20" fillId="0" borderId="19" xfId="1" applyNumberFormat="1" applyFont="1" applyBorder="1"/>
    <xf numFmtId="165" fontId="20" fillId="0" borderId="23" xfId="1" applyNumberFormat="1" applyFont="1" applyBorder="1"/>
    <xf numFmtId="165" fontId="20" fillId="0" borderId="22" xfId="1" applyNumberFormat="1" applyFont="1" applyBorder="1"/>
    <xf numFmtId="0" fontId="20" fillId="0" borderId="2" xfId="0" applyFont="1" applyBorder="1" applyAlignment="1">
      <alignment wrapText="1"/>
    </xf>
    <xf numFmtId="167" fontId="20" fillId="0" borderId="0" xfId="1" applyNumberFormat="1" applyFont="1" applyBorder="1"/>
    <xf numFmtId="167" fontId="20" fillId="0" borderId="13" xfId="1" applyNumberFormat="1" applyFont="1" applyBorder="1"/>
    <xf numFmtId="167" fontId="20" fillId="0" borderId="23" xfId="1" applyNumberFormat="1" applyFont="1" applyBorder="1"/>
    <xf numFmtId="43" fontId="20" fillId="0" borderId="23" xfId="1" applyFont="1" applyBorder="1"/>
    <xf numFmtId="43" fontId="20" fillId="0" borderId="22" xfId="1" applyFont="1" applyBorder="1"/>
    <xf numFmtId="167" fontId="20" fillId="0" borderId="22" xfId="1" applyNumberFormat="1" applyFont="1" applyBorder="1"/>
    <xf numFmtId="167" fontId="10" fillId="0" borderId="0" xfId="1" applyNumberFormat="1" applyFont="1" applyFill="1" applyBorder="1"/>
    <xf numFmtId="167" fontId="10" fillId="0" borderId="13" xfId="0" applyNumberFormat="1" applyFont="1" applyBorder="1"/>
    <xf numFmtId="0" fontId="20" fillId="0" borderId="3" xfId="0" applyFont="1" applyBorder="1"/>
    <xf numFmtId="167" fontId="20" fillId="0" borderId="15" xfId="0" applyNumberFormat="1" applyFont="1" applyBorder="1"/>
    <xf numFmtId="0" fontId="20" fillId="0" borderId="15" xfId="0" applyFont="1" applyBorder="1"/>
    <xf numFmtId="0" fontId="20" fillId="0" borderId="16" xfId="0" applyFont="1" applyBorder="1"/>
    <xf numFmtId="0" fontId="13" fillId="6" borderId="0" xfId="0" applyFont="1" applyFill="1" applyAlignment="1">
      <alignment horizontal="center"/>
    </xf>
    <xf numFmtId="0" fontId="21" fillId="0" borderId="0" xfId="14"/>
    <xf numFmtId="0" fontId="22" fillId="11" borderId="27" xfId="14" applyFont="1" applyFill="1" applyBorder="1"/>
    <xf numFmtId="0" fontId="21" fillId="11" borderId="27" xfId="14" applyFill="1" applyBorder="1"/>
    <xf numFmtId="0" fontId="21" fillId="11" borderId="28" xfId="14" applyFill="1" applyBorder="1"/>
    <xf numFmtId="0" fontId="21" fillId="11" borderId="29" xfId="14" applyFill="1" applyBorder="1"/>
    <xf numFmtId="0" fontId="21" fillId="11" borderId="30" xfId="14" applyFill="1" applyBorder="1"/>
    <xf numFmtId="0" fontId="21" fillId="11" borderId="31" xfId="14" applyFill="1" applyBorder="1"/>
    <xf numFmtId="0" fontId="21" fillId="11" borderId="0" xfId="14" applyFill="1"/>
    <xf numFmtId="0" fontId="21" fillId="11" borderId="32" xfId="14" applyFill="1" applyBorder="1"/>
    <xf numFmtId="0" fontId="23" fillId="11" borderId="33" xfId="14" applyFont="1" applyFill="1" applyBorder="1"/>
    <xf numFmtId="0" fontId="24" fillId="11" borderId="33" xfId="14" applyFont="1" applyFill="1" applyBorder="1" applyAlignment="1">
      <alignment horizontal="center"/>
    </xf>
    <xf numFmtId="0" fontId="24" fillId="11" borderId="34" xfId="14" applyFont="1" applyFill="1" applyBorder="1" applyAlignment="1">
      <alignment horizontal="right"/>
    </xf>
    <xf numFmtId="0" fontId="24" fillId="11" borderId="35" xfId="14" applyFont="1" applyFill="1" applyBorder="1" applyAlignment="1">
      <alignment horizontal="right"/>
    </xf>
    <xf numFmtId="0" fontId="24" fillId="11" borderId="36" xfId="14" applyFont="1" applyFill="1" applyBorder="1" applyAlignment="1">
      <alignment horizontal="right"/>
    </xf>
    <xf numFmtId="0" fontId="25" fillId="0" borderId="0" xfId="14" applyFont="1"/>
    <xf numFmtId="0" fontId="21" fillId="0" borderId="27" xfId="14" applyBorder="1"/>
    <xf numFmtId="0" fontId="21" fillId="0" borderId="31" xfId="14" applyBorder="1"/>
    <xf numFmtId="0" fontId="21" fillId="0" borderId="32" xfId="14" applyBorder="1"/>
    <xf numFmtId="0" fontId="26" fillId="0" borderId="0" xfId="14" applyFont="1"/>
    <xf numFmtId="170" fontId="27" fillId="12" borderId="27" xfId="14" applyNumberFormat="1" applyFont="1" applyFill="1" applyBorder="1"/>
    <xf numFmtId="170" fontId="27" fillId="0" borderId="31" xfId="14" applyNumberFormat="1" applyFont="1" applyBorder="1"/>
    <xf numFmtId="170" fontId="27" fillId="0" borderId="0" xfId="14" applyNumberFormat="1" applyFont="1"/>
    <xf numFmtId="170" fontId="27" fillId="0" borderId="32" xfId="14" applyNumberFormat="1" applyFont="1" applyBorder="1"/>
    <xf numFmtId="170" fontId="28" fillId="12" borderId="37" xfId="14" applyNumberFormat="1" applyFont="1" applyFill="1" applyBorder="1"/>
    <xf numFmtId="170" fontId="28" fillId="0" borderId="38" xfId="14" applyNumberFormat="1" applyFont="1" applyBorder="1"/>
    <xf numFmtId="170" fontId="28" fillId="0" borderId="39" xfId="14" applyNumberFormat="1" applyFont="1" applyBorder="1"/>
    <xf numFmtId="170" fontId="28" fillId="0" borderId="40" xfId="14" applyNumberFormat="1" applyFont="1" applyBorder="1"/>
    <xf numFmtId="170" fontId="27" fillId="0" borderId="27" xfId="14" applyNumberFormat="1" applyFont="1" applyBorder="1"/>
    <xf numFmtId="0" fontId="25" fillId="11" borderId="0" xfId="14" applyFont="1" applyFill="1"/>
    <xf numFmtId="170" fontId="27" fillId="11" borderId="27" xfId="14" applyNumberFormat="1" applyFont="1" applyFill="1" applyBorder="1"/>
    <xf numFmtId="170" fontId="28" fillId="11" borderId="31" xfId="14" applyNumberFormat="1" applyFont="1" applyFill="1" applyBorder="1"/>
    <xf numFmtId="170" fontId="28" fillId="11" borderId="0" xfId="14" applyNumberFormat="1" applyFont="1" applyFill="1"/>
    <xf numFmtId="170" fontId="28" fillId="11" borderId="32" xfId="14" applyNumberFormat="1" applyFont="1" applyFill="1" applyBorder="1"/>
    <xf numFmtId="0" fontId="26" fillId="0" borderId="41" xfId="14" applyFont="1" applyBorder="1" applyAlignment="1">
      <alignment horizontal="left" vertical="center"/>
    </xf>
    <xf numFmtId="0" fontId="26" fillId="0" borderId="42" xfId="14" applyFont="1" applyBorder="1" applyAlignment="1">
      <alignment horizontal="left" vertical="center" wrapText="1"/>
    </xf>
    <xf numFmtId="0" fontId="26" fillId="0" borderId="43" xfId="14" applyFont="1" applyBorder="1" applyAlignment="1">
      <alignment horizontal="left" vertical="center" wrapText="1"/>
    </xf>
    <xf numFmtId="0" fontId="23" fillId="0" borderId="6" xfId="14" applyFont="1" applyBorder="1" applyAlignment="1">
      <alignment vertical="center"/>
    </xf>
    <xf numFmtId="0" fontId="23" fillId="0" borderId="0" xfId="14" applyFont="1" applyAlignment="1">
      <alignment vertical="center"/>
    </xf>
    <xf numFmtId="0" fontId="23" fillId="0" borderId="47" xfId="14" applyFont="1" applyBorder="1" applyAlignment="1">
      <alignment vertical="center"/>
    </xf>
    <xf numFmtId="0" fontId="26" fillId="0" borderId="6" xfId="14" applyFont="1" applyBorder="1"/>
    <xf numFmtId="0" fontId="25" fillId="0" borderId="27" xfId="14" applyFont="1" applyBorder="1" applyAlignment="1">
      <alignment horizontal="right" wrapText="1"/>
    </xf>
    <xf numFmtId="0" fontId="25" fillId="0" borderId="0" xfId="14" applyFont="1" applyAlignment="1">
      <alignment horizontal="right" wrapText="1"/>
    </xf>
    <xf numFmtId="0" fontId="25" fillId="0" borderId="48" xfId="14" applyFont="1" applyBorder="1" applyAlignment="1">
      <alignment horizontal="right" wrapText="1"/>
    </xf>
    <xf numFmtId="0" fontId="26" fillId="0" borderId="0" xfId="14" applyFont="1" applyAlignment="1">
      <alignment wrapText="1"/>
    </xf>
    <xf numFmtId="0" fontId="25" fillId="0" borderId="46" xfId="14" applyFont="1" applyBorder="1" applyAlignment="1">
      <alignment horizontal="right" wrapText="1"/>
    </xf>
    <xf numFmtId="0" fontId="25" fillId="0" borderId="6" xfId="14" applyFont="1" applyBorder="1"/>
    <xf numFmtId="0" fontId="26" fillId="0" borderId="27" xfId="14" applyFont="1" applyBorder="1"/>
    <xf numFmtId="0" fontId="26" fillId="0" borderId="48" xfId="14" applyFont="1" applyBorder="1"/>
    <xf numFmtId="0" fontId="26" fillId="0" borderId="46" xfId="14" applyFont="1" applyBorder="1"/>
    <xf numFmtId="9" fontId="30" fillId="0" borderId="48" xfId="15" applyFont="1" applyBorder="1"/>
    <xf numFmtId="9" fontId="30" fillId="0" borderId="0" xfId="15" applyFont="1" applyBorder="1"/>
    <xf numFmtId="0" fontId="26" fillId="0" borderId="33" xfId="14" applyFont="1" applyBorder="1"/>
    <xf numFmtId="0" fontId="26" fillId="0" borderId="35" xfId="14" applyFont="1" applyBorder="1"/>
    <xf numFmtId="9" fontId="30" fillId="0" borderId="35" xfId="15" applyFont="1" applyBorder="1"/>
    <xf numFmtId="0" fontId="26" fillId="0" borderId="49" xfId="14" applyFont="1" applyBorder="1"/>
    <xf numFmtId="0" fontId="25" fillId="0" borderId="50" xfId="14" applyFont="1" applyBorder="1"/>
    <xf numFmtId="0" fontId="25" fillId="0" borderId="39" xfId="14" applyFont="1" applyBorder="1"/>
    <xf numFmtId="9" fontId="30" fillId="0" borderId="51" xfId="15" applyFont="1" applyBorder="1"/>
    <xf numFmtId="0" fontId="25" fillId="0" borderId="27" xfId="14" applyFont="1" applyBorder="1"/>
    <xf numFmtId="0" fontId="25" fillId="0" borderId="52" xfId="14" applyFont="1" applyBorder="1"/>
    <xf numFmtId="9" fontId="30" fillId="0" borderId="52" xfId="15" applyFont="1" applyBorder="1"/>
    <xf numFmtId="0" fontId="25" fillId="0" borderId="53" xfId="14" applyFont="1" applyBorder="1"/>
    <xf numFmtId="3" fontId="25" fillId="14" borderId="54" xfId="14" applyNumberFormat="1" applyFont="1" applyFill="1" applyBorder="1"/>
    <xf numFmtId="0" fontId="26" fillId="13" borderId="0" xfId="14" applyFont="1" applyFill="1"/>
    <xf numFmtId="0" fontId="26" fillId="13" borderId="48" xfId="14" applyFont="1" applyFill="1" applyBorder="1"/>
    <xf numFmtId="0" fontId="26" fillId="13" borderId="46" xfId="14" applyFont="1" applyFill="1" applyBorder="1"/>
    <xf numFmtId="9" fontId="31" fillId="14" borderId="55" xfId="15" applyFont="1" applyFill="1" applyBorder="1"/>
    <xf numFmtId="9" fontId="30" fillId="0" borderId="39" xfId="15" applyFont="1" applyBorder="1"/>
    <xf numFmtId="0" fontId="25" fillId="0" borderId="56" xfId="14" applyFont="1" applyBorder="1"/>
    <xf numFmtId="0" fontId="25" fillId="14" borderId="54" xfId="14" applyFont="1" applyFill="1" applyBorder="1"/>
    <xf numFmtId="0" fontId="26" fillId="13" borderId="35" xfId="14" applyFont="1" applyFill="1" applyBorder="1"/>
    <xf numFmtId="0" fontId="26" fillId="13" borderId="57" xfId="14" applyFont="1" applyFill="1" applyBorder="1"/>
    <xf numFmtId="0" fontId="26" fillId="13" borderId="49" xfId="14" applyFont="1" applyFill="1" applyBorder="1"/>
    <xf numFmtId="0" fontId="25" fillId="0" borderId="58" xfId="14" applyFont="1" applyBorder="1"/>
    <xf numFmtId="0" fontId="25" fillId="0" borderId="59" xfId="14" applyFont="1" applyBorder="1"/>
    <xf numFmtId="9" fontId="30" fillId="0" borderId="60" xfId="15" applyFont="1" applyBorder="1"/>
    <xf numFmtId="0" fontId="26" fillId="0" borderId="59" xfId="14" applyFont="1" applyBorder="1"/>
    <xf numFmtId="9" fontId="30" fillId="0" borderId="59" xfId="15" applyFont="1" applyBorder="1"/>
    <xf numFmtId="0" fontId="25" fillId="0" borderId="47" xfId="14" applyFont="1" applyBorder="1"/>
    <xf numFmtId="0" fontId="25" fillId="0" borderId="61" xfId="14" applyFont="1" applyBorder="1"/>
    <xf numFmtId="0" fontId="26" fillId="13" borderId="29" xfId="14" applyFont="1" applyFill="1" applyBorder="1"/>
    <xf numFmtId="0" fontId="26" fillId="13" borderId="30" xfId="14" applyFont="1" applyFill="1" applyBorder="1"/>
    <xf numFmtId="0" fontId="26" fillId="0" borderId="29" xfId="14" applyFont="1" applyBorder="1"/>
    <xf numFmtId="0" fontId="26" fillId="13" borderId="62" xfId="14" applyFont="1" applyFill="1" applyBorder="1"/>
    <xf numFmtId="164" fontId="31" fillId="14" borderId="63" xfId="15" applyNumberFormat="1" applyFont="1" applyFill="1" applyBorder="1"/>
    <xf numFmtId="0" fontId="26" fillId="13" borderId="32" xfId="14" applyFont="1" applyFill="1" applyBorder="1"/>
    <xf numFmtId="164" fontId="31" fillId="14" borderId="55" xfId="15" applyNumberFormat="1" applyFont="1" applyFill="1" applyBorder="1"/>
    <xf numFmtId="0" fontId="25" fillId="0" borderId="4" xfId="14" applyFont="1" applyBorder="1"/>
    <xf numFmtId="0" fontId="26" fillId="0" borderId="5" xfId="14" applyFont="1" applyBorder="1"/>
    <xf numFmtId="0" fontId="26" fillId="0" borderId="5" xfId="14" applyFont="1" applyBorder="1" applyAlignment="1">
      <alignment horizontal="left" wrapText="1"/>
    </xf>
    <xf numFmtId="0" fontId="26" fillId="0" borderId="5" xfId="14" applyFont="1" applyBorder="1" applyAlignment="1">
      <alignment horizontal="left"/>
    </xf>
    <xf numFmtId="0" fontId="26" fillId="0" borderId="64" xfId="14" applyFont="1" applyBorder="1" applyAlignment="1">
      <alignment horizontal="left"/>
    </xf>
    <xf numFmtId="0" fontId="26" fillId="0" borderId="20" xfId="14" applyFont="1" applyBorder="1"/>
    <xf numFmtId="0" fontId="26" fillId="0" borderId="7" xfId="14" applyFont="1" applyBorder="1" applyAlignment="1">
      <alignment vertical="center" readingOrder="1"/>
    </xf>
    <xf numFmtId="0" fontId="26" fillId="0" borderId="7" xfId="14" applyFont="1" applyBorder="1"/>
    <xf numFmtId="0" fontId="26" fillId="0" borderId="65" xfId="14" applyFont="1" applyBorder="1"/>
    <xf numFmtId="0" fontId="25" fillId="15" borderId="0" xfId="14" applyFont="1" applyFill="1" applyAlignment="1">
      <alignment horizontal="right" wrapText="1"/>
    </xf>
    <xf numFmtId="0" fontId="26" fillId="0" borderId="0" xfId="14" applyFont="1" applyAlignment="1">
      <alignment horizontal="right" wrapText="1"/>
    </xf>
    <xf numFmtId="0" fontId="26" fillId="0" borderId="27" xfId="14" applyFont="1" applyBorder="1" applyAlignment="1">
      <alignment horizontal="right"/>
    </xf>
    <xf numFmtId="0" fontId="26" fillId="0" borderId="0" xfId="14" applyFont="1" applyAlignment="1">
      <alignment horizontal="right"/>
    </xf>
    <xf numFmtId="0" fontId="26" fillId="15" borderId="0" xfId="14" applyFont="1" applyFill="1" applyAlignment="1">
      <alignment horizontal="right"/>
    </xf>
    <xf numFmtId="0" fontId="26" fillId="0" borderId="48" xfId="14" applyFont="1" applyBorder="1" applyAlignment="1">
      <alignment horizontal="right"/>
    </xf>
    <xf numFmtId="3" fontId="26" fillId="0" borderId="27" xfId="14" applyNumberFormat="1" applyFont="1" applyBorder="1"/>
    <xf numFmtId="3" fontId="26" fillId="0" borderId="0" xfId="14" applyNumberFormat="1" applyFont="1"/>
    <xf numFmtId="3" fontId="26" fillId="15" borderId="0" xfId="14" applyNumberFormat="1" applyFont="1" applyFill="1"/>
    <xf numFmtId="9" fontId="26" fillId="0" borderId="48" xfId="14" applyNumberFormat="1" applyFont="1" applyBorder="1"/>
    <xf numFmtId="167" fontId="26" fillId="0" borderId="27" xfId="14" applyNumberFormat="1" applyFont="1" applyBorder="1"/>
    <xf numFmtId="167" fontId="26" fillId="0" borderId="0" xfId="14" applyNumberFormat="1" applyFont="1"/>
    <xf numFmtId="167" fontId="26" fillId="16" borderId="0" xfId="14" applyNumberFormat="1" applyFont="1" applyFill="1"/>
    <xf numFmtId="3" fontId="26" fillId="0" borderId="33" xfId="14" applyNumberFormat="1" applyFont="1" applyBorder="1"/>
    <xf numFmtId="3" fontId="25" fillId="0" borderId="37" xfId="14" applyNumberFormat="1" applyFont="1" applyBorder="1"/>
    <xf numFmtId="3" fontId="25" fillId="0" borderId="39" xfId="14" applyNumberFormat="1" applyFont="1" applyBorder="1"/>
    <xf numFmtId="3" fontId="25" fillId="15" borderId="39" xfId="14" applyNumberFormat="1" applyFont="1" applyFill="1" applyBorder="1"/>
    <xf numFmtId="167" fontId="25" fillId="0" borderId="37" xfId="14" applyNumberFormat="1" applyFont="1" applyBorder="1"/>
    <xf numFmtId="167" fontId="25" fillId="0" borderId="39" xfId="14" applyNumberFormat="1" applyFont="1" applyBorder="1"/>
    <xf numFmtId="167" fontId="25" fillId="15" borderId="39" xfId="14" applyNumberFormat="1" applyFont="1" applyFill="1" applyBorder="1"/>
    <xf numFmtId="0" fontId="32" fillId="0" borderId="0" xfId="14" applyFont="1"/>
    <xf numFmtId="3" fontId="32" fillId="0" borderId="0" xfId="14" applyNumberFormat="1" applyFont="1"/>
    <xf numFmtId="171" fontId="26" fillId="0" borderId="0" xfId="16" applyFont="1"/>
    <xf numFmtId="0" fontId="25" fillId="0" borderId="37" xfId="14" applyFont="1" applyBorder="1"/>
    <xf numFmtId="0" fontId="25" fillId="17" borderId="39" xfId="14" applyFont="1" applyFill="1" applyBorder="1"/>
    <xf numFmtId="0" fontId="26" fillId="18" borderId="28" xfId="14" applyFont="1" applyFill="1" applyBorder="1"/>
    <xf numFmtId="0" fontId="26" fillId="19" borderId="67" xfId="14" applyFont="1" applyFill="1" applyBorder="1"/>
    <xf numFmtId="167" fontId="26" fillId="16" borderId="68" xfId="14" applyNumberFormat="1" applyFont="1" applyFill="1" applyBorder="1"/>
    <xf numFmtId="3" fontId="26" fillId="0" borderId="30" xfId="14" applyNumberFormat="1" applyFont="1" applyBorder="1"/>
    <xf numFmtId="0" fontId="26" fillId="0" borderId="13" xfId="14" applyFont="1" applyBorder="1"/>
    <xf numFmtId="0" fontId="26" fillId="18" borderId="9" xfId="14" applyFont="1" applyFill="1" applyBorder="1"/>
    <xf numFmtId="0" fontId="26" fillId="19" borderId="11" xfId="14" applyFont="1" applyFill="1" applyBorder="1"/>
    <xf numFmtId="3" fontId="26" fillId="19" borderId="1" xfId="14" applyNumberFormat="1" applyFont="1" applyFill="1" applyBorder="1"/>
    <xf numFmtId="0" fontId="26" fillId="0" borderId="2" xfId="14" applyFont="1" applyBorder="1"/>
    <xf numFmtId="0" fontId="26" fillId="18" borderId="31" xfId="14" applyFont="1" applyFill="1" applyBorder="1"/>
    <xf numFmtId="0" fontId="26" fillId="19" borderId="13" xfId="14" applyFont="1" applyFill="1" applyBorder="1"/>
    <xf numFmtId="3" fontId="26" fillId="16" borderId="0" xfId="14" applyNumberFormat="1" applyFont="1" applyFill="1"/>
    <xf numFmtId="3" fontId="26" fillId="19" borderId="69" xfId="14" applyNumberFormat="1" applyFont="1" applyFill="1" applyBorder="1"/>
    <xf numFmtId="0" fontId="26" fillId="18" borderId="12" xfId="14" applyFont="1" applyFill="1" applyBorder="1"/>
    <xf numFmtId="3" fontId="26" fillId="19" borderId="2" xfId="14" applyNumberFormat="1" applyFont="1" applyFill="1" applyBorder="1"/>
    <xf numFmtId="167" fontId="26" fillId="16" borderId="2" xfId="14" applyNumberFormat="1" applyFont="1" applyFill="1" applyBorder="1"/>
    <xf numFmtId="0" fontId="28" fillId="0" borderId="0" xfId="14" applyFont="1"/>
    <xf numFmtId="0" fontId="25" fillId="18" borderId="31" xfId="14" applyFont="1" applyFill="1" applyBorder="1"/>
    <xf numFmtId="167" fontId="25" fillId="16" borderId="2" xfId="14" applyNumberFormat="1" applyFont="1" applyFill="1" applyBorder="1"/>
    <xf numFmtId="0" fontId="25" fillId="18" borderId="12" xfId="14" applyFont="1" applyFill="1" applyBorder="1"/>
    <xf numFmtId="0" fontId="26" fillId="0" borderId="4" xfId="14" applyFont="1" applyBorder="1"/>
    <xf numFmtId="0" fontId="26" fillId="0" borderId="4" xfId="14" applyFont="1" applyBorder="1" applyAlignment="1">
      <alignment horizontal="center"/>
    </xf>
    <xf numFmtId="0" fontId="26" fillId="0" borderId="5" xfId="14" applyFont="1" applyBorder="1" applyAlignment="1">
      <alignment horizontal="center"/>
    </xf>
    <xf numFmtId="0" fontId="26" fillId="0" borderId="64" xfId="14" applyFont="1" applyBorder="1" applyAlignment="1">
      <alignment horizontal="center"/>
    </xf>
    <xf numFmtId="0" fontId="26" fillId="0" borderId="4" xfId="14" applyFont="1" applyBorder="1" applyAlignment="1">
      <alignment horizontal="left"/>
    </xf>
    <xf numFmtId="0" fontId="26" fillId="0" borderId="64" xfId="14" applyFont="1" applyBorder="1" applyAlignment="1">
      <alignment horizontal="left" wrapText="1"/>
    </xf>
    <xf numFmtId="0" fontId="26" fillId="0" borderId="6" xfId="14" applyFont="1" applyBorder="1" applyAlignment="1">
      <alignment vertical="center" readingOrder="1"/>
    </xf>
    <xf numFmtId="0" fontId="26" fillId="0" borderId="6" xfId="14" applyFont="1" applyBorder="1" applyAlignment="1">
      <alignment horizontal="left" vertical="center" indent="2" readingOrder="1"/>
    </xf>
    <xf numFmtId="0" fontId="26" fillId="0" borderId="20" xfId="14" applyFont="1" applyBorder="1" applyAlignment="1">
      <alignment horizontal="left" vertical="center" indent="2" readingOrder="1"/>
    </xf>
    <xf numFmtId="0" fontId="33" fillId="0" borderId="6" xfId="14" applyFont="1" applyBorder="1"/>
    <xf numFmtId="0" fontId="21" fillId="0" borderId="46" xfId="14" applyBorder="1"/>
    <xf numFmtId="0" fontId="23" fillId="0" borderId="6" xfId="14" applyFont="1" applyBorder="1"/>
    <xf numFmtId="0" fontId="23" fillId="11" borderId="0" xfId="14" applyFont="1" applyFill="1"/>
    <xf numFmtId="0" fontId="23" fillId="0" borderId="46" xfId="14" applyFont="1" applyBorder="1"/>
    <xf numFmtId="0" fontId="24" fillId="11" borderId="72" xfId="14" applyFont="1" applyFill="1" applyBorder="1" applyAlignment="1">
      <alignment horizontal="right"/>
    </xf>
    <xf numFmtId="0" fontId="24" fillId="11" borderId="73" xfId="14" applyFont="1" applyFill="1" applyBorder="1" applyAlignment="1">
      <alignment horizontal="right"/>
    </xf>
    <xf numFmtId="0" fontId="24" fillId="11" borderId="74" xfId="14" applyFont="1" applyFill="1" applyBorder="1" applyAlignment="1">
      <alignment horizontal="right"/>
    </xf>
    <xf numFmtId="0" fontId="24" fillId="11" borderId="75" xfId="14" applyFont="1" applyFill="1" applyBorder="1" applyAlignment="1">
      <alignment horizontal="center"/>
    </xf>
    <xf numFmtId="0" fontId="21" fillId="0" borderId="6" xfId="14" applyBorder="1"/>
    <xf numFmtId="0" fontId="21" fillId="0" borderId="50" xfId="14" applyBorder="1"/>
    <xf numFmtId="0" fontId="21" fillId="0" borderId="59" xfId="14" applyBorder="1"/>
    <xf numFmtId="0" fontId="21" fillId="0" borderId="60" xfId="14" applyBorder="1"/>
    <xf numFmtId="0" fontId="21" fillId="0" borderId="76" xfId="14" applyBorder="1"/>
    <xf numFmtId="0" fontId="26" fillId="0" borderId="70" xfId="14" applyFont="1" applyBorder="1"/>
    <xf numFmtId="0" fontId="25" fillId="0" borderId="77" xfId="14" applyFont="1" applyBorder="1"/>
    <xf numFmtId="9" fontId="34" fillId="0" borderId="27" xfId="15" applyFont="1" applyBorder="1"/>
    <xf numFmtId="1" fontId="26" fillId="0" borderId="33" xfId="14" applyNumberFormat="1" applyFont="1" applyBorder="1"/>
    <xf numFmtId="1" fontId="26" fillId="0" borderId="35" xfId="14" applyNumberFormat="1" applyFont="1" applyBorder="1"/>
    <xf numFmtId="0" fontId="26" fillId="0" borderId="57" xfId="14" applyFont="1" applyBorder="1"/>
    <xf numFmtId="1" fontId="26" fillId="0" borderId="27" xfId="14" applyNumberFormat="1" applyFont="1" applyBorder="1"/>
    <xf numFmtId="1" fontId="26" fillId="0" borderId="0" xfId="14" applyNumberFormat="1" applyFont="1"/>
    <xf numFmtId="1" fontId="25" fillId="0" borderId="55" xfId="14" applyNumberFormat="1" applyFont="1" applyBorder="1"/>
    <xf numFmtId="0" fontId="26" fillId="0" borderId="78" xfId="14" applyFont="1" applyBorder="1"/>
    <xf numFmtId="1" fontId="25" fillId="0" borderId="26" xfId="14" applyNumberFormat="1" applyFont="1" applyBorder="1"/>
    <xf numFmtId="0" fontId="26" fillId="0" borderId="79" xfId="14" applyFont="1" applyBorder="1"/>
    <xf numFmtId="0" fontId="35" fillId="0" borderId="6" xfId="14" applyFont="1" applyBorder="1"/>
    <xf numFmtId="0" fontId="26" fillId="11" borderId="0" xfId="14" applyFont="1" applyFill="1"/>
    <xf numFmtId="0" fontId="25" fillId="11" borderId="72" xfId="14" applyFont="1" applyFill="1" applyBorder="1" applyAlignment="1">
      <alignment horizontal="right"/>
    </xf>
    <xf numFmtId="0" fontId="25" fillId="11" borderId="73" xfId="14" applyFont="1" applyFill="1" applyBorder="1" applyAlignment="1">
      <alignment horizontal="right"/>
    </xf>
    <xf numFmtId="0" fontId="25" fillId="11" borderId="74" xfId="14" applyFont="1" applyFill="1" applyBorder="1" applyAlignment="1">
      <alignment horizontal="right"/>
    </xf>
    <xf numFmtId="0" fontId="25" fillId="11" borderId="75" xfId="14" applyFont="1" applyFill="1" applyBorder="1" applyAlignment="1">
      <alignment horizontal="center"/>
    </xf>
    <xf numFmtId="0" fontId="26" fillId="0" borderId="50" xfId="14" applyFont="1" applyBorder="1"/>
    <xf numFmtId="0" fontId="26" fillId="0" borderId="60" xfId="14" applyFont="1" applyBorder="1"/>
    <xf numFmtId="0" fontId="26" fillId="0" borderId="76" xfId="14" applyFont="1" applyBorder="1"/>
    <xf numFmtId="1" fontId="26" fillId="0" borderId="48" xfId="14" applyNumberFormat="1" applyFont="1" applyBorder="1"/>
    <xf numFmtId="0" fontId="25" fillId="0" borderId="20" xfId="14" applyFont="1" applyBorder="1"/>
    <xf numFmtId="1" fontId="25" fillId="0" borderId="80" xfId="14" applyNumberFormat="1" applyFont="1" applyBorder="1"/>
    <xf numFmtId="0" fontId="26" fillId="0" borderId="81" xfId="14" applyFont="1" applyBorder="1"/>
    <xf numFmtId="0" fontId="8" fillId="0" borderId="10" xfId="0" applyFont="1" applyBorder="1"/>
    <xf numFmtId="0" fontId="36" fillId="3" borderId="4" xfId="0" applyFont="1" applyFill="1" applyBorder="1" applyAlignment="1">
      <alignment horizontal="right" vertical="center"/>
    </xf>
    <xf numFmtId="0" fontId="36" fillId="3" borderId="88" xfId="0" applyFont="1" applyFill="1" applyBorder="1" applyAlignment="1">
      <alignment horizontal="right" vertical="center"/>
    </xf>
    <xf numFmtId="0" fontId="36" fillId="3" borderId="64" xfId="0" applyFont="1" applyFill="1" applyBorder="1" applyAlignment="1">
      <alignment horizontal="right" vertical="center"/>
    </xf>
    <xf numFmtId="0" fontId="8" fillId="0" borderId="0" xfId="0" applyFont="1"/>
    <xf numFmtId="0" fontId="36" fillId="3" borderId="88" xfId="0" applyFont="1" applyFill="1" applyBorder="1" applyAlignment="1">
      <alignment horizontal="right" vertical="center" wrapText="1"/>
    </xf>
    <xf numFmtId="0" fontId="36" fillId="3" borderId="88" xfId="0" applyFont="1" applyFill="1" applyBorder="1" applyAlignment="1">
      <alignment horizontal="center" vertical="center" wrapText="1"/>
    </xf>
    <xf numFmtId="0" fontId="36" fillId="3" borderId="17" xfId="0" applyFont="1" applyFill="1" applyBorder="1" applyAlignment="1">
      <alignment horizontal="center" vertical="center"/>
    </xf>
    <xf numFmtId="6" fontId="36" fillId="3" borderId="20" xfId="0" applyNumberFormat="1" applyFont="1" applyFill="1" applyBorder="1" applyAlignment="1">
      <alignment horizontal="right" vertical="center"/>
    </xf>
    <xf numFmtId="6" fontId="36" fillId="3" borderId="90" xfId="0" applyNumberFormat="1" applyFont="1" applyFill="1" applyBorder="1" applyAlignment="1">
      <alignment horizontal="right" vertical="center"/>
    </xf>
    <xf numFmtId="6" fontId="36" fillId="3" borderId="20" xfId="0" applyNumberFormat="1" applyFont="1" applyFill="1" applyBorder="1" applyAlignment="1">
      <alignment horizontal="center" vertical="center"/>
    </xf>
    <xf numFmtId="6" fontId="36" fillId="3" borderId="91" xfId="0" applyNumberFormat="1" applyFont="1" applyFill="1" applyBorder="1" applyAlignment="1">
      <alignment horizontal="center" vertical="center"/>
    </xf>
    <xf numFmtId="0" fontId="8" fillId="0" borderId="87" xfId="0" applyFont="1" applyBorder="1"/>
    <xf numFmtId="0" fontId="37" fillId="0" borderId="6" xfId="0" applyFont="1" applyBorder="1" applyAlignment="1">
      <alignment horizontal="center" vertical="center"/>
    </xf>
    <xf numFmtId="0" fontId="37" fillId="0" borderId="92" xfId="0" applyFont="1" applyBorder="1" applyAlignment="1">
      <alignment horizontal="center" vertical="center"/>
    </xf>
    <xf numFmtId="0" fontId="37" fillId="0" borderId="46" xfId="0" applyFont="1" applyBorder="1" applyAlignment="1">
      <alignment horizontal="center" vertical="center"/>
    </xf>
    <xf numFmtId="0" fontId="37" fillId="0" borderId="88" xfId="0" applyFont="1" applyBorder="1" applyAlignment="1">
      <alignment horizontal="center" vertical="center"/>
    </xf>
    <xf numFmtId="0" fontId="37" fillId="0" borderId="13" xfId="0" applyFont="1" applyBorder="1" applyAlignment="1">
      <alignment horizontal="center" vertical="center"/>
    </xf>
    <xf numFmtId="0" fontId="37" fillId="0" borderId="87" xfId="0" applyFont="1" applyBorder="1" applyAlignment="1">
      <alignment vertical="center"/>
    </xf>
    <xf numFmtId="3" fontId="37" fillId="0" borderId="6" xfId="0" applyNumberFormat="1" applyFont="1" applyBorder="1" applyAlignment="1">
      <alignment horizontal="right" vertical="center"/>
    </xf>
    <xf numFmtId="167" fontId="37" fillId="0" borderId="92" xfId="0" applyNumberFormat="1" applyFont="1" applyBorder="1" applyAlignment="1">
      <alignment horizontal="right" vertical="center"/>
    </xf>
    <xf numFmtId="167" fontId="37" fillId="0" borderId="46" xfId="0" applyNumberFormat="1" applyFont="1" applyBorder="1" applyAlignment="1">
      <alignment horizontal="right" vertical="center"/>
    </xf>
    <xf numFmtId="3" fontId="37" fillId="0" borderId="92" xfId="0" applyNumberFormat="1" applyFont="1" applyBorder="1" applyAlignment="1">
      <alignment horizontal="right" vertical="center"/>
    </xf>
    <xf numFmtId="167" fontId="37" fillId="0" borderId="13" xfId="0" applyNumberFormat="1" applyFont="1" applyBorder="1" applyAlignment="1">
      <alignment horizontal="right" vertical="center"/>
    </xf>
    <xf numFmtId="0" fontId="37" fillId="0" borderId="6" xfId="0" applyFont="1" applyBorder="1" applyAlignment="1">
      <alignment vertical="center"/>
    </xf>
    <xf numFmtId="0" fontId="37" fillId="0" borderId="92" xfId="0" applyFont="1" applyBorder="1" applyAlignment="1">
      <alignment vertical="center"/>
    </xf>
    <xf numFmtId="0" fontId="37" fillId="0" borderId="46" xfId="0" applyFont="1" applyBorder="1" applyAlignment="1">
      <alignment vertical="center"/>
    </xf>
    <xf numFmtId="0" fontId="37" fillId="0" borderId="13" xfId="0" applyFont="1" applyBorder="1" applyAlignment="1">
      <alignment vertical="center"/>
    </xf>
    <xf numFmtId="0" fontId="36" fillId="3" borderId="93" xfId="0" applyFont="1" applyFill="1" applyBorder="1" applyAlignment="1">
      <alignment vertical="center" wrapText="1"/>
    </xf>
    <xf numFmtId="167" fontId="36" fillId="3" borderId="41" xfId="0" applyNumberFormat="1" applyFont="1" applyFill="1" applyBorder="1" applyAlignment="1">
      <alignment horizontal="right" vertical="center"/>
    </xf>
    <xf numFmtId="167" fontId="36" fillId="3" borderId="94" xfId="0" applyNumberFormat="1" applyFont="1" applyFill="1" applyBorder="1" applyAlignment="1">
      <alignment horizontal="right" vertical="center"/>
    </xf>
    <xf numFmtId="167" fontId="36" fillId="3" borderId="43" xfId="0" applyNumberFormat="1" applyFont="1" applyFill="1" applyBorder="1" applyAlignment="1">
      <alignment horizontal="right" vertical="center"/>
    </xf>
    <xf numFmtId="167" fontId="36" fillId="3" borderId="95" xfId="0" applyNumberFormat="1" applyFont="1" applyFill="1" applyBorder="1" applyAlignment="1">
      <alignment horizontal="right" vertical="center"/>
    </xf>
    <xf numFmtId="0" fontId="37" fillId="0" borderId="4" xfId="0" applyFont="1" applyBorder="1" applyAlignment="1">
      <alignment vertical="center"/>
    </xf>
    <xf numFmtId="0" fontId="37" fillId="0" borderId="88" xfId="0" applyFont="1" applyBorder="1" applyAlignment="1">
      <alignment vertical="center"/>
    </xf>
    <xf numFmtId="0" fontId="37" fillId="0" borderId="96" xfId="0" applyFont="1" applyBorder="1" applyAlignment="1">
      <alignment vertical="center"/>
    </xf>
    <xf numFmtId="43" fontId="37" fillId="0" borderId="46" xfId="1" applyFont="1" applyBorder="1" applyAlignment="1">
      <alignment horizontal="right" vertical="center"/>
    </xf>
    <xf numFmtId="43" fontId="37" fillId="0" borderId="92" xfId="1" applyFont="1" applyBorder="1" applyAlignment="1">
      <alignment horizontal="right" vertical="center"/>
    </xf>
    <xf numFmtId="0" fontId="37" fillId="0" borderId="97" xfId="0" applyFont="1" applyBorder="1" applyAlignment="1">
      <alignment vertical="center"/>
    </xf>
    <xf numFmtId="167" fontId="37" fillId="0" borderId="97" xfId="0" applyNumberFormat="1" applyFont="1" applyBorder="1" applyAlignment="1">
      <alignment horizontal="right" vertical="center"/>
    </xf>
    <xf numFmtId="0" fontId="37" fillId="0" borderId="20" xfId="0" applyFont="1" applyBorder="1" applyAlignment="1">
      <alignment vertical="center"/>
    </xf>
    <xf numFmtId="0" fontId="37" fillId="0" borderId="90" xfId="0" applyFont="1" applyBorder="1" applyAlignment="1">
      <alignment vertical="center"/>
    </xf>
    <xf numFmtId="0" fontId="37" fillId="0" borderId="65" xfId="0" applyFont="1" applyBorder="1" applyAlignment="1">
      <alignment vertical="center"/>
    </xf>
    <xf numFmtId="0" fontId="37" fillId="0" borderId="91" xfId="0" applyFont="1" applyBorder="1" applyAlignment="1">
      <alignment vertical="center"/>
    </xf>
    <xf numFmtId="0" fontId="36" fillId="3" borderId="93" xfId="0" applyFont="1" applyFill="1" applyBorder="1" applyAlignment="1">
      <alignment vertical="center"/>
    </xf>
    <xf numFmtId="0" fontId="8" fillId="0" borderId="0" xfId="0" applyFont="1" applyAlignment="1">
      <alignment vertical="center"/>
    </xf>
    <xf numFmtId="0" fontId="0" fillId="0" borderId="0" xfId="0" applyAlignment="1">
      <alignment vertical="center"/>
    </xf>
    <xf numFmtId="0" fontId="37" fillId="0" borderId="64" xfId="0" applyFont="1" applyBorder="1" applyAlignment="1">
      <alignment vertical="center"/>
    </xf>
    <xf numFmtId="43" fontId="37" fillId="0" borderId="6" xfId="1" applyFont="1" applyBorder="1" applyAlignment="1">
      <alignment horizontal="right" vertical="center"/>
    </xf>
    <xf numFmtId="0" fontId="36" fillId="3" borderId="98" xfId="0" applyFont="1" applyFill="1" applyBorder="1" applyAlignment="1">
      <alignment vertical="center"/>
    </xf>
    <xf numFmtId="167" fontId="36" fillId="3" borderId="99" xfId="0" applyNumberFormat="1" applyFont="1" applyFill="1" applyBorder="1" applyAlignment="1">
      <alignment horizontal="right" vertical="center"/>
    </xf>
    <xf numFmtId="0" fontId="8" fillId="0" borderId="15" xfId="0" applyFont="1" applyBorder="1" applyAlignment="1">
      <alignment vertical="center"/>
    </xf>
    <xf numFmtId="167" fontId="36" fillId="3" borderId="100" xfId="0" applyNumberFormat="1" applyFont="1" applyFill="1" applyBorder="1" applyAlignment="1">
      <alignment horizontal="right" vertical="center"/>
    </xf>
    <xf numFmtId="0" fontId="38" fillId="0" borderId="0" xfId="0" applyFont="1" applyAlignment="1">
      <alignment vertical="center"/>
    </xf>
    <xf numFmtId="167" fontId="38" fillId="0" borderId="0" xfId="0" applyNumberFormat="1" applyFont="1" applyAlignment="1">
      <alignment horizontal="right" vertical="center"/>
    </xf>
    <xf numFmtId="167" fontId="38" fillId="0" borderId="5" xfId="0" applyNumberFormat="1" applyFont="1" applyBorder="1" applyAlignment="1">
      <alignment horizontal="right" vertical="center"/>
    </xf>
    <xf numFmtId="0" fontId="38" fillId="3" borderId="94" xfId="0" applyFont="1" applyFill="1" applyBorder="1" applyAlignment="1">
      <alignment horizontal="center" vertical="center"/>
    </xf>
    <xf numFmtId="0" fontId="38" fillId="3" borderId="41" xfId="0" applyFont="1" applyFill="1" applyBorder="1" applyAlignment="1">
      <alignment horizontal="center" vertical="center" wrapText="1"/>
    </xf>
    <xf numFmtId="0" fontId="38" fillId="3" borderId="94" xfId="0" applyFont="1" applyFill="1" applyBorder="1" applyAlignment="1">
      <alignment horizontal="center" vertical="center" wrapText="1"/>
    </xf>
    <xf numFmtId="0" fontId="38" fillId="0" borderId="6" xfId="0" applyFont="1" applyBorder="1" applyAlignment="1">
      <alignment vertical="center"/>
    </xf>
    <xf numFmtId="167" fontId="38" fillId="0" borderId="6" xfId="0" applyNumberFormat="1" applyFont="1" applyBorder="1" applyAlignment="1">
      <alignment horizontal="center" vertical="center"/>
    </xf>
    <xf numFmtId="167" fontId="38" fillId="0" borderId="92" xfId="0" applyNumberFormat="1" applyFont="1" applyBorder="1" applyAlignment="1">
      <alignment horizontal="center" vertical="center"/>
    </xf>
    <xf numFmtId="167" fontId="38" fillId="0" borderId="0" xfId="0" applyNumberFormat="1" applyFont="1" applyAlignment="1">
      <alignment horizontal="center" vertical="center"/>
    </xf>
    <xf numFmtId="0" fontId="38" fillId="3" borderId="41" xfId="0" applyFont="1" applyFill="1" applyBorder="1" applyAlignment="1">
      <alignment vertical="center"/>
    </xf>
    <xf numFmtId="164" fontId="38" fillId="3" borderId="41" xfId="0" applyNumberFormat="1" applyFont="1" applyFill="1" applyBorder="1" applyAlignment="1">
      <alignment horizontal="center" vertical="center"/>
    </xf>
    <xf numFmtId="164" fontId="38" fillId="3" borderId="94" xfId="0" applyNumberFormat="1" applyFont="1" applyFill="1" applyBorder="1" applyAlignment="1">
      <alignment horizontal="center" vertical="center"/>
    </xf>
    <xf numFmtId="0" fontId="0" fillId="0" borderId="6" xfId="0" applyBorder="1"/>
    <xf numFmtId="0" fontId="0" fillId="0" borderId="6" xfId="0" applyBorder="1" applyAlignment="1">
      <alignment horizontal="center"/>
    </xf>
    <xf numFmtId="0" fontId="0" fillId="0" borderId="92" xfId="0" applyBorder="1" applyAlignment="1">
      <alignment horizontal="center"/>
    </xf>
    <xf numFmtId="0" fontId="0" fillId="0" borderId="0" xfId="0" applyAlignment="1">
      <alignment horizontal="center"/>
    </xf>
    <xf numFmtId="9" fontId="38" fillId="3" borderId="41" xfId="0" applyNumberFormat="1" applyFont="1" applyFill="1" applyBorder="1" applyAlignment="1">
      <alignment horizontal="center" vertical="center"/>
    </xf>
    <xf numFmtId="9" fontId="38" fillId="3" borderId="94" xfId="0" applyNumberFormat="1" applyFont="1" applyFill="1" applyBorder="1" applyAlignment="1">
      <alignment horizontal="center" vertical="center"/>
    </xf>
    <xf numFmtId="167" fontId="38" fillId="3" borderId="41" xfId="0" applyNumberFormat="1" applyFont="1" applyFill="1" applyBorder="1" applyAlignment="1">
      <alignment horizontal="center" vertical="center"/>
    </xf>
    <xf numFmtId="167" fontId="38" fillId="3" borderId="94" xfId="0" applyNumberFormat="1" applyFont="1" applyFill="1" applyBorder="1" applyAlignment="1">
      <alignment horizontal="center" vertical="center"/>
    </xf>
    <xf numFmtId="172" fontId="38" fillId="3" borderId="41" xfId="0" applyNumberFormat="1" applyFont="1" applyFill="1" applyBorder="1" applyAlignment="1">
      <alignment horizontal="center" vertical="center"/>
    </xf>
    <xf numFmtId="172" fontId="38" fillId="3" borderId="94" xfId="0" applyNumberFormat="1" applyFont="1" applyFill="1" applyBorder="1" applyAlignment="1">
      <alignment horizontal="center" vertical="center"/>
    </xf>
    <xf numFmtId="172" fontId="38" fillId="3" borderId="94" xfId="0" applyNumberFormat="1" applyFont="1" applyFill="1" applyBorder="1" applyAlignment="1">
      <alignment horizontal="center" vertical="center" wrapText="1"/>
    </xf>
    <xf numFmtId="172" fontId="38" fillId="3" borderId="43" xfId="0" applyNumberFormat="1" applyFont="1" applyFill="1" applyBorder="1" applyAlignment="1">
      <alignment horizontal="center" vertical="center"/>
    </xf>
    <xf numFmtId="0" fontId="0" fillId="0" borderId="7" xfId="0" applyBorder="1" applyAlignment="1">
      <alignment horizontal="center"/>
    </xf>
    <xf numFmtId="1" fontId="36" fillId="3" borderId="83" xfId="0" applyNumberFormat="1" applyFont="1" applyFill="1" applyBorder="1" applyAlignment="1">
      <alignment horizontal="center" vertical="center"/>
    </xf>
    <xf numFmtId="0" fontId="36" fillId="3" borderId="84" xfId="0" applyFont="1" applyFill="1" applyBorder="1" applyAlignment="1">
      <alignment horizontal="center" vertical="center"/>
    </xf>
    <xf numFmtId="0" fontId="36" fillId="3" borderId="85" xfId="0" applyFont="1" applyFill="1" applyBorder="1" applyAlignment="1">
      <alignment horizontal="center" vertical="center"/>
    </xf>
    <xf numFmtId="0" fontId="36" fillId="3" borderId="83" xfId="0" applyFont="1" applyFill="1" applyBorder="1" applyAlignment="1">
      <alignment horizontal="center" vertical="center"/>
    </xf>
    <xf numFmtId="0" fontId="36" fillId="3" borderId="86" xfId="0" applyFont="1" applyFill="1" applyBorder="1" applyAlignment="1">
      <alignment horizontal="center" vertical="center"/>
    </xf>
    <xf numFmtId="167" fontId="38" fillId="3" borderId="43" xfId="0" applyNumberFormat="1" applyFont="1" applyFill="1" applyBorder="1" applyAlignment="1">
      <alignment horizontal="center" vertical="center"/>
    </xf>
    <xf numFmtId="0" fontId="39" fillId="6" borderId="21" xfId="0" applyFont="1" applyFill="1" applyBorder="1" applyAlignment="1">
      <alignment horizontal="center" vertical="center" wrapText="1" readingOrder="1"/>
    </xf>
    <xf numFmtId="0" fontId="12" fillId="0" borderId="21" xfId="0" applyFont="1" applyBorder="1" applyAlignment="1">
      <alignment horizontal="center" vertical="center"/>
    </xf>
    <xf numFmtId="0" fontId="24" fillId="0" borderId="21" xfId="0" applyFont="1" applyBorder="1" applyAlignment="1">
      <alignment horizontal="left" vertical="center" wrapText="1" readingOrder="1"/>
    </xf>
    <xf numFmtId="2" fontId="40" fillId="0" borderId="21" xfId="0" applyNumberFormat="1" applyFont="1" applyBorder="1" applyAlignment="1">
      <alignment horizontal="center" vertical="center" wrapText="1"/>
    </xf>
    <xf numFmtId="0" fontId="40" fillId="0" borderId="21" xfId="0" applyFont="1" applyBorder="1" applyAlignment="1">
      <alignment horizontal="center" vertical="center" wrapText="1"/>
    </xf>
    <xf numFmtId="165" fontId="41" fillId="0" borderId="21" xfId="1" applyNumberFormat="1" applyFont="1" applyFill="1" applyBorder="1" applyAlignment="1">
      <alignment horizontal="center" vertical="top" wrapText="1"/>
    </xf>
    <xf numFmtId="0" fontId="9" fillId="0" borderId="21" xfId="0" applyFont="1" applyBorder="1" applyAlignment="1">
      <alignment horizontal="center" vertical="center" wrapText="1"/>
    </xf>
    <xf numFmtId="0" fontId="42" fillId="6" borderId="21" xfId="0" applyFont="1" applyFill="1" applyBorder="1" applyAlignment="1">
      <alignment horizontal="center" vertical="center" wrapText="1"/>
    </xf>
    <xf numFmtId="0" fontId="42" fillId="6" borderId="21" xfId="0" applyFont="1" applyFill="1" applyBorder="1" applyAlignment="1">
      <alignment horizontal="right" vertical="center" wrapText="1"/>
    </xf>
    <xf numFmtId="164" fontId="40" fillId="0" borderId="21" xfId="2" applyNumberFormat="1" applyFont="1" applyFill="1" applyBorder="1" applyAlignment="1">
      <alignment horizontal="center" vertical="center" wrapText="1"/>
    </xf>
    <xf numFmtId="0" fontId="43" fillId="0" borderId="21" xfId="0" applyFont="1" applyBorder="1" applyAlignment="1">
      <alignment vertical="center"/>
    </xf>
    <xf numFmtId="2" fontId="43" fillId="0" borderId="21" xfId="0" applyNumberFormat="1" applyFont="1" applyBorder="1" applyAlignment="1">
      <alignment horizontal="right" vertical="center"/>
    </xf>
    <xf numFmtId="0" fontId="43" fillId="0" borderId="21" xfId="0" applyFont="1" applyBorder="1" applyAlignment="1">
      <alignment horizontal="center" vertical="center"/>
    </xf>
    <xf numFmtId="0" fontId="9" fillId="0" borderId="21" xfId="0" applyFont="1" applyBorder="1" applyAlignment="1">
      <alignment vertical="center" wrapText="1"/>
    </xf>
    <xf numFmtId="0" fontId="40" fillId="6" borderId="21" xfId="0" applyFont="1" applyFill="1" applyBorder="1" applyAlignment="1">
      <alignment horizontal="center" vertical="center" wrapText="1"/>
    </xf>
    <xf numFmtId="0" fontId="39" fillId="0" borderId="21" xfId="0" applyFont="1" applyBorder="1" applyAlignment="1">
      <alignment horizontal="center" vertical="center" wrapText="1"/>
    </xf>
    <xf numFmtId="0" fontId="43" fillId="0" borderId="21" xfId="0" applyFont="1" applyBorder="1" applyAlignment="1">
      <alignment vertical="center" wrapText="1"/>
    </xf>
    <xf numFmtId="165" fontId="43" fillId="0" borderId="21" xfId="1" applyNumberFormat="1" applyFont="1" applyBorder="1" applyAlignment="1">
      <alignment horizontal="right" vertical="center"/>
    </xf>
    <xf numFmtId="3" fontId="43" fillId="0" borderId="21" xfId="0" applyNumberFormat="1" applyFont="1" applyBorder="1" applyAlignment="1">
      <alignment horizontal="center" vertical="center"/>
    </xf>
    <xf numFmtId="0" fontId="12" fillId="6" borderId="6" xfId="0" applyFont="1" applyFill="1" applyBorder="1" applyAlignment="1">
      <alignment horizontal="center"/>
    </xf>
    <xf numFmtId="0" fontId="12" fillId="6" borderId="0" xfId="0" applyFont="1" applyFill="1" applyAlignment="1">
      <alignment horizontal="center"/>
    </xf>
    <xf numFmtId="0" fontId="13" fillId="6" borderId="6" xfId="0" applyFont="1" applyFill="1" applyBorder="1" applyAlignment="1">
      <alignment horizontal="left"/>
    </xf>
    <xf numFmtId="0" fontId="12" fillId="6" borderId="6" xfId="0" applyFont="1" applyFill="1" applyBorder="1" applyAlignment="1">
      <alignment horizontal="left"/>
    </xf>
    <xf numFmtId="0" fontId="39" fillId="6" borderId="1" xfId="0" applyFont="1" applyFill="1" applyBorder="1" applyAlignment="1">
      <alignment horizontal="center" vertical="center" wrapText="1" readingOrder="1"/>
    </xf>
    <xf numFmtId="0" fontId="39" fillId="6" borderId="3" xfId="0" applyFont="1" applyFill="1" applyBorder="1" applyAlignment="1">
      <alignment horizontal="center" vertical="center" wrapText="1" readingOrder="1"/>
    </xf>
    <xf numFmtId="0" fontId="39" fillId="6" borderId="19" xfId="0" applyFont="1" applyFill="1" applyBorder="1" applyAlignment="1">
      <alignment horizontal="center" vertical="center" wrapText="1" readingOrder="1"/>
    </xf>
    <xf numFmtId="0" fontId="39" fillId="6" borderId="22" xfId="0" applyFont="1" applyFill="1" applyBorder="1" applyAlignment="1">
      <alignment horizontal="center" vertical="center" wrapText="1" readingOrder="1"/>
    </xf>
    <xf numFmtId="0" fontId="40" fillId="0" borderId="22" xfId="0" applyFont="1" applyBorder="1" applyAlignment="1">
      <alignment horizontal="center" vertical="center" wrapText="1"/>
    </xf>
    <xf numFmtId="0" fontId="40" fillId="0" borderId="19" xfId="0" applyFont="1" applyBorder="1" applyAlignment="1">
      <alignment horizontal="right" vertical="center" wrapText="1"/>
    </xf>
    <xf numFmtId="0" fontId="45" fillId="0" borderId="19" xfId="0" applyFont="1" applyBorder="1" applyAlignment="1">
      <alignment horizontal="left" vertical="top"/>
    </xf>
    <xf numFmtId="0" fontId="45" fillId="0" borderId="23" xfId="0" applyFont="1" applyBorder="1" applyAlignment="1">
      <alignment horizontal="left" vertical="top"/>
    </xf>
    <xf numFmtId="0" fontId="45" fillId="0" borderId="22" xfId="0" applyFont="1" applyBorder="1" applyAlignment="1">
      <alignment horizontal="left" vertical="top"/>
    </xf>
    <xf numFmtId="165" fontId="41" fillId="0" borderId="21" xfId="1" applyNumberFormat="1" applyFont="1" applyFill="1" applyBorder="1" applyAlignment="1">
      <alignment vertical="top" wrapText="1"/>
    </xf>
    <xf numFmtId="0" fontId="11" fillId="0" borderId="9" xfId="0" applyFont="1" applyBorder="1" applyAlignment="1">
      <alignment horizontal="left" vertical="center"/>
    </xf>
    <xf numFmtId="165" fontId="43" fillId="0" borderId="10" xfId="1" applyNumberFormat="1" applyFont="1" applyBorder="1" applyAlignment="1">
      <alignment horizontal="right" vertical="center"/>
    </xf>
    <xf numFmtId="0" fontId="43" fillId="0" borderId="10" xfId="0" applyFont="1" applyBorder="1" applyAlignment="1">
      <alignment horizontal="center" vertical="center"/>
    </xf>
    <xf numFmtId="3" fontId="43" fillId="0" borderId="10" xfId="0" applyNumberFormat="1" applyFont="1" applyBorder="1" applyAlignment="1">
      <alignment horizontal="center" vertical="center"/>
    </xf>
    <xf numFmtId="165" fontId="41" fillId="0" borderId="10" xfId="1" applyNumberFormat="1" applyFont="1" applyFill="1" applyBorder="1" applyAlignment="1">
      <alignment horizontal="center" vertical="top"/>
    </xf>
    <xf numFmtId="0" fontId="0" fillId="0" borderId="11" xfId="0" applyBorder="1" applyAlignment="1">
      <alignment vertical="center"/>
    </xf>
    <xf numFmtId="0" fontId="11" fillId="0" borderId="14" xfId="0" applyFont="1" applyBorder="1" applyAlignment="1">
      <alignment horizontal="left" vertical="center"/>
    </xf>
    <xf numFmtId="0" fontId="11" fillId="0" borderId="15" xfId="0" applyFont="1" applyBorder="1" applyAlignment="1">
      <alignment horizontal="left" vertical="center" wrapText="1"/>
    </xf>
    <xf numFmtId="0" fontId="11" fillId="0" borderId="16" xfId="0" applyFont="1" applyBorder="1" applyAlignment="1">
      <alignment horizontal="left" vertical="center" wrapText="1"/>
    </xf>
    <xf numFmtId="0" fontId="0" fillId="0" borderId="22" xfId="0" applyBorder="1" applyAlignment="1">
      <alignment horizontal="center"/>
    </xf>
    <xf numFmtId="165" fontId="41" fillId="0" borderId="19" xfId="1" applyNumberFormat="1" applyFont="1" applyFill="1" applyBorder="1" applyAlignment="1">
      <alignment horizontal="center" vertical="top" wrapText="1"/>
    </xf>
    <xf numFmtId="0" fontId="0" fillId="6" borderId="22" xfId="0" applyFill="1" applyBorder="1" applyAlignment="1">
      <alignment horizontal="center"/>
    </xf>
    <xf numFmtId="0" fontId="44" fillId="6" borderId="19" xfId="0" applyFont="1" applyFill="1" applyBorder="1" applyAlignment="1">
      <alignment vertical="top" wrapText="1"/>
    </xf>
    <xf numFmtId="0" fontId="8" fillId="0" borderId="21" xfId="0" applyFont="1" applyBorder="1" applyAlignment="1">
      <alignment horizontal="center" vertical="top"/>
    </xf>
    <xf numFmtId="0" fontId="24" fillId="0" borderId="21" xfId="0" applyFont="1" applyBorder="1" applyAlignment="1">
      <alignment vertical="center" wrapText="1" readingOrder="1"/>
    </xf>
    <xf numFmtId="0" fontId="0" fillId="3" borderId="14" xfId="0" applyFill="1" applyBorder="1" applyAlignment="1">
      <alignment vertical="center"/>
    </xf>
    <xf numFmtId="0" fontId="0" fillId="3" borderId="15" xfId="0" applyFill="1" applyBorder="1" applyAlignment="1">
      <alignment vertical="center"/>
    </xf>
    <xf numFmtId="0" fontId="0" fillId="3" borderId="16" xfId="0" applyFill="1" applyBorder="1" applyAlignment="1">
      <alignment vertical="center"/>
    </xf>
    <xf numFmtId="0" fontId="0" fillId="0" borderId="101" xfId="0" applyBorder="1" applyAlignment="1">
      <alignment vertical="center"/>
    </xf>
    <xf numFmtId="167" fontId="11" fillId="0" borderId="21" xfId="0" applyNumberFormat="1" applyFont="1" applyBorder="1" applyAlignment="1">
      <alignment horizontal="right" vertical="center"/>
    </xf>
    <xf numFmtId="0" fontId="0" fillId="0" borderId="102" xfId="0" applyBorder="1" applyAlignment="1">
      <alignment vertical="center"/>
    </xf>
    <xf numFmtId="0" fontId="11" fillId="0" borderId="12" xfId="0" applyFont="1" applyBorder="1" applyAlignment="1">
      <alignment vertical="center" wrapText="1"/>
    </xf>
    <xf numFmtId="167" fontId="11" fillId="0" borderId="2" xfId="0" applyNumberFormat="1" applyFont="1" applyBorder="1" applyAlignment="1">
      <alignment horizontal="right" vertical="center"/>
    </xf>
    <xf numFmtId="0" fontId="11" fillId="0" borderId="13" xfId="0" applyFont="1" applyBorder="1" applyAlignment="1">
      <alignment horizontal="left" vertical="center"/>
    </xf>
    <xf numFmtId="0" fontId="11" fillId="3" borderId="19" xfId="0" applyFont="1" applyFill="1" applyBorder="1" applyAlignment="1">
      <alignment vertical="center" wrapText="1"/>
    </xf>
    <xf numFmtId="167" fontId="11" fillId="3" borderId="23" xfId="0" applyNumberFormat="1" applyFont="1" applyFill="1" applyBorder="1" applyAlignment="1">
      <alignment horizontal="right" vertical="center"/>
    </xf>
    <xf numFmtId="0" fontId="11" fillId="3" borderId="22" xfId="0" applyFont="1" applyFill="1" applyBorder="1" applyAlignment="1">
      <alignment horizontal="left" vertical="center"/>
    </xf>
    <xf numFmtId="0" fontId="42" fillId="0" borderId="3" xfId="0" applyFont="1" applyBorder="1" applyAlignment="1">
      <alignment horizontal="center" vertical="center"/>
    </xf>
    <xf numFmtId="0" fontId="11" fillId="0" borderId="3" xfId="0" applyFont="1" applyBorder="1" applyAlignment="1">
      <alignment horizontal="center" vertical="center" wrapText="1"/>
    </xf>
    <xf numFmtId="167" fontId="11" fillId="0" borderId="3" xfId="0" applyNumberFormat="1" applyFont="1" applyBorder="1" applyAlignment="1">
      <alignment horizontal="right" vertical="center"/>
    </xf>
    <xf numFmtId="0" fontId="42" fillId="0" borderId="16" xfId="0" applyFont="1" applyBorder="1" applyAlignment="1">
      <alignment horizontal="center" vertical="center"/>
    </xf>
    <xf numFmtId="0" fontId="11" fillId="0" borderId="2" xfId="0" applyFont="1" applyBorder="1" applyAlignment="1">
      <alignment vertical="center"/>
    </xf>
    <xf numFmtId="0" fontId="11" fillId="0" borderId="13" xfId="0" applyFont="1" applyBorder="1" applyAlignment="1">
      <alignment horizontal="center" vertical="center" wrapText="1"/>
    </xf>
    <xf numFmtId="167" fontId="11" fillId="0" borderId="0" xfId="0" applyNumberFormat="1" applyFont="1" applyAlignment="1">
      <alignment horizontal="right" vertical="center"/>
    </xf>
    <xf numFmtId="0" fontId="9" fillId="0" borderId="2" xfId="0" applyFont="1" applyBorder="1" applyAlignment="1">
      <alignment horizontal="left" vertical="center"/>
    </xf>
    <xf numFmtId="0" fontId="9" fillId="0" borderId="2" xfId="0" applyFont="1" applyBorder="1" applyAlignment="1">
      <alignment vertical="center"/>
    </xf>
    <xf numFmtId="0" fontId="46" fillId="0" borderId="13" xfId="0" applyFont="1" applyBorder="1" applyAlignment="1">
      <alignment horizontal="center" vertical="center"/>
    </xf>
    <xf numFmtId="167" fontId="9" fillId="0" borderId="0" xfId="0" applyNumberFormat="1" applyFont="1" applyAlignment="1">
      <alignment vertical="center"/>
    </xf>
    <xf numFmtId="0" fontId="9" fillId="0" borderId="2" xfId="0" applyFont="1" applyBorder="1" applyAlignment="1">
      <alignment horizontal="left" vertical="center" wrapText="1"/>
    </xf>
    <xf numFmtId="0" fontId="11" fillId="0" borderId="21" xfId="0" applyFont="1" applyBorder="1" applyAlignment="1">
      <alignment vertical="center"/>
    </xf>
    <xf numFmtId="0" fontId="46" fillId="0" borderId="21" xfId="0" applyFont="1" applyBorder="1" applyAlignment="1">
      <alignment horizontal="center" vertical="center"/>
    </xf>
    <xf numFmtId="167" fontId="11" fillId="0" borderId="23" xfId="0" applyNumberFormat="1" applyFont="1" applyBorder="1" applyAlignment="1">
      <alignment vertical="center"/>
    </xf>
    <xf numFmtId="0" fontId="11" fillId="0" borderId="21" xfId="0" applyFont="1" applyBorder="1" applyAlignment="1">
      <alignment horizontal="left" vertical="center"/>
    </xf>
    <xf numFmtId="0" fontId="9" fillId="0" borderId="13" xfId="0" applyFont="1" applyBorder="1" applyAlignment="1">
      <alignment horizontal="center" vertical="center"/>
    </xf>
    <xf numFmtId="0" fontId="47" fillId="0" borderId="13" xfId="0" applyFont="1" applyBorder="1" applyAlignment="1">
      <alignment horizontal="center" vertical="center"/>
    </xf>
    <xf numFmtId="0" fontId="47" fillId="0" borderId="22" xfId="0" applyFont="1" applyBorder="1" applyAlignment="1">
      <alignment horizontal="center" vertical="center"/>
    </xf>
    <xf numFmtId="0" fontId="9" fillId="0" borderId="9" xfId="0" applyFont="1" applyBorder="1" applyAlignment="1">
      <alignment vertical="center"/>
    </xf>
    <xf numFmtId="0" fontId="9" fillId="0" borderId="1" xfId="0" applyFont="1" applyBorder="1" applyAlignment="1">
      <alignment horizontal="center" vertical="center"/>
    </xf>
    <xf numFmtId="167" fontId="9" fillId="0" borderId="10" xfId="0" applyNumberFormat="1" applyFont="1" applyBorder="1" applyAlignment="1">
      <alignment vertical="center"/>
    </xf>
    <xf numFmtId="0" fontId="9" fillId="0" borderId="1" xfId="0" applyFont="1" applyBorder="1" applyAlignment="1">
      <alignment horizontal="left" vertical="center"/>
    </xf>
    <xf numFmtId="0" fontId="9" fillId="0" borderId="12" xfId="0" applyFont="1" applyBorder="1" applyAlignment="1">
      <alignment vertical="center"/>
    </xf>
    <xf numFmtId="0" fontId="47" fillId="0" borderId="2" xfId="0" applyFont="1" applyBorder="1" applyAlignment="1">
      <alignment horizontal="center" vertical="center"/>
    </xf>
    <xf numFmtId="0" fontId="9" fillId="0" borderId="14" xfId="0" applyFont="1" applyBorder="1"/>
    <xf numFmtId="0" fontId="9" fillId="0" borderId="3" xfId="0" applyFont="1" applyBorder="1" applyAlignment="1">
      <alignment horizontal="center"/>
    </xf>
    <xf numFmtId="167" fontId="9" fillId="0" borderId="15" xfId="0" applyNumberFormat="1" applyFont="1" applyBorder="1"/>
    <xf numFmtId="0" fontId="9" fillId="0" borderId="3" xfId="0" applyFont="1" applyBorder="1" applyAlignment="1">
      <alignment horizontal="left"/>
    </xf>
    <xf numFmtId="0" fontId="11" fillId="0" borderId="14" xfId="0" applyFont="1" applyBorder="1"/>
    <xf numFmtId="167" fontId="11" fillId="0" borderId="15" xfId="0" applyNumberFormat="1" applyFont="1" applyBorder="1"/>
    <xf numFmtId="0" fontId="11" fillId="0" borderId="3" xfId="0" applyFont="1" applyBorder="1" applyAlignment="1">
      <alignment horizontal="left"/>
    </xf>
    <xf numFmtId="0" fontId="9" fillId="0" borderId="0" xfId="0" applyFont="1" applyAlignment="1">
      <alignment horizontal="center"/>
    </xf>
    <xf numFmtId="0" fontId="9" fillId="0" borderId="0" xfId="0" applyFont="1" applyAlignment="1">
      <alignment horizontal="left"/>
    </xf>
    <xf numFmtId="0" fontId="0" fillId="0" borderId="0" xfId="0" applyAlignment="1">
      <alignment horizontal="left"/>
    </xf>
    <xf numFmtId="0" fontId="42" fillId="3" borderId="9" xfId="0" applyFont="1" applyFill="1" applyBorder="1" applyAlignment="1">
      <alignment vertical="center"/>
    </xf>
    <xf numFmtId="17" fontId="11" fillId="3" borderId="21" xfId="0" quotePrefix="1" applyNumberFormat="1" applyFont="1" applyFill="1" applyBorder="1" applyAlignment="1">
      <alignment horizontal="right" vertical="center" wrapText="1"/>
    </xf>
    <xf numFmtId="0" fontId="11" fillId="3" borderId="21" xfId="0" applyFont="1" applyFill="1" applyBorder="1" applyAlignment="1">
      <alignment horizontal="right" vertical="center" wrapText="1"/>
    </xf>
    <xf numFmtId="0" fontId="9" fillId="0" borderId="9" xfId="0" applyFont="1" applyBorder="1"/>
    <xf numFmtId="0" fontId="9" fillId="0" borderId="1" xfId="0" applyFont="1" applyBorder="1"/>
    <xf numFmtId="167" fontId="9" fillId="0" borderId="1" xfId="0" applyNumberFormat="1" applyFont="1" applyBorder="1"/>
    <xf numFmtId="9" fontId="9" fillId="0" borderId="1" xfId="2" applyFont="1" applyBorder="1"/>
    <xf numFmtId="0" fontId="9" fillId="0" borderId="2" xfId="0" applyFont="1" applyBorder="1"/>
    <xf numFmtId="167" fontId="9" fillId="0" borderId="2" xfId="0" applyNumberFormat="1" applyFont="1" applyBorder="1"/>
    <xf numFmtId="9" fontId="9" fillId="0" borderId="2" xfId="2" applyFont="1" applyBorder="1"/>
    <xf numFmtId="0" fontId="11" fillId="0" borderId="12" xfId="0" applyFont="1" applyBorder="1"/>
    <xf numFmtId="0" fontId="11" fillId="0" borderId="21" xfId="0" applyFont="1" applyBorder="1"/>
    <xf numFmtId="167" fontId="11" fillId="0" borderId="21" xfId="0" applyNumberFormat="1" applyFont="1" applyBorder="1"/>
    <xf numFmtId="0" fontId="11" fillId="0" borderId="3" xfId="0" applyFont="1" applyBorder="1"/>
    <xf numFmtId="0" fontId="11" fillId="0" borderId="15" xfId="0" applyFont="1" applyBorder="1"/>
    <xf numFmtId="0" fontId="11" fillId="0" borderId="16" xfId="0" applyFont="1" applyBorder="1"/>
    <xf numFmtId="0" fontId="11" fillId="0" borderId="0" xfId="0" applyFont="1"/>
    <xf numFmtId="0" fontId="11" fillId="0" borderId="13" xfId="0" applyFont="1" applyBorder="1"/>
    <xf numFmtId="0" fontId="9" fillId="0" borderId="15" xfId="0" applyFont="1" applyBorder="1"/>
    <xf numFmtId="0" fontId="9" fillId="0" borderId="16" xfId="0" applyFont="1" applyBorder="1"/>
    <xf numFmtId="0" fontId="9" fillId="0" borderId="13" xfId="0" applyFont="1" applyBorder="1"/>
    <xf numFmtId="0" fontId="42" fillId="3" borderId="21" xfId="0" applyFont="1" applyFill="1" applyBorder="1" applyAlignment="1">
      <alignment vertical="center"/>
    </xf>
    <xf numFmtId="0" fontId="25" fillId="0" borderId="9" xfId="0" applyFont="1" applyBorder="1"/>
    <xf numFmtId="0" fontId="9" fillId="0" borderId="10" xfId="0" applyFont="1" applyBorder="1"/>
    <xf numFmtId="0" fontId="9" fillId="0" borderId="11" xfId="0" applyFont="1" applyBorder="1"/>
    <xf numFmtId="0" fontId="0" fillId="0" borderId="14" xfId="0" applyBorder="1"/>
    <xf numFmtId="0" fontId="0" fillId="0" borderId="15" xfId="0" applyBorder="1"/>
    <xf numFmtId="0" fontId="0" fillId="0" borderId="16" xfId="0" applyBorder="1"/>
    <xf numFmtId="0" fontId="0" fillId="0" borderId="12" xfId="0" applyBorder="1"/>
    <xf numFmtId="0" fontId="42" fillId="0" borderId="92" xfId="0" applyFont="1" applyBorder="1" applyAlignment="1">
      <alignment horizontal="right"/>
    </xf>
    <xf numFmtId="0" fontId="42" fillId="0" borderId="97" xfId="0" applyFont="1" applyBorder="1" applyAlignment="1">
      <alignment horizontal="right"/>
    </xf>
    <xf numFmtId="165" fontId="9" fillId="0" borderId="21" xfId="1" applyNumberFormat="1" applyFont="1" applyBorder="1"/>
    <xf numFmtId="0" fontId="48" fillId="20" borderId="21" xfId="0" applyFont="1" applyFill="1" applyBorder="1" applyAlignment="1">
      <alignment vertical="center" wrapText="1"/>
    </xf>
    <xf numFmtId="165" fontId="48" fillId="20" borderId="21" xfId="1" applyNumberFormat="1" applyFont="1" applyFill="1" applyBorder="1" applyAlignment="1">
      <alignment vertical="center"/>
    </xf>
    <xf numFmtId="167" fontId="9" fillId="0" borderId="21" xfId="0" applyNumberFormat="1" applyFont="1" applyBorder="1"/>
    <xf numFmtId="0" fontId="11" fillId="21" borderId="21" xfId="0" applyFont="1" applyFill="1" applyBorder="1" applyAlignment="1">
      <alignment vertical="center" wrapText="1"/>
    </xf>
    <xf numFmtId="167" fontId="11" fillId="21" borderId="21" xfId="0" applyNumberFormat="1" applyFont="1" applyFill="1" applyBorder="1" applyAlignment="1">
      <alignment vertical="center"/>
    </xf>
    <xf numFmtId="43" fontId="9" fillId="0" borderId="21" xfId="1" applyFont="1" applyBorder="1"/>
    <xf numFmtId="0" fontId="11" fillId="0" borderId="21" xfId="0" applyFont="1" applyBorder="1" applyAlignment="1">
      <alignment vertical="center" wrapText="1"/>
    </xf>
    <xf numFmtId="167" fontId="9" fillId="0" borderId="21" xfId="0" applyNumberFormat="1" applyFont="1" applyBorder="1" applyAlignment="1">
      <alignment vertical="center"/>
    </xf>
    <xf numFmtId="0" fontId="2" fillId="0" borderId="12" xfId="0" applyFont="1" applyBorder="1"/>
    <xf numFmtId="165" fontId="9" fillId="0" borderId="2" xfId="1" applyNumberFormat="1" applyFont="1" applyBorder="1"/>
    <xf numFmtId="165" fontId="9" fillId="0" borderId="13" xfId="1" applyNumberFormat="1" applyFont="1" applyBorder="1"/>
    <xf numFmtId="167" fontId="11" fillId="0" borderId="103" xfId="0" applyNumberFormat="1" applyFont="1" applyBorder="1"/>
    <xf numFmtId="167" fontId="11" fillId="0" borderId="104" xfId="0" applyNumberFormat="1" applyFont="1" applyBorder="1"/>
    <xf numFmtId="0" fontId="2" fillId="22" borderId="105" xfId="0" applyFont="1" applyFill="1" applyBorder="1"/>
    <xf numFmtId="9" fontId="11" fillId="22" borderId="106" xfId="2" applyFont="1" applyFill="1" applyBorder="1"/>
    <xf numFmtId="9" fontId="11" fillId="22" borderId="17" xfId="2" applyFont="1" applyFill="1" applyBorder="1"/>
    <xf numFmtId="0" fontId="2" fillId="22" borderId="107" xfId="0" applyFont="1" applyFill="1" applyBorder="1"/>
    <xf numFmtId="9" fontId="11" fillId="22" borderId="108" xfId="2" applyFont="1" applyFill="1" applyBorder="1"/>
    <xf numFmtId="9" fontId="11" fillId="22" borderId="18" xfId="2" applyFont="1" applyFill="1" applyBorder="1"/>
    <xf numFmtId="0" fontId="0" fillId="22" borderId="109" xfId="0" applyFill="1" applyBorder="1"/>
    <xf numFmtId="9" fontId="11" fillId="22" borderId="110" xfId="0" applyNumberFormat="1" applyFont="1" applyFill="1" applyBorder="1"/>
    <xf numFmtId="9" fontId="11" fillId="22" borderId="111" xfId="0" applyNumberFormat="1" applyFont="1" applyFill="1" applyBorder="1"/>
    <xf numFmtId="0" fontId="9" fillId="0" borderId="3" xfId="0" applyFont="1" applyBorder="1"/>
    <xf numFmtId="165" fontId="40" fillId="0" borderId="21" xfId="1" applyNumberFormat="1" applyFont="1" applyFill="1" applyBorder="1" applyAlignment="1">
      <alignment horizontal="center" vertical="top"/>
    </xf>
    <xf numFmtId="165" fontId="40" fillId="0" borderId="21" xfId="1" applyNumberFormat="1" applyFont="1" applyFill="1" applyBorder="1" applyAlignment="1">
      <alignment horizontal="center" vertical="top" wrapText="1"/>
    </xf>
    <xf numFmtId="2" fontId="0" fillId="0" borderId="0" xfId="0" applyNumberFormat="1"/>
    <xf numFmtId="0" fontId="23" fillId="0" borderId="21" xfId="0" applyFont="1" applyBorder="1" applyAlignment="1">
      <alignment horizontal="left" vertical="center" wrapText="1" readingOrder="1"/>
    </xf>
    <xf numFmtId="173" fontId="40" fillId="0" borderId="21" xfId="2" applyNumberFormat="1" applyFont="1" applyFill="1" applyBorder="1" applyAlignment="1">
      <alignment horizontal="center" vertical="center" wrapText="1"/>
    </xf>
    <xf numFmtId="0" fontId="0" fillId="0" borderId="21" xfId="0" applyBorder="1" applyAlignment="1">
      <alignment horizontal="center"/>
    </xf>
    <xf numFmtId="2" fontId="0" fillId="0" borderId="0" xfId="0" applyNumberFormat="1" applyAlignment="1">
      <alignment vertical="center"/>
    </xf>
    <xf numFmtId="167" fontId="40" fillId="0" borderId="21" xfId="0" applyNumberFormat="1" applyFont="1" applyBorder="1" applyAlignment="1">
      <alignment horizontal="center" vertical="center" wrapText="1"/>
    </xf>
    <xf numFmtId="0" fontId="0" fillId="0" borderId="21" xfId="0" applyBorder="1" applyAlignment="1">
      <alignment horizontal="center" vertical="center"/>
    </xf>
    <xf numFmtId="167" fontId="40" fillId="0" borderId="21" xfId="2" applyNumberFormat="1" applyFont="1" applyFill="1" applyBorder="1" applyAlignment="1">
      <alignment horizontal="center" vertical="center" wrapText="1"/>
    </xf>
    <xf numFmtId="43" fontId="40" fillId="0" borderId="21" xfId="1" applyFont="1" applyBorder="1" applyAlignment="1">
      <alignment horizontal="center" vertical="center" wrapText="1"/>
    </xf>
    <xf numFmtId="167" fontId="40" fillId="6" borderId="21" xfId="0" applyNumberFormat="1" applyFont="1" applyFill="1" applyBorder="1" applyAlignment="1">
      <alignment horizontal="center" vertical="center" wrapText="1"/>
    </xf>
    <xf numFmtId="164" fontId="43" fillId="0" borderId="21" xfId="0" applyNumberFormat="1" applyFont="1" applyBorder="1" applyAlignment="1">
      <alignment horizontal="center" vertical="center"/>
    </xf>
    <xf numFmtId="174" fontId="40" fillId="0" borderId="21" xfId="0" applyNumberFormat="1" applyFont="1" applyBorder="1" applyAlignment="1">
      <alignment horizontal="center" vertical="center" wrapText="1"/>
    </xf>
    <xf numFmtId="0" fontId="39" fillId="6" borderId="21" xfId="0" applyFont="1" applyFill="1" applyBorder="1" applyAlignment="1">
      <alignment horizontal="right" vertical="center" wrapText="1" readingOrder="1"/>
    </xf>
    <xf numFmtId="0" fontId="43" fillId="0" borderId="21" xfId="1" applyNumberFormat="1" applyFont="1" applyBorder="1" applyAlignment="1">
      <alignment vertical="center" wrapText="1"/>
    </xf>
    <xf numFmtId="0" fontId="43" fillId="0" borderId="21" xfId="0" applyFont="1" applyBorder="1" applyAlignment="1">
      <alignment horizontal="right" vertical="center" wrapText="1"/>
    </xf>
    <xf numFmtId="0" fontId="40" fillId="0" borderId="21" xfId="0" applyFont="1" applyBorder="1" applyAlignment="1">
      <alignment horizontal="right" vertical="top" wrapText="1"/>
    </xf>
    <xf numFmtId="43" fontId="43" fillId="0" borderId="21" xfId="1" applyFont="1" applyBorder="1"/>
    <xf numFmtId="167" fontId="43" fillId="0" borderId="21" xfId="0" applyNumberFormat="1" applyFont="1" applyBorder="1"/>
    <xf numFmtId="0" fontId="42" fillId="0" borderId="21" xfId="0" applyFont="1" applyBorder="1" applyAlignment="1">
      <alignment horizontal="right" vertical="center" wrapText="1"/>
    </xf>
    <xf numFmtId="0" fontId="24" fillId="6" borderId="21" xfId="0" applyFont="1" applyFill="1" applyBorder="1" applyAlignment="1">
      <alignment horizontal="left" vertical="center" wrapText="1" indent="1" readingOrder="1"/>
    </xf>
    <xf numFmtId="0" fontId="39" fillId="6" borderId="21" xfId="0" applyFont="1" applyFill="1" applyBorder="1" applyAlignment="1">
      <alignment horizontal="right" vertical="top" wrapText="1"/>
    </xf>
    <xf numFmtId="0" fontId="49" fillId="0" borderId="0" xfId="0" applyFont="1" applyAlignment="1">
      <alignment horizontal="left" vertical="center" readingOrder="1"/>
    </xf>
    <xf numFmtId="43" fontId="42" fillId="6" borderId="114" xfId="1" applyFont="1" applyFill="1" applyBorder="1" applyAlignment="1">
      <alignment horizontal="left" vertical="center"/>
    </xf>
    <xf numFmtId="0" fontId="42" fillId="6" borderId="21" xfId="0" applyFont="1" applyFill="1" applyBorder="1" applyAlignment="1">
      <alignment horizontal="right" vertical="center"/>
    </xf>
    <xf numFmtId="0" fontId="42" fillId="6" borderId="115" xfId="0" applyFont="1" applyFill="1" applyBorder="1" applyAlignment="1">
      <alignment horizontal="center" vertical="center"/>
    </xf>
    <xf numFmtId="0" fontId="50" fillId="0" borderId="0" xfId="0" applyFont="1" applyAlignment="1">
      <alignment horizontal="left" vertical="center" readingOrder="1"/>
    </xf>
    <xf numFmtId="0" fontId="51" fillId="23" borderId="116" xfId="0" applyFont="1" applyFill="1" applyBorder="1" applyAlignment="1">
      <alignment horizontal="left" wrapText="1" indent="1" readingOrder="1"/>
    </xf>
    <xf numFmtId="167" fontId="51" fillId="23" borderId="117" xfId="0" applyNumberFormat="1" applyFont="1" applyFill="1" applyBorder="1" applyAlignment="1">
      <alignment horizontal="right" vertical="center" wrapText="1" readingOrder="1"/>
    </xf>
    <xf numFmtId="167" fontId="51" fillId="23" borderId="118" xfId="0" applyNumberFormat="1" applyFont="1" applyFill="1" applyBorder="1" applyAlignment="1">
      <alignment horizontal="right" vertical="center" wrapText="1" readingOrder="1"/>
    </xf>
    <xf numFmtId="0" fontId="50" fillId="0" borderId="0" xfId="0" applyFont="1" applyAlignment="1">
      <alignment horizontal="left" vertical="center" indent="2" readingOrder="1"/>
    </xf>
    <xf numFmtId="0" fontId="51" fillId="24" borderId="116" xfId="0" applyFont="1" applyFill="1" applyBorder="1" applyAlignment="1">
      <alignment horizontal="left" vertical="center" wrapText="1" indent="1" readingOrder="1"/>
    </xf>
    <xf numFmtId="167" fontId="51" fillId="24" borderId="119" xfId="0" applyNumberFormat="1" applyFont="1" applyFill="1" applyBorder="1" applyAlignment="1">
      <alignment horizontal="right" vertical="center" wrapText="1" readingOrder="1"/>
    </xf>
    <xf numFmtId="167" fontId="51" fillId="25" borderId="21" xfId="0" applyNumberFormat="1" applyFont="1" applyFill="1" applyBorder="1" applyAlignment="1">
      <alignment horizontal="right" vertical="center" wrapText="1" readingOrder="1"/>
    </xf>
    <xf numFmtId="167" fontId="51" fillId="24" borderId="117" xfId="0" applyNumberFormat="1" applyFont="1" applyFill="1" applyBorder="1" applyAlignment="1">
      <alignment horizontal="right" vertical="center" wrapText="1" readingOrder="1"/>
    </xf>
    <xf numFmtId="167" fontId="51" fillId="23" borderId="120" xfId="0" applyNumberFormat="1" applyFont="1" applyFill="1" applyBorder="1" applyAlignment="1">
      <alignment horizontal="right" vertical="center" wrapText="1" readingOrder="1"/>
    </xf>
    <xf numFmtId="0" fontId="51" fillId="24" borderId="116" xfId="0" applyFont="1" applyFill="1" applyBorder="1" applyAlignment="1">
      <alignment horizontal="left" wrapText="1" indent="1" readingOrder="1"/>
    </xf>
    <xf numFmtId="167" fontId="51" fillId="23" borderId="2" xfId="0" applyNumberFormat="1" applyFont="1" applyFill="1" applyBorder="1" applyAlignment="1">
      <alignment horizontal="right" vertical="center" wrapText="1" readingOrder="1"/>
    </xf>
    <xf numFmtId="0" fontId="53" fillId="24" borderId="116" xfId="0" applyFont="1" applyFill="1" applyBorder="1" applyAlignment="1">
      <alignment horizontal="left" wrapText="1" indent="1" readingOrder="1"/>
    </xf>
    <xf numFmtId="167" fontId="53" fillId="24" borderId="117" xfId="0" applyNumberFormat="1" applyFont="1" applyFill="1" applyBorder="1" applyAlignment="1">
      <alignment horizontal="right" vertical="center" wrapText="1" readingOrder="1"/>
    </xf>
    <xf numFmtId="167" fontId="53" fillId="24" borderId="2" xfId="0" applyNumberFormat="1" applyFont="1" applyFill="1" applyBorder="1" applyAlignment="1">
      <alignment horizontal="right" vertical="center" wrapText="1" readingOrder="1"/>
    </xf>
    <xf numFmtId="43" fontId="51" fillId="24" borderId="117" xfId="1" applyFont="1" applyFill="1" applyBorder="1" applyAlignment="1">
      <alignment horizontal="right" vertical="center" wrapText="1" readingOrder="1"/>
    </xf>
    <xf numFmtId="43" fontId="51" fillId="24" borderId="2" xfId="1" applyFont="1" applyFill="1" applyBorder="1" applyAlignment="1">
      <alignment horizontal="right" vertical="center" wrapText="1" readingOrder="1"/>
    </xf>
    <xf numFmtId="43" fontId="51" fillId="24" borderId="118" xfId="1" applyFont="1" applyFill="1" applyBorder="1" applyAlignment="1">
      <alignment horizontal="right" vertical="center" wrapText="1" readingOrder="1"/>
    </xf>
    <xf numFmtId="0" fontId="53" fillId="23" borderId="116" xfId="0" applyFont="1" applyFill="1" applyBorder="1" applyAlignment="1">
      <alignment horizontal="left" wrapText="1" indent="1" readingOrder="1"/>
    </xf>
    <xf numFmtId="167" fontId="53" fillId="23" borderId="117" xfId="0" applyNumberFormat="1" applyFont="1" applyFill="1" applyBorder="1" applyAlignment="1">
      <alignment horizontal="right" vertical="center" wrapText="1" readingOrder="1"/>
    </xf>
    <xf numFmtId="167" fontId="53" fillId="23" borderId="2" xfId="0" applyNumberFormat="1" applyFont="1" applyFill="1" applyBorder="1" applyAlignment="1">
      <alignment horizontal="right" vertical="center" wrapText="1" readingOrder="1"/>
    </xf>
    <xf numFmtId="167" fontId="51" fillId="24" borderId="2" xfId="0" applyNumberFormat="1" applyFont="1" applyFill="1" applyBorder="1" applyAlignment="1">
      <alignment horizontal="right" vertical="center" wrapText="1" readingOrder="1"/>
    </xf>
    <xf numFmtId="0" fontId="51" fillId="23" borderId="121" xfId="0" applyFont="1" applyFill="1" applyBorder="1" applyAlignment="1">
      <alignment horizontal="left" wrapText="1" indent="1" readingOrder="1"/>
    </xf>
    <xf numFmtId="0" fontId="53" fillId="24" borderId="83" xfId="0" applyFont="1" applyFill="1" applyBorder="1" applyAlignment="1">
      <alignment horizontal="left" vertical="center" wrapText="1" indent="1" readingOrder="1"/>
    </xf>
    <xf numFmtId="167" fontId="53" fillId="24" borderId="122" xfId="0" applyNumberFormat="1" applyFont="1" applyFill="1" applyBorder="1" applyAlignment="1">
      <alignment horizontal="right" vertical="center" wrapText="1" readingOrder="1"/>
    </xf>
    <xf numFmtId="0" fontId="54" fillId="0" borderId="0" xfId="0" applyFont="1"/>
    <xf numFmtId="0" fontId="42" fillId="6" borderId="19" xfId="0" applyFont="1" applyFill="1" applyBorder="1" applyAlignment="1">
      <alignment horizontal="center"/>
    </xf>
    <xf numFmtId="0" fontId="42" fillId="6" borderId="22" xfId="0" applyFont="1" applyFill="1" applyBorder="1" applyAlignment="1">
      <alignment horizontal="center"/>
    </xf>
    <xf numFmtId="0" fontId="52" fillId="0" borderId="10" xfId="0" applyFont="1" applyBorder="1"/>
    <xf numFmtId="0" fontId="42" fillId="6" borderId="21" xfId="0" applyFont="1" applyFill="1" applyBorder="1" applyAlignment="1">
      <alignment horizontal="center"/>
    </xf>
    <xf numFmtId="0" fontId="43" fillId="0" borderId="0" xfId="0" applyFont="1"/>
    <xf numFmtId="0" fontId="42" fillId="6" borderId="21" xfId="0" applyFont="1" applyFill="1" applyBorder="1" applyAlignment="1">
      <alignment horizontal="left"/>
    </xf>
    <xf numFmtId="0" fontId="43" fillId="0" borderId="19" xfId="0" applyFont="1" applyBorder="1" applyAlignment="1">
      <alignment horizontal="center" vertical="center"/>
    </xf>
    <xf numFmtId="17" fontId="43" fillId="0" borderId="22" xfId="0" quotePrefix="1" applyNumberFormat="1" applyFont="1" applyBorder="1" applyAlignment="1">
      <alignment horizontal="left" vertical="center"/>
    </xf>
    <xf numFmtId="0" fontId="43" fillId="0" borderId="22" xfId="0" applyFont="1" applyBorder="1" applyAlignment="1">
      <alignment horizontal="left" vertical="center" wrapText="1"/>
    </xf>
    <xf numFmtId="0" fontId="0" fillId="0" borderId="15" xfId="0" applyBorder="1" applyAlignment="1">
      <alignment vertical="center"/>
    </xf>
    <xf numFmtId="0" fontId="43" fillId="0" borderId="14" xfId="0" applyFont="1" applyBorder="1" applyAlignment="1">
      <alignment horizontal="center" vertical="center"/>
    </xf>
    <xf numFmtId="0" fontId="23" fillId="0" borderId="3" xfId="0" applyFont="1" applyBorder="1" applyAlignment="1">
      <alignment horizontal="left" vertical="center" wrapText="1" readingOrder="1"/>
    </xf>
    <xf numFmtId="0" fontId="52" fillId="0" borderId="21" xfId="0" applyFont="1" applyBorder="1" applyAlignment="1">
      <alignment horizontal="center"/>
    </xf>
    <xf numFmtId="0" fontId="0" fillId="0" borderId="0" xfId="0" applyAlignment="1">
      <alignment wrapText="1"/>
    </xf>
    <xf numFmtId="0" fontId="55" fillId="0" borderId="87" xfId="0" applyFont="1" applyBorder="1" applyAlignment="1">
      <alignment wrapText="1"/>
    </xf>
    <xf numFmtId="0" fontId="45" fillId="0" borderId="0" xfId="0" applyFont="1" applyAlignment="1">
      <alignment horizontal="center" wrapText="1"/>
    </xf>
    <xf numFmtId="0" fontId="55" fillId="0" borderId="0" xfId="0" applyFont="1" applyAlignment="1">
      <alignment horizontal="center" wrapText="1"/>
    </xf>
    <xf numFmtId="0" fontId="45" fillId="0" borderId="13" xfId="0" applyFont="1" applyBorder="1" applyAlignment="1">
      <alignment horizontal="center" wrapText="1"/>
    </xf>
    <xf numFmtId="0" fontId="55" fillId="3" borderId="93" xfId="0" applyFont="1" applyFill="1" applyBorder="1"/>
    <xf numFmtId="0" fontId="28" fillId="3" borderId="41" xfId="0" applyFont="1" applyFill="1" applyBorder="1" applyAlignment="1">
      <alignment horizontal="center" vertical="center"/>
    </xf>
    <xf numFmtId="0" fontId="28" fillId="3" borderId="42" xfId="0" applyFont="1" applyFill="1" applyBorder="1" applyAlignment="1">
      <alignment horizontal="center" vertical="center"/>
    </xf>
    <xf numFmtId="0" fontId="28" fillId="3" borderId="42" xfId="0" applyFont="1" applyFill="1" applyBorder="1" applyAlignment="1">
      <alignment horizontal="right" vertical="center"/>
    </xf>
    <xf numFmtId="0" fontId="28" fillId="3" borderId="43" xfId="0" applyFont="1" applyFill="1" applyBorder="1" applyAlignment="1">
      <alignment horizontal="center" vertical="center"/>
    </xf>
    <xf numFmtId="0" fontId="9" fillId="0" borderId="87" xfId="0" applyFont="1" applyBorder="1" applyAlignment="1">
      <alignment horizontal="left"/>
    </xf>
    <xf numFmtId="0" fontId="55" fillId="0" borderId="0" xfId="0" applyFont="1" applyAlignment="1">
      <alignment horizontal="center"/>
    </xf>
    <xf numFmtId="9" fontId="45" fillId="0" borderId="0" xfId="0" applyNumberFormat="1" applyFont="1" applyAlignment="1">
      <alignment horizontal="center"/>
    </xf>
    <xf numFmtId="3" fontId="55" fillId="0" borderId="0" xfId="0" applyNumberFormat="1" applyFont="1" applyAlignment="1">
      <alignment horizontal="center"/>
    </xf>
    <xf numFmtId="9" fontId="55" fillId="0" borderId="0" xfId="0" applyNumberFormat="1" applyFont="1" applyAlignment="1">
      <alignment horizontal="center"/>
    </xf>
    <xf numFmtId="164" fontId="45" fillId="0" borderId="0" xfId="0" applyNumberFormat="1" applyFont="1" applyAlignment="1">
      <alignment horizontal="center"/>
    </xf>
    <xf numFmtId="3" fontId="55" fillId="0" borderId="13" xfId="0" applyNumberFormat="1" applyFont="1" applyBorder="1" applyAlignment="1">
      <alignment horizontal="center"/>
    </xf>
    <xf numFmtId="0" fontId="11" fillId="3" borderId="98" xfId="0" applyFont="1" applyFill="1" applyBorder="1" applyAlignment="1">
      <alignment horizontal="left"/>
    </xf>
    <xf numFmtId="3" fontId="55" fillId="3" borderId="123" xfId="0" applyNumberFormat="1" applyFont="1" applyFill="1" applyBorder="1" applyAlignment="1">
      <alignment horizontal="center"/>
    </xf>
    <xf numFmtId="0" fontId="55" fillId="3" borderId="123" xfId="0" applyFont="1" applyFill="1" applyBorder="1" applyAlignment="1">
      <alignment horizontal="center"/>
    </xf>
    <xf numFmtId="9" fontId="45" fillId="3" borderId="123" xfId="0" applyNumberFormat="1" applyFont="1" applyFill="1" applyBorder="1" applyAlignment="1">
      <alignment horizontal="center"/>
    </xf>
    <xf numFmtId="9" fontId="55" fillId="3" borderId="123" xfId="0" applyNumberFormat="1" applyFont="1" applyFill="1" applyBorder="1" applyAlignment="1">
      <alignment horizontal="center"/>
    </xf>
    <xf numFmtId="164" fontId="45" fillId="3" borderId="123" xfId="0" applyNumberFormat="1" applyFont="1" applyFill="1" applyBorder="1" applyAlignment="1">
      <alignment horizontal="center"/>
    </xf>
    <xf numFmtId="0" fontId="55" fillId="3" borderId="111" xfId="0" applyFont="1" applyFill="1" applyBorder="1" applyAlignment="1">
      <alignment horizontal="center"/>
    </xf>
    <xf numFmtId="0" fontId="11" fillId="0" borderId="19" xfId="0" applyFont="1" applyBorder="1" applyAlignment="1">
      <alignment horizontal="left" vertical="top"/>
    </xf>
    <xf numFmtId="0" fontId="11" fillId="0" borderId="23" xfId="0" applyFont="1" applyBorder="1" applyAlignment="1">
      <alignment horizontal="left" vertical="top"/>
    </xf>
    <xf numFmtId="0" fontId="11" fillId="0" borderId="22" xfId="0" applyFont="1" applyBorder="1" applyAlignment="1">
      <alignment horizontal="left" vertical="top"/>
    </xf>
    <xf numFmtId="0" fontId="12" fillId="6" borderId="9" xfId="0" applyFont="1" applyFill="1" applyBorder="1" applyAlignment="1">
      <alignment vertical="center"/>
    </xf>
    <xf numFmtId="0" fontId="12" fillId="6" borderId="10" xfId="0" applyFont="1" applyFill="1" applyBorder="1" applyAlignment="1">
      <alignment vertical="center"/>
    </xf>
    <xf numFmtId="0" fontId="12" fillId="6" borderId="11" xfId="0" applyFont="1" applyFill="1" applyBorder="1" applyAlignment="1">
      <alignment vertical="center"/>
    </xf>
    <xf numFmtId="0" fontId="12" fillId="6" borderId="14" xfId="0" applyFont="1" applyFill="1" applyBorder="1" applyAlignment="1">
      <alignment vertical="center"/>
    </xf>
    <xf numFmtId="0" fontId="12" fillId="6" borderId="15" xfId="0" applyFont="1" applyFill="1" applyBorder="1" applyAlignment="1">
      <alignment vertical="center"/>
    </xf>
    <xf numFmtId="0" fontId="12" fillId="6" borderId="16" xfId="0" applyFont="1" applyFill="1" applyBorder="1" applyAlignment="1">
      <alignment vertical="center"/>
    </xf>
    <xf numFmtId="0" fontId="52" fillId="0" borderId="89" xfId="0" applyFont="1" applyBorder="1" applyAlignment="1">
      <alignment horizontal="left" vertical="top" wrapText="1"/>
    </xf>
    <xf numFmtId="0" fontId="8" fillId="0" borderId="82" xfId="0" applyFont="1" applyBorder="1" applyAlignment="1">
      <alignment horizontal="left" vertical="top" wrapText="1"/>
    </xf>
    <xf numFmtId="0" fontId="8" fillId="0" borderId="87" xfId="0" applyFont="1" applyBorder="1" applyAlignment="1">
      <alignment horizontal="left" vertical="top" wrapText="1"/>
    </xf>
    <xf numFmtId="0" fontId="0" fillId="0" borderId="13" xfId="0" applyBorder="1"/>
    <xf numFmtId="0" fontId="0" fillId="0" borderId="9" xfId="0" applyBorder="1"/>
    <xf numFmtId="0" fontId="0" fillId="0" borderId="10" xfId="0" applyBorder="1"/>
    <xf numFmtId="0" fontId="0" fillId="0" borderId="11" xfId="0" applyBorder="1"/>
    <xf numFmtId="0" fontId="42" fillId="6" borderId="19" xfId="0" applyFont="1" applyFill="1" applyBorder="1" applyAlignment="1">
      <alignment horizontal="center"/>
    </xf>
    <xf numFmtId="0" fontId="42" fillId="6" borderId="23" xfId="0" applyFont="1" applyFill="1" applyBorder="1" applyAlignment="1">
      <alignment horizontal="center"/>
    </xf>
    <xf numFmtId="0" fontId="42" fillId="6" borderId="22" xfId="0" applyFont="1" applyFill="1" applyBorder="1" applyAlignment="1">
      <alignment horizontal="center"/>
    </xf>
    <xf numFmtId="0" fontId="36" fillId="3" borderId="82" xfId="0" applyFont="1" applyFill="1" applyBorder="1" applyAlignment="1">
      <alignment horizontal="left" vertical="center" wrapText="1"/>
    </xf>
    <xf numFmtId="0" fontId="36" fillId="3" borderId="87" xfId="0" applyFont="1" applyFill="1" applyBorder="1" applyAlignment="1">
      <alignment horizontal="left" vertical="center" wrapText="1"/>
    </xf>
    <xf numFmtId="0" fontId="36" fillId="3" borderId="89" xfId="0" applyFont="1" applyFill="1" applyBorder="1" applyAlignment="1">
      <alignment horizontal="left" vertical="center" wrapText="1"/>
    </xf>
    <xf numFmtId="0" fontId="38" fillId="3" borderId="88" xfId="0" applyFont="1" applyFill="1" applyBorder="1" applyAlignment="1">
      <alignment horizontal="left" vertical="center"/>
    </xf>
    <xf numFmtId="0" fontId="38" fillId="3" borderId="90" xfId="0" applyFont="1" applyFill="1" applyBorder="1" applyAlignment="1">
      <alignment horizontal="left" vertical="center"/>
    </xf>
    <xf numFmtId="165" fontId="5" fillId="6" borderId="19" xfId="1" applyNumberFormat="1" applyFont="1" applyFill="1" applyBorder="1" applyAlignment="1">
      <alignment horizontal="center"/>
    </xf>
    <xf numFmtId="165" fontId="5" fillId="6" borderId="23" xfId="1" applyNumberFormat="1" applyFont="1" applyFill="1" applyBorder="1" applyAlignment="1">
      <alignment horizontal="center"/>
    </xf>
    <xf numFmtId="165" fontId="5" fillId="6" borderId="22" xfId="1" applyNumberFormat="1" applyFont="1" applyFill="1" applyBorder="1" applyAlignment="1">
      <alignment horizontal="center"/>
    </xf>
    <xf numFmtId="0" fontId="12" fillId="6" borderId="9" xfId="0" applyFont="1" applyFill="1" applyBorder="1" applyAlignment="1">
      <alignment horizontal="center"/>
    </xf>
    <xf numFmtId="0" fontId="12" fillId="6" borderId="10" xfId="0" applyFont="1" applyFill="1" applyBorder="1" applyAlignment="1">
      <alignment horizontal="center"/>
    </xf>
    <xf numFmtId="0" fontId="12" fillId="6" borderId="11" xfId="0" applyFont="1" applyFill="1" applyBorder="1" applyAlignment="1">
      <alignment horizontal="center"/>
    </xf>
    <xf numFmtId="0" fontId="13" fillId="6" borderId="12" xfId="0" applyFont="1" applyFill="1" applyBorder="1" applyAlignment="1">
      <alignment horizontal="center"/>
    </xf>
    <xf numFmtId="0" fontId="13" fillId="6" borderId="0" xfId="0" applyFont="1" applyFill="1" applyAlignment="1">
      <alignment horizontal="center"/>
    </xf>
    <xf numFmtId="0" fontId="13" fillId="6" borderId="13" xfId="0" applyFont="1" applyFill="1" applyBorder="1" applyAlignment="1">
      <alignment horizontal="center"/>
    </xf>
    <xf numFmtId="0" fontId="12" fillId="3" borderId="9" xfId="0" applyFont="1" applyFill="1" applyBorder="1" applyAlignment="1">
      <alignment horizontal="center"/>
    </xf>
    <xf numFmtId="0" fontId="12" fillId="3" borderId="10" xfId="0" applyFont="1" applyFill="1" applyBorder="1" applyAlignment="1">
      <alignment horizontal="center"/>
    </xf>
    <xf numFmtId="0" fontId="12" fillId="3" borderId="11" xfId="0" applyFont="1" applyFill="1" applyBorder="1" applyAlignment="1">
      <alignment horizontal="center"/>
    </xf>
    <xf numFmtId="0" fontId="13" fillId="3" borderId="12" xfId="0" applyFont="1" applyFill="1" applyBorder="1" applyAlignment="1">
      <alignment horizontal="center"/>
    </xf>
    <xf numFmtId="0" fontId="13" fillId="3" borderId="0" xfId="0" applyFont="1" applyFill="1" applyAlignment="1">
      <alignment horizontal="center"/>
    </xf>
    <xf numFmtId="0" fontId="13" fillId="3" borderId="13" xfId="0" applyFont="1" applyFill="1" applyBorder="1" applyAlignment="1">
      <alignment horizontal="center"/>
    </xf>
    <xf numFmtId="3" fontId="13" fillId="6" borderId="9" xfId="0" applyNumberFormat="1" applyFont="1" applyFill="1" applyBorder="1" applyAlignment="1">
      <alignment horizontal="center"/>
    </xf>
    <xf numFmtId="3" fontId="13" fillId="6" borderId="10" xfId="0" applyNumberFormat="1" applyFont="1" applyFill="1" applyBorder="1" applyAlignment="1">
      <alignment horizontal="center"/>
    </xf>
    <xf numFmtId="3" fontId="13" fillId="6" borderId="11" xfId="0" applyNumberFormat="1" applyFont="1" applyFill="1" applyBorder="1" applyAlignment="1">
      <alignment horizontal="center"/>
    </xf>
    <xf numFmtId="3" fontId="13" fillId="6" borderId="12" xfId="0" applyNumberFormat="1" applyFont="1" applyFill="1" applyBorder="1" applyAlignment="1">
      <alignment horizontal="center"/>
    </xf>
    <xf numFmtId="3" fontId="13" fillId="6" borderId="0" xfId="0" applyNumberFormat="1" applyFont="1" applyFill="1" applyAlignment="1">
      <alignment horizontal="center"/>
    </xf>
    <xf numFmtId="3" fontId="13" fillId="6" borderId="13" xfId="0" applyNumberFormat="1" applyFont="1" applyFill="1" applyBorder="1" applyAlignment="1">
      <alignment horizontal="center"/>
    </xf>
    <xf numFmtId="3" fontId="13" fillId="6" borderId="9" xfId="0" applyNumberFormat="1" applyFont="1" applyFill="1" applyBorder="1" applyAlignment="1">
      <alignment horizontal="center" vertical="center"/>
    </xf>
    <xf numFmtId="3" fontId="13" fillId="6" borderId="10" xfId="0" applyNumberFormat="1" applyFont="1" applyFill="1" applyBorder="1" applyAlignment="1">
      <alignment horizontal="center" vertical="center"/>
    </xf>
    <xf numFmtId="3" fontId="13" fillId="6" borderId="11" xfId="0" applyNumberFormat="1" applyFont="1" applyFill="1" applyBorder="1" applyAlignment="1">
      <alignment horizontal="center" vertical="center"/>
    </xf>
    <xf numFmtId="3" fontId="13" fillId="6" borderId="14" xfId="0" applyNumberFormat="1" applyFont="1" applyFill="1" applyBorder="1" applyAlignment="1">
      <alignment horizontal="center" vertical="center"/>
    </xf>
    <xf numFmtId="3" fontId="13" fillId="6" borderId="15" xfId="0" applyNumberFormat="1" applyFont="1" applyFill="1" applyBorder="1" applyAlignment="1">
      <alignment horizontal="center" vertical="center"/>
    </xf>
    <xf numFmtId="3" fontId="13" fillId="6" borderId="16" xfId="0" applyNumberFormat="1" applyFont="1" applyFill="1" applyBorder="1" applyAlignment="1">
      <alignment horizontal="center" vertical="center"/>
    </xf>
    <xf numFmtId="0" fontId="26" fillId="0" borderId="12" xfId="0" applyFont="1" applyBorder="1" applyAlignment="1">
      <alignment wrapText="1"/>
    </xf>
    <xf numFmtId="0" fontId="26" fillId="0" borderId="0" xfId="0" applyFont="1" applyAlignment="1">
      <alignment wrapText="1"/>
    </xf>
    <xf numFmtId="0" fontId="26" fillId="0" borderId="13" xfId="0" applyFont="1" applyBorder="1" applyAlignment="1">
      <alignment wrapText="1"/>
    </xf>
    <xf numFmtId="0" fontId="26" fillId="0" borderId="12" xfId="0" applyFont="1" applyBorder="1" applyAlignment="1">
      <alignment vertical="center" wrapText="1"/>
    </xf>
    <xf numFmtId="0" fontId="26" fillId="0" borderId="0" xfId="0" applyFont="1" applyAlignment="1">
      <alignment vertical="center" wrapText="1"/>
    </xf>
    <xf numFmtId="0" fontId="26" fillId="0" borderId="13" xfId="0" applyFont="1" applyBorder="1" applyAlignment="1">
      <alignment vertical="center" wrapText="1"/>
    </xf>
    <xf numFmtId="0" fontId="12" fillId="6" borderId="9" xfId="0" applyFont="1" applyFill="1" applyBorder="1" applyAlignment="1">
      <alignment horizontal="center" vertical="center"/>
    </xf>
    <xf numFmtId="0" fontId="12" fillId="6" borderId="10" xfId="0" applyFont="1" applyFill="1" applyBorder="1" applyAlignment="1">
      <alignment horizontal="center" vertical="center"/>
    </xf>
    <xf numFmtId="0" fontId="12" fillId="6" borderId="11" xfId="0" applyFont="1" applyFill="1" applyBorder="1" applyAlignment="1">
      <alignment horizontal="center" vertical="center"/>
    </xf>
    <xf numFmtId="0" fontId="12" fillId="6" borderId="14" xfId="0" applyFont="1" applyFill="1" applyBorder="1" applyAlignment="1">
      <alignment horizontal="center" vertical="center"/>
    </xf>
    <xf numFmtId="0" fontId="12" fillId="6" borderId="15" xfId="0" applyFont="1" applyFill="1" applyBorder="1" applyAlignment="1">
      <alignment horizontal="center" vertical="center"/>
    </xf>
    <xf numFmtId="0" fontId="12" fillId="6" borderId="16" xfId="0" applyFont="1" applyFill="1" applyBorder="1" applyAlignment="1">
      <alignment horizontal="center" vertical="center"/>
    </xf>
    <xf numFmtId="0" fontId="9" fillId="0" borderId="19" xfId="0" applyFont="1" applyBorder="1" applyAlignment="1">
      <alignment horizontal="left" vertical="center" wrapText="1"/>
    </xf>
    <xf numFmtId="0" fontId="11" fillId="0" borderId="23" xfId="0" applyFont="1" applyBorder="1" applyAlignment="1">
      <alignment horizontal="left" vertical="center" wrapText="1"/>
    </xf>
    <xf numFmtId="0" fontId="11" fillId="0" borderId="22" xfId="0" applyFont="1" applyBorder="1" applyAlignment="1">
      <alignment horizontal="left" vertical="center" wrapText="1"/>
    </xf>
    <xf numFmtId="0" fontId="13" fillId="6" borderId="25" xfId="0" applyFont="1" applyFill="1" applyBorder="1" applyAlignment="1">
      <alignment horizontal="center"/>
    </xf>
    <xf numFmtId="0" fontId="13" fillId="6" borderId="10" xfId="0" applyFont="1" applyFill="1" applyBorder="1" applyAlignment="1">
      <alignment horizontal="center"/>
    </xf>
    <xf numFmtId="0" fontId="13" fillId="6" borderId="11" xfId="0" applyFont="1" applyFill="1" applyBorder="1" applyAlignment="1">
      <alignment horizontal="center"/>
    </xf>
    <xf numFmtId="0" fontId="13" fillId="6" borderId="9" xfId="0" applyFont="1" applyFill="1" applyBorder="1" applyAlignment="1">
      <alignment horizontal="center" vertical="center"/>
    </xf>
    <xf numFmtId="0" fontId="13" fillId="6" borderId="10" xfId="0" applyFont="1" applyFill="1" applyBorder="1" applyAlignment="1">
      <alignment horizontal="center" vertical="center"/>
    </xf>
    <xf numFmtId="0" fontId="13" fillId="6" borderId="11" xfId="0" applyFont="1" applyFill="1" applyBorder="1" applyAlignment="1">
      <alignment horizontal="center" vertical="center"/>
    </xf>
    <xf numFmtId="0" fontId="13" fillId="6" borderId="14" xfId="0" applyFont="1" applyFill="1" applyBorder="1" applyAlignment="1">
      <alignment horizontal="center" vertical="center"/>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39" fillId="6" borderId="21" xfId="0" applyFont="1" applyFill="1" applyBorder="1" applyAlignment="1">
      <alignment horizontal="left" vertical="center" wrapText="1" indent="1" readingOrder="1"/>
    </xf>
    <xf numFmtId="0" fontId="13" fillId="6" borderId="4" xfId="0" applyFont="1" applyFill="1" applyBorder="1" applyAlignment="1">
      <alignment horizontal="center" vertical="center"/>
    </xf>
    <xf numFmtId="0" fontId="13" fillId="6" borderId="5" xfId="0" applyFont="1" applyFill="1" applyBorder="1" applyAlignment="1">
      <alignment horizontal="center" vertical="center"/>
    </xf>
    <xf numFmtId="0" fontId="13" fillId="6" borderId="64" xfId="0" applyFont="1" applyFill="1" applyBorder="1" applyAlignment="1">
      <alignment horizontal="center" vertical="center"/>
    </xf>
    <xf numFmtId="0" fontId="13" fillId="6" borderId="112" xfId="0" applyFont="1" applyFill="1" applyBorder="1" applyAlignment="1">
      <alignment horizontal="center" vertical="center"/>
    </xf>
    <xf numFmtId="0" fontId="13" fillId="6" borderId="113" xfId="0" applyFont="1" applyFill="1" applyBorder="1" applyAlignment="1">
      <alignment horizontal="center" vertical="center"/>
    </xf>
    <xf numFmtId="0" fontId="22" fillId="11" borderId="26" xfId="14" applyFont="1" applyFill="1" applyBorder="1" applyAlignment="1">
      <alignment horizontal="center"/>
    </xf>
    <xf numFmtId="0" fontId="22" fillId="11" borderId="4" xfId="14" applyFont="1" applyFill="1" applyBorder="1" applyAlignment="1">
      <alignment horizontal="center"/>
    </xf>
    <xf numFmtId="0" fontId="22" fillId="11" borderId="44" xfId="14" applyFont="1" applyFill="1" applyBorder="1" applyAlignment="1">
      <alignment horizontal="center"/>
    </xf>
    <xf numFmtId="0" fontId="22" fillId="11" borderId="45" xfId="14" applyFont="1" applyFill="1" applyBorder="1" applyAlignment="1">
      <alignment horizontal="center"/>
    </xf>
    <xf numFmtId="0" fontId="22" fillId="11" borderId="6" xfId="14" applyFont="1" applyFill="1" applyBorder="1" applyAlignment="1">
      <alignment horizontal="center"/>
    </xf>
    <xf numFmtId="0" fontId="22" fillId="11" borderId="0" xfId="14" applyFont="1" applyFill="1" applyAlignment="1">
      <alignment horizontal="center"/>
    </xf>
    <xf numFmtId="0" fontId="22" fillId="11" borderId="46" xfId="14" applyFont="1" applyFill="1" applyBorder="1" applyAlignment="1">
      <alignment horizontal="center"/>
    </xf>
    <xf numFmtId="0" fontId="24" fillId="13" borderId="41" xfId="14" applyFont="1" applyFill="1" applyBorder="1" applyAlignment="1">
      <alignment horizontal="center" vertical="center"/>
    </xf>
    <xf numFmtId="0" fontId="29" fillId="0" borderId="42" xfId="14" applyFont="1" applyBorder="1" applyAlignment="1">
      <alignment horizontal="center" vertical="center"/>
    </xf>
    <xf numFmtId="0" fontId="29" fillId="0" borderId="43" xfId="14" applyFont="1" applyBorder="1" applyAlignment="1">
      <alignment horizontal="center" vertical="center"/>
    </xf>
    <xf numFmtId="0" fontId="22" fillId="11" borderId="27" xfId="14" applyFont="1" applyFill="1" applyBorder="1" applyAlignment="1">
      <alignment horizontal="center"/>
    </xf>
    <xf numFmtId="0" fontId="24" fillId="13" borderId="50" xfId="14" applyFont="1" applyFill="1" applyBorder="1" applyAlignment="1">
      <alignment horizontal="center" vertical="center"/>
    </xf>
    <xf numFmtId="0" fontId="24" fillId="13" borderId="59" xfId="14" applyFont="1" applyFill="1" applyBorder="1" applyAlignment="1">
      <alignment horizontal="center" vertical="center"/>
    </xf>
    <xf numFmtId="0" fontId="24" fillId="13" borderId="60" xfId="14" applyFont="1" applyFill="1" applyBorder="1" applyAlignment="1">
      <alignment horizontal="center" vertical="center"/>
    </xf>
    <xf numFmtId="0" fontId="24" fillId="13" borderId="66" xfId="14" applyFont="1" applyFill="1" applyBorder="1" applyAlignment="1">
      <alignment horizontal="center" vertical="center"/>
    </xf>
    <xf numFmtId="0" fontId="22" fillId="11" borderId="70" xfId="14" applyFont="1" applyFill="1" applyBorder="1" applyAlignment="1">
      <alignment horizontal="center"/>
    </xf>
    <xf numFmtId="0" fontId="24" fillId="11" borderId="71" xfId="14" applyFont="1" applyFill="1" applyBorder="1" applyAlignment="1">
      <alignment horizontal="center"/>
    </xf>
    <xf numFmtId="0" fontId="25" fillId="11" borderId="71" xfId="14" applyFont="1" applyFill="1" applyBorder="1" applyAlignment="1">
      <alignment horizontal="center"/>
    </xf>
  </cellXfs>
  <cellStyles count="17">
    <cellStyle name="£calculation" xfId="6" xr:uid="{A560F778-D900-4F95-BEA5-2EC5D1E2A5D9}"/>
    <cellStyle name="£calculation total" xfId="9" xr:uid="{F49E1F45-8DAC-44DE-9418-80877C3A335C}"/>
    <cellStyle name="Actual_vs_Forecast" xfId="12" xr:uid="{899E05C1-7F8C-49F4-8190-4F6C984D869F}"/>
    <cellStyle name="Bad 2" xfId="4" xr:uid="{8174CEAB-B2B2-484F-8AC8-66B5D29CC3B7}"/>
    <cellStyle name="Comma" xfId="1" builtinId="3"/>
    <cellStyle name="Comma 2" xfId="16" xr:uid="{5E75FBE9-8456-439E-B2AF-4380F3E5F616}"/>
    <cellStyle name="date_Modelheader" xfId="13" xr:uid="{36A5F675-04C1-451D-91A6-DC88B127720C}"/>
    <cellStyle name="Description" xfId="5" xr:uid="{B5B52D8E-1B57-4194-9315-B27E7F407BD4}"/>
    <cellStyle name="Flag" xfId="8" xr:uid="{CAA17917-A45D-4331-AC3C-01A283BF7F4E}"/>
    <cellStyle name="Forecast Input" xfId="7" xr:uid="{4015393B-398B-427B-8098-BFC4753A7D65}"/>
    <cellStyle name="Modelheader" xfId="11" xr:uid="{87833C1E-2D7B-421E-8AE2-4207F1259156}"/>
    <cellStyle name="Normal" xfId="0" builtinId="0"/>
    <cellStyle name="Normal 2" xfId="14" xr:uid="{FFBC048B-3AD5-4512-8D5F-B0E0FF46CCF2}"/>
    <cellStyle name="Normal_Fin Stats Feb 09" xfId="3" xr:uid="{6EF7DF5A-76D1-49FF-89A5-B3C0C657CD09}"/>
    <cellStyle name="Per cent" xfId="2" builtinId="5"/>
    <cellStyle name="Per cent 2" xfId="15" xr:uid="{0CC132F5-BE8A-4CF4-A915-A75A9D1276C9}"/>
    <cellStyle name="Ref" xfId="10" xr:uid="{D14B1615-CBCC-446A-8B37-374F64547F93}"/>
  </cellStyles>
  <dxfs count="1">
    <dxf>
      <font>
        <b val="0"/>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ustomXml" Target="../customXml/item1.xml"/><Relationship Id="rId30"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t>Rolling 12 month Cashflow Budget v Actual</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7920207837702903E-2"/>
          <c:y val="0.169521561383534"/>
          <c:w val="0.91309030420027604"/>
          <c:h val="0.69168933777408259"/>
        </c:manualLayout>
      </c:layout>
      <c:lineChart>
        <c:grouping val="standard"/>
        <c:varyColors val="0"/>
        <c:ser>
          <c:idx val="0"/>
          <c:order val="0"/>
          <c:tx>
            <c:strRef>
              <c:f>[2]Cash!$A$47</c:f>
              <c:strCache>
                <c:ptCount val="1"/>
                <c:pt idx="0">
                  <c:v>Budget closing balance</c:v>
                </c:pt>
              </c:strCache>
            </c:strRef>
          </c:tx>
          <c:spPr>
            <a:ln w="22225" cap="rnd">
              <a:solidFill>
                <a:schemeClr val="accent1"/>
              </a:solidFill>
              <a:round/>
            </a:ln>
            <a:effectLst/>
          </c:spPr>
          <c:marker>
            <c:symbol val="diamond"/>
            <c:size val="6"/>
            <c:spPr>
              <a:solidFill>
                <a:schemeClr val="accent1"/>
              </a:solidFill>
              <a:ln w="9525">
                <a:solidFill>
                  <a:schemeClr val="accent1"/>
                </a:solidFill>
                <a:round/>
              </a:ln>
              <a:effectLst/>
            </c:spPr>
          </c:marker>
          <c:cat>
            <c:strRef>
              <c:extLst>
                <c:ext xmlns:c15="http://schemas.microsoft.com/office/drawing/2012/chart" uri="{02D57815-91ED-43cb-92C2-25804820EDAC}">
                  <c15:fullRef>
                    <c15:sqref>[2]Cash!$B$4:$S$4</c15:sqref>
                  </c15:fullRef>
                </c:ext>
              </c:extLst>
              <c:f>[2]Cash!$G$4:$S$4</c:f>
              <c:strCache>
                <c:ptCount val="13"/>
                <c:pt idx="0">
                  <c:v>Jan 202X</c:v>
                </c:pt>
                <c:pt idx="1">
                  <c:v>Feb</c:v>
                </c:pt>
                <c:pt idx="2">
                  <c:v>Mar</c:v>
                </c:pt>
                <c:pt idx="3">
                  <c:v>Apr</c:v>
                </c:pt>
                <c:pt idx="4">
                  <c:v>May</c:v>
                </c:pt>
                <c:pt idx="5">
                  <c:v>Jun</c:v>
                </c:pt>
                <c:pt idx="6">
                  <c:v>Jul</c:v>
                </c:pt>
                <c:pt idx="7">
                  <c:v>Aug</c:v>
                </c:pt>
                <c:pt idx="8">
                  <c:v>Sep</c:v>
                </c:pt>
                <c:pt idx="9">
                  <c:v>Oct</c:v>
                </c:pt>
                <c:pt idx="10">
                  <c:v>Nov</c:v>
                </c:pt>
                <c:pt idx="11">
                  <c:v>Dec</c:v>
                </c:pt>
                <c:pt idx="12">
                  <c:v>Jan</c:v>
                </c:pt>
              </c:strCache>
            </c:strRef>
          </c:cat>
          <c:val>
            <c:numRef>
              <c:extLst>
                <c:ext xmlns:c15="http://schemas.microsoft.com/office/drawing/2012/chart" uri="{02D57815-91ED-43cb-92C2-25804820EDAC}">
                  <c15:fullRef>
                    <c15:sqref>[2]Cash!$B$47:$M$47</c15:sqref>
                  </c15:fullRef>
                </c:ext>
              </c:extLst>
              <c:f>[2]Cash!$G$47:$M$47</c:f>
              <c:numCache>
                <c:formatCode>General</c:formatCode>
                <c:ptCount val="7"/>
                <c:pt idx="0">
                  <c:v>1945</c:v>
                </c:pt>
                <c:pt idx="1">
                  <c:v>1985</c:v>
                </c:pt>
                <c:pt idx="2">
                  <c:v>1785</c:v>
                </c:pt>
                <c:pt idx="3">
                  <c:v>1435</c:v>
                </c:pt>
                <c:pt idx="4">
                  <c:v>2285</c:v>
                </c:pt>
                <c:pt idx="5">
                  <c:v>2285</c:v>
                </c:pt>
                <c:pt idx="6">
                  <c:v>2281</c:v>
                </c:pt>
              </c:numCache>
            </c:numRef>
          </c:val>
          <c:smooth val="0"/>
          <c:extLst>
            <c:ext xmlns:c16="http://schemas.microsoft.com/office/drawing/2014/chart" uri="{C3380CC4-5D6E-409C-BE32-E72D297353CC}">
              <c16:uniqueId val="{00000000-4763-4E66-A48E-F5F5E43D795B}"/>
            </c:ext>
          </c:extLst>
        </c:ser>
        <c:ser>
          <c:idx val="1"/>
          <c:order val="1"/>
          <c:tx>
            <c:v>Actual/forecast Cash</c:v>
          </c:tx>
          <c:spPr>
            <a:ln w="22225" cap="rnd">
              <a:solidFill>
                <a:schemeClr val="accent2"/>
              </a:solidFill>
              <a:round/>
            </a:ln>
            <a:effectLst/>
          </c:spPr>
          <c:marker>
            <c:symbol val="square"/>
            <c:size val="6"/>
            <c:spPr>
              <a:solidFill>
                <a:schemeClr val="accent2"/>
              </a:solidFill>
              <a:ln w="9525">
                <a:solidFill>
                  <a:schemeClr val="accent2"/>
                </a:solidFill>
                <a:round/>
              </a:ln>
              <a:effectLst/>
            </c:spPr>
          </c:marker>
          <c:cat>
            <c:strRef>
              <c:extLst>
                <c:ext xmlns:c15="http://schemas.microsoft.com/office/drawing/2012/chart" uri="{02D57815-91ED-43cb-92C2-25804820EDAC}">
                  <c15:fullRef>
                    <c15:sqref>[2]Cash!$B$4:$S$4</c15:sqref>
                  </c15:fullRef>
                </c:ext>
              </c:extLst>
              <c:f>[2]Cash!$G$4:$S$4</c:f>
              <c:strCache>
                <c:ptCount val="13"/>
                <c:pt idx="0">
                  <c:v>Jan 202X</c:v>
                </c:pt>
                <c:pt idx="1">
                  <c:v>Feb</c:v>
                </c:pt>
                <c:pt idx="2">
                  <c:v>Mar</c:v>
                </c:pt>
                <c:pt idx="3">
                  <c:v>Apr</c:v>
                </c:pt>
                <c:pt idx="4">
                  <c:v>May</c:v>
                </c:pt>
                <c:pt idx="5">
                  <c:v>Jun</c:v>
                </c:pt>
                <c:pt idx="6">
                  <c:v>Jul</c:v>
                </c:pt>
                <c:pt idx="7">
                  <c:v>Aug</c:v>
                </c:pt>
                <c:pt idx="8">
                  <c:v>Sep</c:v>
                </c:pt>
                <c:pt idx="9">
                  <c:v>Oct</c:v>
                </c:pt>
                <c:pt idx="10">
                  <c:v>Nov</c:v>
                </c:pt>
                <c:pt idx="11">
                  <c:v>Dec</c:v>
                </c:pt>
                <c:pt idx="12">
                  <c:v>Jan</c:v>
                </c:pt>
              </c:strCache>
            </c:strRef>
          </c:cat>
          <c:val>
            <c:numRef>
              <c:extLst>
                <c:ext xmlns:c15="http://schemas.microsoft.com/office/drawing/2012/chart" uri="{02D57815-91ED-43cb-92C2-25804820EDAC}">
                  <c15:fullRef>
                    <c15:sqref>[2]Cash!$B$43:$S$43</c15:sqref>
                  </c15:fullRef>
                </c:ext>
              </c:extLst>
              <c:f>[2]Cash!$G$43:$S$43</c:f>
              <c:numCache>
                <c:formatCode>General</c:formatCode>
                <c:ptCount val="13"/>
                <c:pt idx="0">
                  <c:v>2089.9258560606067</c:v>
                </c:pt>
                <c:pt idx="1">
                  <c:v>2157.2279393939402</c:v>
                </c:pt>
                <c:pt idx="2">
                  <c:v>1834.5929393939402</c:v>
                </c:pt>
                <c:pt idx="3">
                  <c:v>1503.1179393939403</c:v>
                </c:pt>
                <c:pt idx="4">
                  <c:v>2331.0616590909103</c:v>
                </c:pt>
                <c:pt idx="5">
                  <c:v>2235.5637424242441</c:v>
                </c:pt>
                <c:pt idx="6">
                  <c:v>2080.9220757575777</c:v>
                </c:pt>
                <c:pt idx="7">
                  <c:v>2070.455409090911</c:v>
                </c:pt>
                <c:pt idx="8">
                  <c:v>1688.9787424242443</c:v>
                </c:pt>
                <c:pt idx="9">
                  <c:v>1226.7120757575778</c:v>
                </c:pt>
                <c:pt idx="10">
                  <c:v>1315.1654090909112</c:v>
                </c:pt>
                <c:pt idx="11">
                  <c:v>1220.8787424242448</c:v>
                </c:pt>
                <c:pt idx="12">
                  <c:v>941.12874242424482</c:v>
                </c:pt>
              </c:numCache>
            </c:numRef>
          </c:val>
          <c:smooth val="0"/>
          <c:extLst>
            <c:ext xmlns:c16="http://schemas.microsoft.com/office/drawing/2014/chart" uri="{C3380CC4-5D6E-409C-BE32-E72D297353CC}">
              <c16:uniqueId val="{00000001-4763-4E66-A48E-F5F5E43D795B}"/>
            </c:ext>
          </c:extLst>
        </c:ser>
        <c:dLbls>
          <c:showLegendKey val="0"/>
          <c:showVal val="0"/>
          <c:showCatName val="0"/>
          <c:showSerName val="0"/>
          <c:showPercent val="0"/>
          <c:showBubbleSize val="0"/>
        </c:dLbls>
        <c:marker val="1"/>
        <c:smooth val="0"/>
        <c:axId val="425939432"/>
        <c:axId val="425941072"/>
      </c:lineChart>
      <c:catAx>
        <c:axId val="425939432"/>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425941072"/>
        <c:crosses val="autoZero"/>
        <c:auto val="1"/>
        <c:lblAlgn val="ctr"/>
        <c:lblOffset val="100"/>
        <c:noMultiLvlLbl val="1"/>
      </c:catAx>
      <c:valAx>
        <c:axId val="425941072"/>
        <c:scaling>
          <c:orientation val="minMax"/>
        </c:scaling>
        <c:delete val="0"/>
        <c:axPos val="l"/>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Cash balance £'000s</a:t>
                </a:r>
              </a:p>
            </c:rich>
          </c:tx>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593943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311150</xdr:colOff>
      <xdr:row>2</xdr:row>
      <xdr:rowOff>241301</xdr:rowOff>
    </xdr:from>
    <xdr:to>
      <xdr:col>6</xdr:col>
      <xdr:colOff>584200</xdr:colOff>
      <xdr:row>2</xdr:row>
      <xdr:rowOff>527051</xdr:rowOff>
    </xdr:to>
    <xdr:sp macro="" textlink="">
      <xdr:nvSpPr>
        <xdr:cNvPr id="8" name="Flowchart: Connector 7" descr="Amber circle">
          <a:extLst>
            <a:ext uri="{FF2B5EF4-FFF2-40B4-BE49-F238E27FC236}">
              <a16:creationId xmlns:a16="http://schemas.microsoft.com/office/drawing/2014/main" id="{C50BFE50-241C-440B-81BE-7F673227CE25}"/>
            </a:ext>
          </a:extLst>
        </xdr:cNvPr>
        <xdr:cNvSpPr/>
      </xdr:nvSpPr>
      <xdr:spPr>
        <a:xfrm>
          <a:off x="19907250" y="762001"/>
          <a:ext cx="273050" cy="285750"/>
        </a:xfrm>
        <a:prstGeom prst="flowChartConnector">
          <a:avLst/>
        </a:prstGeom>
        <a:solidFill>
          <a:srgbClr val="FFC000"/>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endParaRPr lang="en-GB" sz="1100"/>
        </a:p>
      </xdr:txBody>
    </xdr:sp>
    <xdr:clientData/>
  </xdr:twoCellAnchor>
  <xdr:twoCellAnchor>
    <xdr:from>
      <xdr:col>6</xdr:col>
      <xdr:colOff>279399</xdr:colOff>
      <xdr:row>3</xdr:row>
      <xdr:rowOff>247649</xdr:rowOff>
    </xdr:from>
    <xdr:to>
      <xdr:col>6</xdr:col>
      <xdr:colOff>593724</xdr:colOff>
      <xdr:row>3</xdr:row>
      <xdr:rowOff>561974</xdr:rowOff>
    </xdr:to>
    <xdr:sp macro="" textlink="">
      <xdr:nvSpPr>
        <xdr:cNvPr id="12" name="Flowchart: Connector 11" descr="Red Circle">
          <a:extLst>
            <a:ext uri="{FF2B5EF4-FFF2-40B4-BE49-F238E27FC236}">
              <a16:creationId xmlns:a16="http://schemas.microsoft.com/office/drawing/2014/main" id="{5B140950-9873-44E1-8E93-49EBC8F531A7}"/>
            </a:ext>
          </a:extLst>
        </xdr:cNvPr>
        <xdr:cNvSpPr/>
      </xdr:nvSpPr>
      <xdr:spPr>
        <a:xfrm>
          <a:off x="19875499" y="1352549"/>
          <a:ext cx="314325" cy="314325"/>
        </a:xfrm>
        <a:prstGeom prst="flowChartConnector">
          <a:avLst/>
        </a:prstGeom>
        <a:solidFill>
          <a:srgbClr val="FF0000"/>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endParaRPr lang="en-GB" sz="1100"/>
        </a:p>
      </xdr:txBody>
    </xdr:sp>
    <xdr:clientData/>
  </xdr:twoCellAnchor>
  <xdr:twoCellAnchor>
    <xdr:from>
      <xdr:col>6</xdr:col>
      <xdr:colOff>317500</xdr:colOff>
      <xdr:row>4</xdr:row>
      <xdr:rowOff>254001</xdr:rowOff>
    </xdr:from>
    <xdr:to>
      <xdr:col>6</xdr:col>
      <xdr:colOff>590550</xdr:colOff>
      <xdr:row>4</xdr:row>
      <xdr:rowOff>539751</xdr:rowOff>
    </xdr:to>
    <xdr:sp macro="" textlink="">
      <xdr:nvSpPr>
        <xdr:cNvPr id="13" name="Flowchart: Connector 12" descr="Amber circle">
          <a:extLst>
            <a:ext uri="{FF2B5EF4-FFF2-40B4-BE49-F238E27FC236}">
              <a16:creationId xmlns:a16="http://schemas.microsoft.com/office/drawing/2014/main" id="{C55BC843-A33F-463D-B486-ABE5FF38CD42}"/>
            </a:ext>
          </a:extLst>
        </xdr:cNvPr>
        <xdr:cNvSpPr/>
      </xdr:nvSpPr>
      <xdr:spPr>
        <a:xfrm>
          <a:off x="19913600" y="1943101"/>
          <a:ext cx="273050" cy="285750"/>
        </a:xfrm>
        <a:prstGeom prst="flowChartConnector">
          <a:avLst/>
        </a:prstGeom>
        <a:solidFill>
          <a:srgbClr val="FFC000"/>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561976</xdr:colOff>
      <xdr:row>4</xdr:row>
      <xdr:rowOff>261937</xdr:rowOff>
    </xdr:from>
    <xdr:to>
      <xdr:col>6</xdr:col>
      <xdr:colOff>909638</xdr:colOff>
      <xdr:row>4</xdr:row>
      <xdr:rowOff>533400</xdr:rowOff>
    </xdr:to>
    <xdr:sp macro="" textlink="">
      <xdr:nvSpPr>
        <xdr:cNvPr id="2" name="Arrow: Down 1" descr="Red downward arrow">
          <a:extLst>
            <a:ext uri="{FF2B5EF4-FFF2-40B4-BE49-F238E27FC236}">
              <a16:creationId xmlns:a16="http://schemas.microsoft.com/office/drawing/2014/main" id="{494EA8F5-35A3-4F49-A89D-40DC4811144A}"/>
            </a:ext>
          </a:extLst>
        </xdr:cNvPr>
        <xdr:cNvSpPr/>
      </xdr:nvSpPr>
      <xdr:spPr>
        <a:xfrm>
          <a:off x="10315576" y="1944687"/>
          <a:ext cx="347662" cy="271463"/>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311150</xdr:colOff>
      <xdr:row>2</xdr:row>
      <xdr:rowOff>241301</xdr:rowOff>
    </xdr:from>
    <xdr:to>
      <xdr:col>13</xdr:col>
      <xdr:colOff>584200</xdr:colOff>
      <xdr:row>2</xdr:row>
      <xdr:rowOff>527051</xdr:rowOff>
    </xdr:to>
    <xdr:sp macro="" textlink="">
      <xdr:nvSpPr>
        <xdr:cNvPr id="3" name="Flowchart: Connector 2" descr="Amber circle">
          <a:extLst>
            <a:ext uri="{FF2B5EF4-FFF2-40B4-BE49-F238E27FC236}">
              <a16:creationId xmlns:a16="http://schemas.microsoft.com/office/drawing/2014/main" id="{1136C17E-E88A-4CA2-98D7-45C4301E09C5}"/>
            </a:ext>
          </a:extLst>
        </xdr:cNvPr>
        <xdr:cNvSpPr/>
      </xdr:nvSpPr>
      <xdr:spPr>
        <a:xfrm>
          <a:off x="19913600" y="762001"/>
          <a:ext cx="273050" cy="285750"/>
        </a:xfrm>
        <a:prstGeom prst="flowChartConnector">
          <a:avLst/>
        </a:prstGeom>
        <a:solidFill>
          <a:srgbClr val="FFC000"/>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endParaRPr lang="en-GB" sz="1100"/>
        </a:p>
      </xdr:txBody>
    </xdr:sp>
    <xdr:clientData/>
  </xdr:twoCellAnchor>
  <xdr:twoCellAnchor>
    <xdr:from>
      <xdr:col>13</xdr:col>
      <xdr:colOff>279399</xdr:colOff>
      <xdr:row>3</xdr:row>
      <xdr:rowOff>247649</xdr:rowOff>
    </xdr:from>
    <xdr:to>
      <xdr:col>13</xdr:col>
      <xdr:colOff>593724</xdr:colOff>
      <xdr:row>3</xdr:row>
      <xdr:rowOff>561974</xdr:rowOff>
    </xdr:to>
    <xdr:sp macro="" textlink="">
      <xdr:nvSpPr>
        <xdr:cNvPr id="4" name="Flowchart: Connector 3" descr="Red Circle">
          <a:extLst>
            <a:ext uri="{FF2B5EF4-FFF2-40B4-BE49-F238E27FC236}">
              <a16:creationId xmlns:a16="http://schemas.microsoft.com/office/drawing/2014/main" id="{7C7FEB6D-739A-456D-B50A-6C19AC5D7904}"/>
            </a:ext>
          </a:extLst>
        </xdr:cNvPr>
        <xdr:cNvSpPr/>
      </xdr:nvSpPr>
      <xdr:spPr>
        <a:xfrm>
          <a:off x="19881849" y="1352549"/>
          <a:ext cx="314325" cy="314325"/>
        </a:xfrm>
        <a:prstGeom prst="flowChartConnector">
          <a:avLst/>
        </a:prstGeom>
        <a:solidFill>
          <a:srgbClr val="FF0000"/>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endParaRPr lang="en-GB" sz="1100"/>
        </a:p>
      </xdr:txBody>
    </xdr:sp>
    <xdr:clientData/>
  </xdr:twoCellAnchor>
  <xdr:twoCellAnchor>
    <xdr:from>
      <xdr:col>13</xdr:col>
      <xdr:colOff>317500</xdr:colOff>
      <xdr:row>4</xdr:row>
      <xdr:rowOff>254001</xdr:rowOff>
    </xdr:from>
    <xdr:to>
      <xdr:col>13</xdr:col>
      <xdr:colOff>590550</xdr:colOff>
      <xdr:row>4</xdr:row>
      <xdr:rowOff>539751</xdr:rowOff>
    </xdr:to>
    <xdr:sp macro="" textlink="">
      <xdr:nvSpPr>
        <xdr:cNvPr id="5" name="Flowchart: Connector 4" descr="Amber circle">
          <a:extLst>
            <a:ext uri="{FF2B5EF4-FFF2-40B4-BE49-F238E27FC236}">
              <a16:creationId xmlns:a16="http://schemas.microsoft.com/office/drawing/2014/main" id="{7520189E-4D2C-4EC7-8CDD-51A3508DC4AB}"/>
            </a:ext>
          </a:extLst>
        </xdr:cNvPr>
        <xdr:cNvSpPr/>
      </xdr:nvSpPr>
      <xdr:spPr>
        <a:xfrm>
          <a:off x="19919950" y="1943101"/>
          <a:ext cx="273050" cy="285750"/>
        </a:xfrm>
        <a:prstGeom prst="flowChartConnector">
          <a:avLst/>
        </a:prstGeom>
        <a:solidFill>
          <a:srgbClr val="FFC000"/>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endParaRPr lang="en-GB" sz="1100"/>
        </a:p>
      </xdr:txBody>
    </xdr:sp>
    <xdr:clientData/>
  </xdr:twoCellAnchor>
  <xdr:twoCellAnchor>
    <xdr:from>
      <xdr:col>5</xdr:col>
      <xdr:colOff>279399</xdr:colOff>
      <xdr:row>4</xdr:row>
      <xdr:rowOff>247649</xdr:rowOff>
    </xdr:from>
    <xdr:to>
      <xdr:col>5</xdr:col>
      <xdr:colOff>593724</xdr:colOff>
      <xdr:row>4</xdr:row>
      <xdr:rowOff>561974</xdr:rowOff>
    </xdr:to>
    <xdr:sp macro="" textlink="">
      <xdr:nvSpPr>
        <xdr:cNvPr id="6" name="Flowchart: Connector 5" descr="Red Circle">
          <a:extLst>
            <a:ext uri="{FF2B5EF4-FFF2-40B4-BE49-F238E27FC236}">
              <a16:creationId xmlns:a16="http://schemas.microsoft.com/office/drawing/2014/main" id="{458BC668-AE17-46B7-92E3-AA9A64F0BDEC}"/>
            </a:ext>
          </a:extLst>
        </xdr:cNvPr>
        <xdr:cNvSpPr/>
      </xdr:nvSpPr>
      <xdr:spPr>
        <a:xfrm>
          <a:off x="9753599" y="1936749"/>
          <a:ext cx="314325" cy="314325"/>
        </a:xfrm>
        <a:prstGeom prst="flowChartConnector">
          <a:avLst/>
        </a:prstGeom>
        <a:solidFill>
          <a:srgbClr val="FF0000"/>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endParaRPr lang="en-GB" sz="1100"/>
        </a:p>
      </xdr:txBody>
    </xdr:sp>
    <xdr:clientData/>
  </xdr:twoCellAnchor>
  <xdr:twoCellAnchor>
    <xdr:from>
      <xdr:col>5</xdr:col>
      <xdr:colOff>279399</xdr:colOff>
      <xdr:row>5</xdr:row>
      <xdr:rowOff>247649</xdr:rowOff>
    </xdr:from>
    <xdr:to>
      <xdr:col>5</xdr:col>
      <xdr:colOff>593724</xdr:colOff>
      <xdr:row>5</xdr:row>
      <xdr:rowOff>561974</xdr:rowOff>
    </xdr:to>
    <xdr:sp macro="" textlink="">
      <xdr:nvSpPr>
        <xdr:cNvPr id="7" name="Flowchart: Connector 6" descr="Red Circle">
          <a:extLst>
            <a:ext uri="{FF2B5EF4-FFF2-40B4-BE49-F238E27FC236}">
              <a16:creationId xmlns:a16="http://schemas.microsoft.com/office/drawing/2014/main" id="{C85E0973-BDA3-4593-8036-8F68EFAB23AC}"/>
            </a:ext>
          </a:extLst>
        </xdr:cNvPr>
        <xdr:cNvSpPr/>
      </xdr:nvSpPr>
      <xdr:spPr>
        <a:xfrm>
          <a:off x="9753599" y="2520949"/>
          <a:ext cx="314325" cy="314325"/>
        </a:xfrm>
        <a:prstGeom prst="flowChartConnector">
          <a:avLst/>
        </a:prstGeom>
        <a:solidFill>
          <a:srgbClr val="FF0000"/>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endParaRPr lang="en-GB" sz="1100"/>
        </a:p>
      </xdr:txBody>
    </xdr:sp>
    <xdr:clientData/>
  </xdr:twoCellAnchor>
  <xdr:twoCellAnchor>
    <xdr:from>
      <xdr:col>5</xdr:col>
      <xdr:colOff>292100</xdr:colOff>
      <xdr:row>6</xdr:row>
      <xdr:rowOff>279401</xdr:rowOff>
    </xdr:from>
    <xdr:to>
      <xdr:col>5</xdr:col>
      <xdr:colOff>565150</xdr:colOff>
      <xdr:row>6</xdr:row>
      <xdr:rowOff>565151</xdr:rowOff>
    </xdr:to>
    <xdr:sp macro="" textlink="">
      <xdr:nvSpPr>
        <xdr:cNvPr id="8" name="Flowchart: Connector 7" descr="Amber circle">
          <a:extLst>
            <a:ext uri="{FF2B5EF4-FFF2-40B4-BE49-F238E27FC236}">
              <a16:creationId xmlns:a16="http://schemas.microsoft.com/office/drawing/2014/main" id="{266619DA-503A-4824-9BC1-BFAE2AD436F5}"/>
            </a:ext>
          </a:extLst>
        </xdr:cNvPr>
        <xdr:cNvSpPr/>
      </xdr:nvSpPr>
      <xdr:spPr>
        <a:xfrm>
          <a:off x="9766300" y="3136901"/>
          <a:ext cx="273050" cy="285750"/>
        </a:xfrm>
        <a:prstGeom prst="flowChartConnector">
          <a:avLst/>
        </a:prstGeom>
        <a:solidFill>
          <a:srgbClr val="FFC000"/>
        </a:solidFill>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t"/>
        <a:lstStyle/>
        <a:p>
          <a:pPr algn="ctr"/>
          <a:endParaRPr lang="en-GB" sz="1100"/>
        </a:p>
      </xdr:txBody>
    </xdr:sp>
    <xdr:clientData/>
  </xdr:twoCellAnchor>
  <xdr:twoCellAnchor>
    <xdr:from>
      <xdr:col>6</xdr:col>
      <xdr:colOff>549276</xdr:colOff>
      <xdr:row>5</xdr:row>
      <xdr:rowOff>255587</xdr:rowOff>
    </xdr:from>
    <xdr:to>
      <xdr:col>6</xdr:col>
      <xdr:colOff>896938</xdr:colOff>
      <xdr:row>5</xdr:row>
      <xdr:rowOff>527050</xdr:rowOff>
    </xdr:to>
    <xdr:sp macro="" textlink="">
      <xdr:nvSpPr>
        <xdr:cNvPr id="9" name="Arrow: Down 8" descr="Red downward arrow">
          <a:extLst>
            <a:ext uri="{FF2B5EF4-FFF2-40B4-BE49-F238E27FC236}">
              <a16:creationId xmlns:a16="http://schemas.microsoft.com/office/drawing/2014/main" id="{CED32C16-8FCB-4C4F-A559-19FB35ABEDDD}"/>
            </a:ext>
          </a:extLst>
        </xdr:cNvPr>
        <xdr:cNvSpPr/>
      </xdr:nvSpPr>
      <xdr:spPr>
        <a:xfrm>
          <a:off x="10302876" y="2522537"/>
          <a:ext cx="347662" cy="271463"/>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530226</xdr:colOff>
      <xdr:row>6</xdr:row>
      <xdr:rowOff>242887</xdr:rowOff>
    </xdr:from>
    <xdr:to>
      <xdr:col>6</xdr:col>
      <xdr:colOff>877888</xdr:colOff>
      <xdr:row>6</xdr:row>
      <xdr:rowOff>514350</xdr:rowOff>
    </xdr:to>
    <xdr:sp macro="" textlink="">
      <xdr:nvSpPr>
        <xdr:cNvPr id="10" name="Arrow: Down 9" descr="Red downward arrow">
          <a:extLst>
            <a:ext uri="{FF2B5EF4-FFF2-40B4-BE49-F238E27FC236}">
              <a16:creationId xmlns:a16="http://schemas.microsoft.com/office/drawing/2014/main" id="{9113C5AA-7B10-456C-9816-E3EE71896C59}"/>
            </a:ext>
          </a:extLst>
        </xdr:cNvPr>
        <xdr:cNvSpPr/>
      </xdr:nvSpPr>
      <xdr:spPr>
        <a:xfrm>
          <a:off x="10283826" y="3094037"/>
          <a:ext cx="347662" cy="271463"/>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200025</xdr:colOff>
      <xdr:row>2</xdr:row>
      <xdr:rowOff>23813</xdr:rowOff>
    </xdr:from>
    <xdr:to>
      <xdr:col>15</xdr:col>
      <xdr:colOff>419100</xdr:colOff>
      <xdr:row>27</xdr:row>
      <xdr:rowOff>95250</xdr:rowOff>
    </xdr:to>
    <xdr:graphicFrame macro="">
      <xdr:nvGraphicFramePr>
        <xdr:cNvPr id="2" name="Chart 1" descr="This is an illustrative example of a cashflow forecast as described under ‘notes and assumptions.’">
          <a:extLst>
            <a:ext uri="{FF2B5EF4-FFF2-40B4-BE49-F238E27FC236}">
              <a16:creationId xmlns:a16="http://schemas.microsoft.com/office/drawing/2014/main" id="{BA772173-6A24-469A-A331-45BC708CD2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350838</xdr:colOff>
      <xdr:row>37</xdr:row>
      <xdr:rowOff>25400</xdr:rowOff>
    </xdr:from>
    <xdr:ext cx="9259887" cy="1600200"/>
    <xdr:sp macro="" textlink="">
      <xdr:nvSpPr>
        <xdr:cNvPr id="3" name="TextBox 2">
          <a:extLst>
            <a:ext uri="{FF2B5EF4-FFF2-40B4-BE49-F238E27FC236}">
              <a16:creationId xmlns:a16="http://schemas.microsoft.com/office/drawing/2014/main" id="{36A431EA-E322-4111-AC04-B883BD23D565}"/>
            </a:ext>
          </a:extLst>
        </xdr:cNvPr>
        <xdr:cNvSpPr txBox="1"/>
      </xdr:nvSpPr>
      <xdr:spPr>
        <a:xfrm>
          <a:off x="350838" y="6835775"/>
          <a:ext cx="9259887" cy="1600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400" b="1"/>
            <a:t>Notes and Assumptions on cash forecast</a:t>
          </a:r>
          <a:r>
            <a:rPr lang="en-GB" sz="1100" b="0" i="0" u="none" strike="noStrike">
              <a:solidFill>
                <a:schemeClr val="tx1"/>
              </a:solidFill>
              <a:effectLst/>
              <a:latin typeface="+mn-lt"/>
              <a:ea typeface="+mn-ea"/>
              <a:cs typeface="+mn-cs"/>
            </a:rPr>
            <a:t> </a:t>
          </a:r>
        </a:p>
        <a:p>
          <a:pPr rtl="0" eaLnBrk="1" latinLnBrk="0" hangingPunct="1"/>
          <a:r>
            <a:rPr lang="en-GB" sz="1100">
              <a:solidFill>
                <a:schemeClr val="tx1"/>
              </a:solidFill>
              <a:effectLst/>
              <a:latin typeface="Arial" panose="020B0604020202020204" pitchFamily="34" charset="0"/>
              <a:ea typeface="+mn-ea"/>
              <a:cs typeface="Arial" panose="020B0604020202020204" pitchFamily="34" charset="0"/>
            </a:rPr>
            <a:t>Actual cash at bank at 31 January is £2.09 million equivalent to 38 cash days in hand.  This is marginally lower than forecast due to the adverse operating performance to date.</a:t>
          </a:r>
          <a:endParaRPr lang="en-GB" sz="1100">
            <a:effectLst/>
            <a:latin typeface="Arial" panose="020B0604020202020204" pitchFamily="34" charset="0"/>
            <a:cs typeface="Arial" panose="020B0604020202020204" pitchFamily="34" charset="0"/>
          </a:endParaRPr>
        </a:p>
        <a:p>
          <a:pPr rtl="0" eaLnBrk="1" latinLnBrk="0" hangingPunct="1"/>
          <a:r>
            <a:rPr lang="en-GB" sz="1100">
              <a:solidFill>
                <a:schemeClr val="tx1"/>
              </a:solidFill>
              <a:effectLst/>
              <a:latin typeface="Arial" panose="020B0604020202020204" pitchFamily="34" charset="0"/>
              <a:ea typeface="+mn-ea"/>
              <a:cs typeface="Arial" panose="020B0604020202020204" pitchFamily="34" charset="0"/>
            </a:rPr>
            <a:t>Cash balances are forecast to fall to a low-point of £881,000 at the end of March 2021, equivalent to 16 cash days in hand (below the FEC benchmark of 25 cash days)</a:t>
          </a:r>
          <a:endParaRPr lang="en-GB" sz="1100">
            <a:effectLst/>
            <a:latin typeface="Arial" panose="020B0604020202020204" pitchFamily="34" charset="0"/>
            <a:cs typeface="Arial" panose="020B0604020202020204" pitchFamily="34" charset="0"/>
          </a:endParaRPr>
        </a:p>
        <a:p>
          <a:pPr rtl="0" eaLnBrk="1" latinLnBrk="0" hangingPunct="1"/>
          <a:r>
            <a:rPr lang="en-GB" sz="1100">
              <a:solidFill>
                <a:schemeClr val="tx1"/>
              </a:solidFill>
              <a:effectLst/>
              <a:latin typeface="Arial" panose="020B0604020202020204" pitchFamily="34" charset="0"/>
              <a:ea typeface="+mn-ea"/>
              <a:cs typeface="Arial" panose="020B0604020202020204" pitchFamily="34" charset="0"/>
            </a:rPr>
            <a:t>Creditor payments are not falling behind and with an approved overdraft facility of £500,000 in place, the March low-point is manageable.</a:t>
          </a:r>
          <a:endParaRPr lang="en-GB" sz="1100">
            <a:effectLst/>
            <a:latin typeface="Arial" panose="020B0604020202020204" pitchFamily="34" charset="0"/>
            <a:cs typeface="Arial" panose="020B0604020202020204" pitchFamily="34" charset="0"/>
          </a:endParaRPr>
        </a:p>
        <a:p>
          <a:pPr rtl="0" eaLnBrk="1" latinLnBrk="0" hangingPunct="1"/>
          <a:r>
            <a:rPr lang="en-GB" sz="1100">
              <a:solidFill>
                <a:schemeClr val="tx1"/>
              </a:solidFill>
              <a:effectLst/>
              <a:latin typeface="Arial" panose="020B0604020202020204" pitchFamily="34" charset="0"/>
              <a:ea typeface="+mn-ea"/>
              <a:cs typeface="Arial" panose="020B0604020202020204" pitchFamily="34" charset="0"/>
            </a:rPr>
            <a:t>However forecast EBITDA for the year of £655,000 is substantially less than the combined costs of debtservicing (£720,000) and the capital programme (£691,000).  This underlines the need to improve EBITDA going forward to avoid the continuing decline in cash reserves.</a:t>
          </a:r>
          <a:endParaRPr lang="en-GB" sz="1100">
            <a:effectLst/>
            <a:latin typeface="Arial" panose="020B0604020202020204" pitchFamily="34" charset="0"/>
            <a:cs typeface="Arial" panose="020B0604020202020204" pitchFamily="34" charset="0"/>
          </a:endParaRPr>
        </a:p>
        <a:p>
          <a:pPr rtl="0" eaLnBrk="1" latinLnBrk="0" hangingPunct="1"/>
          <a:r>
            <a:rPr lang="en-GB" sz="1100">
              <a:solidFill>
                <a:schemeClr val="tx1"/>
              </a:solidFill>
              <a:effectLst/>
              <a:latin typeface="Arial" panose="020B0604020202020204" pitchFamily="34" charset="0"/>
              <a:ea typeface="+mn-ea"/>
              <a:cs typeface="Arial" panose="020B0604020202020204" pitchFamily="34" charset="0"/>
            </a:rPr>
            <a:t>Debt recovery actions are working well, with debtor days currently at 15 compared to the target of 14 for the year as a whole.</a:t>
          </a:r>
          <a:endParaRPr lang="en-GB" sz="1100">
            <a:effectLst/>
            <a:latin typeface="Arial" panose="020B0604020202020204" pitchFamily="34" charset="0"/>
            <a:cs typeface="Arial" panose="020B0604020202020204" pitchFamily="34" charset="0"/>
          </a:endParaRPr>
        </a:p>
        <a:p>
          <a:endParaRPr lang="en-GB" sz="1400" b="1"/>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5</xdr:col>
      <xdr:colOff>328612</xdr:colOff>
      <xdr:row>3</xdr:row>
      <xdr:rowOff>50800</xdr:rowOff>
    </xdr:from>
    <xdr:to>
      <xdr:col>5</xdr:col>
      <xdr:colOff>623887</xdr:colOff>
      <xdr:row>3</xdr:row>
      <xdr:rowOff>327023</xdr:rowOff>
    </xdr:to>
    <xdr:sp macro="" textlink="">
      <xdr:nvSpPr>
        <xdr:cNvPr id="2" name="Flowchart: Connector 1" descr="Red circle">
          <a:extLst>
            <a:ext uri="{FF2B5EF4-FFF2-40B4-BE49-F238E27FC236}">
              <a16:creationId xmlns:a16="http://schemas.microsoft.com/office/drawing/2014/main" id="{11645516-93DE-4D5F-BCD6-EB8E0CC981D5}"/>
            </a:ext>
          </a:extLst>
        </xdr:cNvPr>
        <xdr:cNvSpPr/>
      </xdr:nvSpPr>
      <xdr:spPr>
        <a:xfrm>
          <a:off x="8367712" y="1174750"/>
          <a:ext cx="295275" cy="276223"/>
        </a:xfrm>
        <a:prstGeom prst="flowChartConnector">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393700</xdr:colOff>
      <xdr:row>5</xdr:row>
      <xdr:rowOff>87312</xdr:rowOff>
    </xdr:from>
    <xdr:to>
      <xdr:col>6</xdr:col>
      <xdr:colOff>1008063</xdr:colOff>
      <xdr:row>5</xdr:row>
      <xdr:rowOff>325436</xdr:rowOff>
    </xdr:to>
    <xdr:sp macro="" textlink="">
      <xdr:nvSpPr>
        <xdr:cNvPr id="3" name="Equals 2" descr="equals sig">
          <a:extLst>
            <a:ext uri="{FF2B5EF4-FFF2-40B4-BE49-F238E27FC236}">
              <a16:creationId xmlns:a16="http://schemas.microsoft.com/office/drawing/2014/main" id="{4D968CEC-6577-4B9A-99DD-FCF851632619}"/>
            </a:ext>
          </a:extLst>
        </xdr:cNvPr>
        <xdr:cNvSpPr/>
      </xdr:nvSpPr>
      <xdr:spPr>
        <a:xfrm>
          <a:off x="9398000" y="2227262"/>
          <a:ext cx="614363" cy="238124"/>
        </a:xfrm>
        <a:prstGeom prst="mathEqual">
          <a:avLst>
            <a:gd name="adj1" fmla="val 23520"/>
            <a:gd name="adj2" fmla="val 11760"/>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6</xdr:col>
      <xdr:colOff>512763</xdr:colOff>
      <xdr:row>3</xdr:row>
      <xdr:rowOff>46037</xdr:rowOff>
    </xdr:from>
    <xdr:to>
      <xdr:col>6</xdr:col>
      <xdr:colOff>860425</xdr:colOff>
      <xdr:row>3</xdr:row>
      <xdr:rowOff>317500</xdr:rowOff>
    </xdr:to>
    <xdr:sp macro="" textlink="">
      <xdr:nvSpPr>
        <xdr:cNvPr id="4" name="Arrow: Down 3" descr="red downward arrow">
          <a:extLst>
            <a:ext uri="{FF2B5EF4-FFF2-40B4-BE49-F238E27FC236}">
              <a16:creationId xmlns:a16="http://schemas.microsoft.com/office/drawing/2014/main" id="{A4AF0B51-DD40-46A0-83A9-D40F9DD4762E}"/>
            </a:ext>
          </a:extLst>
        </xdr:cNvPr>
        <xdr:cNvSpPr/>
      </xdr:nvSpPr>
      <xdr:spPr>
        <a:xfrm>
          <a:off x="9517063" y="1169987"/>
          <a:ext cx="347662" cy="271463"/>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500063</xdr:colOff>
      <xdr:row>4</xdr:row>
      <xdr:rowOff>128587</xdr:rowOff>
    </xdr:from>
    <xdr:to>
      <xdr:col>6</xdr:col>
      <xdr:colOff>847725</xdr:colOff>
      <xdr:row>4</xdr:row>
      <xdr:rowOff>400050</xdr:rowOff>
    </xdr:to>
    <xdr:sp macro="" textlink="">
      <xdr:nvSpPr>
        <xdr:cNvPr id="5" name="Arrow: Down 4" descr="red downward arrow">
          <a:extLst>
            <a:ext uri="{FF2B5EF4-FFF2-40B4-BE49-F238E27FC236}">
              <a16:creationId xmlns:a16="http://schemas.microsoft.com/office/drawing/2014/main" id="{100E9F7F-9198-4950-AE85-2B963F997E8C}"/>
            </a:ext>
          </a:extLst>
        </xdr:cNvPr>
        <xdr:cNvSpPr/>
      </xdr:nvSpPr>
      <xdr:spPr>
        <a:xfrm>
          <a:off x="9504363" y="1760537"/>
          <a:ext cx="347662" cy="271463"/>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322262</xdr:colOff>
      <xdr:row>4</xdr:row>
      <xdr:rowOff>38100</xdr:rowOff>
    </xdr:from>
    <xdr:to>
      <xdr:col>5</xdr:col>
      <xdr:colOff>617537</xdr:colOff>
      <xdr:row>4</xdr:row>
      <xdr:rowOff>314323</xdr:rowOff>
    </xdr:to>
    <xdr:sp macro="" textlink="">
      <xdr:nvSpPr>
        <xdr:cNvPr id="6" name="Flowchart: Connector 5" descr="amber circle">
          <a:extLst>
            <a:ext uri="{FF2B5EF4-FFF2-40B4-BE49-F238E27FC236}">
              <a16:creationId xmlns:a16="http://schemas.microsoft.com/office/drawing/2014/main" id="{8D28A01E-F766-4540-88EC-F22F1D5593F9}"/>
            </a:ext>
          </a:extLst>
        </xdr:cNvPr>
        <xdr:cNvSpPr/>
      </xdr:nvSpPr>
      <xdr:spPr>
        <a:xfrm>
          <a:off x="8361362" y="1670050"/>
          <a:ext cx="295275" cy="276223"/>
        </a:xfrm>
        <a:prstGeom prst="flowChartConnector">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315912</xdr:colOff>
      <xdr:row>5</xdr:row>
      <xdr:rowOff>31750</xdr:rowOff>
    </xdr:from>
    <xdr:to>
      <xdr:col>5</xdr:col>
      <xdr:colOff>611187</xdr:colOff>
      <xdr:row>5</xdr:row>
      <xdr:rowOff>307973</xdr:rowOff>
    </xdr:to>
    <xdr:sp macro="" textlink="">
      <xdr:nvSpPr>
        <xdr:cNvPr id="7" name="Flowchart: Connector 6" descr="green circle">
          <a:extLst>
            <a:ext uri="{FF2B5EF4-FFF2-40B4-BE49-F238E27FC236}">
              <a16:creationId xmlns:a16="http://schemas.microsoft.com/office/drawing/2014/main" id="{0CB3FC3F-3932-46C5-93F9-E5044354DD7F}"/>
            </a:ext>
          </a:extLst>
        </xdr:cNvPr>
        <xdr:cNvSpPr/>
      </xdr:nvSpPr>
      <xdr:spPr>
        <a:xfrm>
          <a:off x="8355012" y="2171700"/>
          <a:ext cx="295275" cy="276223"/>
        </a:xfrm>
        <a:prstGeom prst="flowChartConnector">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328612</xdr:colOff>
      <xdr:row>6</xdr:row>
      <xdr:rowOff>50800</xdr:rowOff>
    </xdr:from>
    <xdr:to>
      <xdr:col>5</xdr:col>
      <xdr:colOff>623887</xdr:colOff>
      <xdr:row>6</xdr:row>
      <xdr:rowOff>327023</xdr:rowOff>
    </xdr:to>
    <xdr:sp macro="" textlink="">
      <xdr:nvSpPr>
        <xdr:cNvPr id="8" name="Flowchart: Connector 7" descr="Red circle">
          <a:extLst>
            <a:ext uri="{FF2B5EF4-FFF2-40B4-BE49-F238E27FC236}">
              <a16:creationId xmlns:a16="http://schemas.microsoft.com/office/drawing/2014/main" id="{28DCD4F2-D01F-4F78-949B-FA58DFA3DFAE}"/>
            </a:ext>
          </a:extLst>
        </xdr:cNvPr>
        <xdr:cNvSpPr/>
      </xdr:nvSpPr>
      <xdr:spPr>
        <a:xfrm>
          <a:off x="8367712" y="2698750"/>
          <a:ext cx="295275" cy="276223"/>
        </a:xfrm>
        <a:prstGeom prst="flowChartConnector">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328612</xdr:colOff>
      <xdr:row>7</xdr:row>
      <xdr:rowOff>50800</xdr:rowOff>
    </xdr:from>
    <xdr:to>
      <xdr:col>5</xdr:col>
      <xdr:colOff>623887</xdr:colOff>
      <xdr:row>7</xdr:row>
      <xdr:rowOff>327023</xdr:rowOff>
    </xdr:to>
    <xdr:sp macro="" textlink="">
      <xdr:nvSpPr>
        <xdr:cNvPr id="9" name="Flowchart: Connector 8" descr="Red circle">
          <a:extLst>
            <a:ext uri="{FF2B5EF4-FFF2-40B4-BE49-F238E27FC236}">
              <a16:creationId xmlns:a16="http://schemas.microsoft.com/office/drawing/2014/main" id="{8F1FC495-57B6-45BD-A233-B299D9FC81F0}"/>
            </a:ext>
          </a:extLst>
        </xdr:cNvPr>
        <xdr:cNvSpPr/>
      </xdr:nvSpPr>
      <xdr:spPr>
        <a:xfrm>
          <a:off x="8367712" y="3206750"/>
          <a:ext cx="295275" cy="276223"/>
        </a:xfrm>
        <a:prstGeom prst="flowChartConnector">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315912</xdr:colOff>
      <xdr:row>8</xdr:row>
      <xdr:rowOff>31750</xdr:rowOff>
    </xdr:from>
    <xdr:to>
      <xdr:col>5</xdr:col>
      <xdr:colOff>611187</xdr:colOff>
      <xdr:row>8</xdr:row>
      <xdr:rowOff>307973</xdr:rowOff>
    </xdr:to>
    <xdr:sp macro="" textlink="">
      <xdr:nvSpPr>
        <xdr:cNvPr id="10" name="Flowchart: Connector 9" descr="green circle">
          <a:extLst>
            <a:ext uri="{FF2B5EF4-FFF2-40B4-BE49-F238E27FC236}">
              <a16:creationId xmlns:a16="http://schemas.microsoft.com/office/drawing/2014/main" id="{F885DEAB-2846-4883-A3D0-B6A8075FD51E}"/>
            </a:ext>
          </a:extLst>
        </xdr:cNvPr>
        <xdr:cNvSpPr/>
      </xdr:nvSpPr>
      <xdr:spPr>
        <a:xfrm>
          <a:off x="8355012" y="3695700"/>
          <a:ext cx="295275" cy="276223"/>
        </a:xfrm>
        <a:prstGeom prst="flowChartConnector">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315912</xdr:colOff>
      <xdr:row>9</xdr:row>
      <xdr:rowOff>31750</xdr:rowOff>
    </xdr:from>
    <xdr:to>
      <xdr:col>5</xdr:col>
      <xdr:colOff>611187</xdr:colOff>
      <xdr:row>9</xdr:row>
      <xdr:rowOff>307973</xdr:rowOff>
    </xdr:to>
    <xdr:sp macro="" textlink="">
      <xdr:nvSpPr>
        <xdr:cNvPr id="11" name="Flowchart: Connector 10" descr="green circle">
          <a:extLst>
            <a:ext uri="{FF2B5EF4-FFF2-40B4-BE49-F238E27FC236}">
              <a16:creationId xmlns:a16="http://schemas.microsoft.com/office/drawing/2014/main" id="{79E07F8C-A11C-4226-91C4-217C7390506E}"/>
            </a:ext>
          </a:extLst>
        </xdr:cNvPr>
        <xdr:cNvSpPr/>
      </xdr:nvSpPr>
      <xdr:spPr>
        <a:xfrm>
          <a:off x="8355012" y="4203700"/>
          <a:ext cx="295275" cy="276223"/>
        </a:xfrm>
        <a:prstGeom prst="flowChartConnector">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315912</xdr:colOff>
      <xdr:row>10</xdr:row>
      <xdr:rowOff>31750</xdr:rowOff>
    </xdr:from>
    <xdr:to>
      <xdr:col>5</xdr:col>
      <xdr:colOff>611187</xdr:colOff>
      <xdr:row>10</xdr:row>
      <xdr:rowOff>307973</xdr:rowOff>
    </xdr:to>
    <xdr:sp macro="" textlink="">
      <xdr:nvSpPr>
        <xdr:cNvPr id="12" name="Flowchart: Connector 11" descr="green circle">
          <a:extLst>
            <a:ext uri="{FF2B5EF4-FFF2-40B4-BE49-F238E27FC236}">
              <a16:creationId xmlns:a16="http://schemas.microsoft.com/office/drawing/2014/main" id="{CE6D2F72-47DC-4647-8B2F-64D484B6B4D1}"/>
            </a:ext>
          </a:extLst>
        </xdr:cNvPr>
        <xdr:cNvSpPr/>
      </xdr:nvSpPr>
      <xdr:spPr>
        <a:xfrm>
          <a:off x="8355012" y="4711700"/>
          <a:ext cx="295275" cy="276223"/>
        </a:xfrm>
        <a:prstGeom prst="flowChartConnector">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315912</xdr:colOff>
      <xdr:row>11</xdr:row>
      <xdr:rowOff>31750</xdr:rowOff>
    </xdr:from>
    <xdr:to>
      <xdr:col>5</xdr:col>
      <xdr:colOff>611187</xdr:colOff>
      <xdr:row>11</xdr:row>
      <xdr:rowOff>307973</xdr:rowOff>
    </xdr:to>
    <xdr:sp macro="" textlink="">
      <xdr:nvSpPr>
        <xdr:cNvPr id="13" name="Flowchart: Connector 12" descr="green circle">
          <a:extLst>
            <a:ext uri="{FF2B5EF4-FFF2-40B4-BE49-F238E27FC236}">
              <a16:creationId xmlns:a16="http://schemas.microsoft.com/office/drawing/2014/main" id="{0D4ABCCB-B1B2-4F58-A4EF-A814556A5860}"/>
            </a:ext>
          </a:extLst>
        </xdr:cNvPr>
        <xdr:cNvSpPr/>
      </xdr:nvSpPr>
      <xdr:spPr>
        <a:xfrm>
          <a:off x="8355012" y="5219700"/>
          <a:ext cx="295275" cy="276223"/>
        </a:xfrm>
        <a:prstGeom prst="flowChartConnector">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328612</xdr:colOff>
      <xdr:row>12</xdr:row>
      <xdr:rowOff>50800</xdr:rowOff>
    </xdr:from>
    <xdr:to>
      <xdr:col>5</xdr:col>
      <xdr:colOff>623887</xdr:colOff>
      <xdr:row>12</xdr:row>
      <xdr:rowOff>327023</xdr:rowOff>
    </xdr:to>
    <xdr:sp macro="" textlink="">
      <xdr:nvSpPr>
        <xdr:cNvPr id="14" name="Flowchart: Connector 13" descr="Red circle">
          <a:extLst>
            <a:ext uri="{FF2B5EF4-FFF2-40B4-BE49-F238E27FC236}">
              <a16:creationId xmlns:a16="http://schemas.microsoft.com/office/drawing/2014/main" id="{12B793E4-C03D-49D2-9F0B-782D45E0A603}"/>
            </a:ext>
          </a:extLst>
        </xdr:cNvPr>
        <xdr:cNvSpPr/>
      </xdr:nvSpPr>
      <xdr:spPr>
        <a:xfrm>
          <a:off x="8367712" y="5746750"/>
          <a:ext cx="295275" cy="276223"/>
        </a:xfrm>
        <a:prstGeom prst="flowChartConnector">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512763</xdr:colOff>
      <xdr:row>6</xdr:row>
      <xdr:rowOff>46037</xdr:rowOff>
    </xdr:from>
    <xdr:to>
      <xdr:col>6</xdr:col>
      <xdr:colOff>860425</xdr:colOff>
      <xdr:row>6</xdr:row>
      <xdr:rowOff>317500</xdr:rowOff>
    </xdr:to>
    <xdr:sp macro="" textlink="">
      <xdr:nvSpPr>
        <xdr:cNvPr id="15" name="Arrow: Down 14" descr="red downward arrow">
          <a:extLst>
            <a:ext uri="{FF2B5EF4-FFF2-40B4-BE49-F238E27FC236}">
              <a16:creationId xmlns:a16="http://schemas.microsoft.com/office/drawing/2014/main" id="{B47F77D7-CDB5-4E2A-8CCD-BFD7751A152C}"/>
            </a:ext>
          </a:extLst>
        </xdr:cNvPr>
        <xdr:cNvSpPr/>
      </xdr:nvSpPr>
      <xdr:spPr>
        <a:xfrm>
          <a:off x="9517063" y="2693987"/>
          <a:ext cx="347662" cy="271463"/>
        </a:xfrm>
        <a:prstGeom prst="down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393700</xdr:colOff>
      <xdr:row>7</xdr:row>
      <xdr:rowOff>87312</xdr:rowOff>
    </xdr:from>
    <xdr:to>
      <xdr:col>6</xdr:col>
      <xdr:colOff>1008063</xdr:colOff>
      <xdr:row>7</xdr:row>
      <xdr:rowOff>325436</xdr:rowOff>
    </xdr:to>
    <xdr:sp macro="" textlink="">
      <xdr:nvSpPr>
        <xdr:cNvPr id="16" name="Equals 15" descr="equals sig">
          <a:extLst>
            <a:ext uri="{FF2B5EF4-FFF2-40B4-BE49-F238E27FC236}">
              <a16:creationId xmlns:a16="http://schemas.microsoft.com/office/drawing/2014/main" id="{9DFC29A9-E1A5-4492-A012-DB697BA2357A}"/>
            </a:ext>
          </a:extLst>
        </xdr:cNvPr>
        <xdr:cNvSpPr/>
      </xdr:nvSpPr>
      <xdr:spPr>
        <a:xfrm>
          <a:off x="9398000" y="3243262"/>
          <a:ext cx="614363" cy="238124"/>
        </a:xfrm>
        <a:prstGeom prst="mathEqual">
          <a:avLst>
            <a:gd name="adj1" fmla="val 23520"/>
            <a:gd name="adj2" fmla="val 11760"/>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6</xdr:col>
      <xdr:colOff>393700</xdr:colOff>
      <xdr:row>8</xdr:row>
      <xdr:rowOff>87312</xdr:rowOff>
    </xdr:from>
    <xdr:to>
      <xdr:col>6</xdr:col>
      <xdr:colOff>1008063</xdr:colOff>
      <xdr:row>8</xdr:row>
      <xdr:rowOff>325436</xdr:rowOff>
    </xdr:to>
    <xdr:sp macro="" textlink="">
      <xdr:nvSpPr>
        <xdr:cNvPr id="17" name="Equals 16" descr="equals sig">
          <a:extLst>
            <a:ext uri="{FF2B5EF4-FFF2-40B4-BE49-F238E27FC236}">
              <a16:creationId xmlns:a16="http://schemas.microsoft.com/office/drawing/2014/main" id="{9F9FA7CA-8AE9-47CA-97A9-25903985731B}"/>
            </a:ext>
          </a:extLst>
        </xdr:cNvPr>
        <xdr:cNvSpPr/>
      </xdr:nvSpPr>
      <xdr:spPr>
        <a:xfrm>
          <a:off x="9398000" y="3751262"/>
          <a:ext cx="614363" cy="238124"/>
        </a:xfrm>
        <a:prstGeom prst="mathEqual">
          <a:avLst>
            <a:gd name="adj1" fmla="val 23520"/>
            <a:gd name="adj2" fmla="val 11760"/>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6</xdr:col>
      <xdr:colOff>393700</xdr:colOff>
      <xdr:row>9</xdr:row>
      <xdr:rowOff>87312</xdr:rowOff>
    </xdr:from>
    <xdr:to>
      <xdr:col>6</xdr:col>
      <xdr:colOff>1008063</xdr:colOff>
      <xdr:row>9</xdr:row>
      <xdr:rowOff>325436</xdr:rowOff>
    </xdr:to>
    <xdr:sp macro="" textlink="">
      <xdr:nvSpPr>
        <xdr:cNvPr id="18" name="Equals 17" descr="equals sig">
          <a:extLst>
            <a:ext uri="{FF2B5EF4-FFF2-40B4-BE49-F238E27FC236}">
              <a16:creationId xmlns:a16="http://schemas.microsoft.com/office/drawing/2014/main" id="{1CE63CF4-B018-46C9-9A59-88F88C79F27E}"/>
            </a:ext>
          </a:extLst>
        </xdr:cNvPr>
        <xdr:cNvSpPr/>
      </xdr:nvSpPr>
      <xdr:spPr>
        <a:xfrm>
          <a:off x="9398000" y="4259262"/>
          <a:ext cx="614363" cy="238124"/>
        </a:xfrm>
        <a:prstGeom prst="mathEqual">
          <a:avLst>
            <a:gd name="adj1" fmla="val 23520"/>
            <a:gd name="adj2" fmla="val 11760"/>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6</xdr:col>
      <xdr:colOff>393700</xdr:colOff>
      <xdr:row>10</xdr:row>
      <xdr:rowOff>87312</xdr:rowOff>
    </xdr:from>
    <xdr:to>
      <xdr:col>6</xdr:col>
      <xdr:colOff>1008063</xdr:colOff>
      <xdr:row>10</xdr:row>
      <xdr:rowOff>325436</xdr:rowOff>
    </xdr:to>
    <xdr:sp macro="" textlink="">
      <xdr:nvSpPr>
        <xdr:cNvPr id="19" name="Equals 18" descr="equals sig">
          <a:extLst>
            <a:ext uri="{FF2B5EF4-FFF2-40B4-BE49-F238E27FC236}">
              <a16:creationId xmlns:a16="http://schemas.microsoft.com/office/drawing/2014/main" id="{16C83F8B-21C4-4595-B36C-0E64BF65BF99}"/>
            </a:ext>
          </a:extLst>
        </xdr:cNvPr>
        <xdr:cNvSpPr/>
      </xdr:nvSpPr>
      <xdr:spPr>
        <a:xfrm>
          <a:off x="9398000" y="4767262"/>
          <a:ext cx="614363" cy="238124"/>
        </a:xfrm>
        <a:prstGeom prst="mathEqual">
          <a:avLst>
            <a:gd name="adj1" fmla="val 23520"/>
            <a:gd name="adj2" fmla="val 11760"/>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6</xdr:col>
      <xdr:colOff>393700</xdr:colOff>
      <xdr:row>11</xdr:row>
      <xdr:rowOff>87312</xdr:rowOff>
    </xdr:from>
    <xdr:to>
      <xdr:col>6</xdr:col>
      <xdr:colOff>1008063</xdr:colOff>
      <xdr:row>11</xdr:row>
      <xdr:rowOff>325436</xdr:rowOff>
    </xdr:to>
    <xdr:sp macro="" textlink="">
      <xdr:nvSpPr>
        <xdr:cNvPr id="20" name="Equals 19" descr="equals sig">
          <a:extLst>
            <a:ext uri="{FF2B5EF4-FFF2-40B4-BE49-F238E27FC236}">
              <a16:creationId xmlns:a16="http://schemas.microsoft.com/office/drawing/2014/main" id="{D59829FE-DCC9-4424-B89D-36FB65338B2F}"/>
            </a:ext>
          </a:extLst>
        </xdr:cNvPr>
        <xdr:cNvSpPr/>
      </xdr:nvSpPr>
      <xdr:spPr>
        <a:xfrm>
          <a:off x="9398000" y="5275262"/>
          <a:ext cx="614363" cy="238124"/>
        </a:xfrm>
        <a:prstGeom prst="mathEqual">
          <a:avLst>
            <a:gd name="adj1" fmla="val 23520"/>
            <a:gd name="adj2" fmla="val 11760"/>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6</xdr:col>
      <xdr:colOff>393700</xdr:colOff>
      <xdr:row>12</xdr:row>
      <xdr:rowOff>87312</xdr:rowOff>
    </xdr:from>
    <xdr:to>
      <xdr:col>6</xdr:col>
      <xdr:colOff>1008063</xdr:colOff>
      <xdr:row>12</xdr:row>
      <xdr:rowOff>325436</xdr:rowOff>
    </xdr:to>
    <xdr:sp macro="" textlink="">
      <xdr:nvSpPr>
        <xdr:cNvPr id="21" name="Equals 20" descr="equals sig">
          <a:extLst>
            <a:ext uri="{FF2B5EF4-FFF2-40B4-BE49-F238E27FC236}">
              <a16:creationId xmlns:a16="http://schemas.microsoft.com/office/drawing/2014/main" id="{1C627454-89B5-4983-9276-C4D677783466}"/>
            </a:ext>
          </a:extLst>
        </xdr:cNvPr>
        <xdr:cNvSpPr/>
      </xdr:nvSpPr>
      <xdr:spPr>
        <a:xfrm>
          <a:off x="9398000" y="5783262"/>
          <a:ext cx="614363" cy="238124"/>
        </a:xfrm>
        <a:prstGeom prst="mathEqual">
          <a:avLst>
            <a:gd name="adj1" fmla="val 23520"/>
            <a:gd name="adj2" fmla="val 11760"/>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255587</xdr:colOff>
      <xdr:row>2</xdr:row>
      <xdr:rowOff>438150</xdr:rowOff>
    </xdr:from>
    <xdr:to>
      <xdr:col>2</xdr:col>
      <xdr:colOff>708025</xdr:colOff>
      <xdr:row>2</xdr:row>
      <xdr:rowOff>866775</xdr:rowOff>
    </xdr:to>
    <xdr:sp macro="" textlink="">
      <xdr:nvSpPr>
        <xdr:cNvPr id="2" name="Flowchart: Connector 1" descr="red circle">
          <a:extLst>
            <a:ext uri="{FF2B5EF4-FFF2-40B4-BE49-F238E27FC236}">
              <a16:creationId xmlns:a16="http://schemas.microsoft.com/office/drawing/2014/main" id="{41FE9AA4-C777-4696-B7C1-B18BD033C574}"/>
            </a:ext>
          </a:extLst>
        </xdr:cNvPr>
        <xdr:cNvSpPr/>
      </xdr:nvSpPr>
      <xdr:spPr>
        <a:xfrm>
          <a:off x="4059237" y="914400"/>
          <a:ext cx="452438" cy="428625"/>
        </a:xfrm>
        <a:prstGeom prst="flowChartConnector">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400"/>
        </a:p>
      </xdr:txBody>
    </xdr:sp>
    <xdr:clientData/>
  </xdr:twoCellAnchor>
  <xdr:twoCellAnchor>
    <xdr:from>
      <xdr:col>2</xdr:col>
      <xdr:colOff>204787</xdr:colOff>
      <xdr:row>5</xdr:row>
      <xdr:rowOff>438150</xdr:rowOff>
    </xdr:from>
    <xdr:to>
      <xdr:col>2</xdr:col>
      <xdr:colOff>657225</xdr:colOff>
      <xdr:row>5</xdr:row>
      <xdr:rowOff>866775</xdr:rowOff>
    </xdr:to>
    <xdr:sp macro="" textlink="">
      <xdr:nvSpPr>
        <xdr:cNvPr id="5" name="Flowchart: Connector 4" descr="amber circle">
          <a:extLst>
            <a:ext uri="{FF2B5EF4-FFF2-40B4-BE49-F238E27FC236}">
              <a16:creationId xmlns:a16="http://schemas.microsoft.com/office/drawing/2014/main" id="{C4972111-BB3F-4465-9CC7-40EE2F7A3C0A}"/>
            </a:ext>
          </a:extLst>
        </xdr:cNvPr>
        <xdr:cNvSpPr/>
      </xdr:nvSpPr>
      <xdr:spPr>
        <a:xfrm>
          <a:off x="4040187" y="5105400"/>
          <a:ext cx="452438" cy="428625"/>
        </a:xfrm>
        <a:prstGeom prst="flowChartConnector">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400"/>
        </a:p>
      </xdr:txBody>
    </xdr:sp>
    <xdr:clientData/>
  </xdr:twoCellAnchor>
  <xdr:twoCellAnchor>
    <xdr:from>
      <xdr:col>2</xdr:col>
      <xdr:colOff>217487</xdr:colOff>
      <xdr:row>3</xdr:row>
      <xdr:rowOff>438150</xdr:rowOff>
    </xdr:from>
    <xdr:to>
      <xdr:col>2</xdr:col>
      <xdr:colOff>669925</xdr:colOff>
      <xdr:row>3</xdr:row>
      <xdr:rowOff>866775</xdr:rowOff>
    </xdr:to>
    <xdr:sp macro="" textlink="">
      <xdr:nvSpPr>
        <xdr:cNvPr id="6" name="Flowchart: Connector 5" descr="red circle">
          <a:extLst>
            <a:ext uri="{FF2B5EF4-FFF2-40B4-BE49-F238E27FC236}">
              <a16:creationId xmlns:a16="http://schemas.microsoft.com/office/drawing/2014/main" id="{5F46C414-563A-47FE-B40F-6011B224A336}"/>
            </a:ext>
          </a:extLst>
        </xdr:cNvPr>
        <xdr:cNvSpPr/>
      </xdr:nvSpPr>
      <xdr:spPr>
        <a:xfrm>
          <a:off x="4021137" y="2311400"/>
          <a:ext cx="452438" cy="428625"/>
        </a:xfrm>
        <a:prstGeom prst="flowChartConnector">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400"/>
        </a:p>
      </xdr:txBody>
    </xdr:sp>
    <xdr:clientData/>
  </xdr:twoCellAnchor>
  <xdr:twoCellAnchor>
    <xdr:from>
      <xdr:col>2</xdr:col>
      <xdr:colOff>223837</xdr:colOff>
      <xdr:row>4</xdr:row>
      <xdr:rowOff>438150</xdr:rowOff>
    </xdr:from>
    <xdr:to>
      <xdr:col>2</xdr:col>
      <xdr:colOff>676275</xdr:colOff>
      <xdr:row>4</xdr:row>
      <xdr:rowOff>866775</xdr:rowOff>
    </xdr:to>
    <xdr:sp macro="" textlink="">
      <xdr:nvSpPr>
        <xdr:cNvPr id="7" name="Flowchart: Connector 6" descr="red circle">
          <a:extLst>
            <a:ext uri="{FF2B5EF4-FFF2-40B4-BE49-F238E27FC236}">
              <a16:creationId xmlns:a16="http://schemas.microsoft.com/office/drawing/2014/main" id="{9AF2D966-B684-4AD5-9269-E02C9E7C2A7F}"/>
            </a:ext>
          </a:extLst>
        </xdr:cNvPr>
        <xdr:cNvSpPr/>
      </xdr:nvSpPr>
      <xdr:spPr>
        <a:xfrm>
          <a:off x="4027487" y="3708400"/>
          <a:ext cx="452438" cy="428625"/>
        </a:xfrm>
        <a:prstGeom prst="flowChartConnector">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4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becky_edwards_education_gov_uk/Documents/FEC%20Strategy%20workstreams/Model%20management%20accounts%20update/Management%20Accounts/Tables%20for%20management%20acccounts%20(old).xlsx" TargetMode="External"/><Relationship Id="rId2" Type="http://schemas.openxmlformats.org/officeDocument/2006/relationships/externalLinkPath" Target="https://educationgovuk-my.sharepoint.com/personal/becky_edwards_education_gov_uk/Documents/FEC%20Strategy%20workstreams/Model%20management%20accounts%20update/Management%20Accounts/Tables%20for%20management%20acccounts%20(old).xlsx" TargetMode="External"/><Relationship Id="rId1" Type="http://schemas.openxmlformats.org/officeDocument/2006/relationships/externalLinkPath" Target="/personal/becky_edwards_education_gov_uk/Documents/FEC%20Strategy%20workstreams/Model%20management%20accounts%20update/Management%20Accounts/Tables%20for%20management%20acccounts%20(ol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educationgovuk-my.sharepoint.com/personal/becky_edwards_education_gov_uk/Documents/FEC%20Strategy%20workstreams/Model%20management%20accounts%20update/March%202026%20update/COMPARATOR%20V2%20%20%20%20MA%20Exemplar%20schedules%20for%20word%20commentary%20-%20updated%20AW%20March%202024.xlsx" TargetMode="External"/><Relationship Id="rId1" Type="http://schemas.openxmlformats.org/officeDocument/2006/relationships/externalLinkPath" Target="COMPARATOR%20V2%20%20%20%20MA%20Exemplar%20schedules%20for%20word%20commentary%20-%20updated%20AW%20March%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ntents"/>
      <sheetName val="Summary"/>
      <sheetName val="Bal Sheet"/>
      <sheetName val="I&amp;E"/>
      <sheetName val="Cash"/>
      <sheetName val="Cash graph"/>
      <sheetName val="Fin Health &amp; Loan"/>
      <sheetName val="KPIs"/>
      <sheetName val="Capital"/>
      <sheetName val="I&amp;E Bridge"/>
      <sheetName val="Risks &amp; Senstivities"/>
      <sheetName val="Issues for further review"/>
      <sheetName val="Cash use "/>
      <sheetName val="Staff"/>
      <sheetName val="Drs &amp; Crs"/>
      <sheetName val="Learner Numbers"/>
      <sheetName val="Risks &amp; Senstivities (2)"/>
      <sheetName val="Sub-Contractors"/>
      <sheetName val="Trading &amp; Projects"/>
    </sheetNames>
    <sheetDataSet>
      <sheetData sheetId="0"/>
      <sheetData sheetId="1"/>
      <sheetData sheetId="2">
        <row r="18">
          <cell r="F18">
            <v>2281</v>
          </cell>
          <cell r="G18">
            <v>2082</v>
          </cell>
        </row>
        <row r="22">
          <cell r="F22">
            <v>396</v>
          </cell>
          <cell r="G22">
            <v>396</v>
          </cell>
        </row>
        <row r="33">
          <cell r="F33">
            <v>0.89363976483164087</v>
          </cell>
          <cell r="G33">
            <v>0.830304649919829</v>
          </cell>
        </row>
        <row r="36">
          <cell r="F36">
            <v>7524</v>
          </cell>
          <cell r="G36">
            <v>7524</v>
          </cell>
        </row>
        <row r="39">
          <cell r="F39">
            <v>0.37667649576714546</v>
          </cell>
          <cell r="G39">
            <v>0.38316400580551524</v>
          </cell>
        </row>
        <row r="45">
          <cell r="F45">
            <v>3412</v>
          </cell>
          <cell r="G45">
            <v>3170</v>
          </cell>
        </row>
      </sheetData>
      <sheetData sheetId="3">
        <row r="56">
          <cell r="G56">
            <v>655</v>
          </cell>
          <cell r="H56">
            <v>905</v>
          </cell>
        </row>
        <row r="57">
          <cell r="G57">
            <v>3.1688437348814706E-2</v>
          </cell>
          <cell r="H57">
            <v>4.3041948064301339E-2</v>
          </cell>
        </row>
      </sheetData>
      <sheetData sheetId="4"/>
      <sheetData sheetId="5"/>
      <sheetData sheetId="6"/>
      <sheetData sheetId="7"/>
      <sheetData sheetId="8"/>
      <sheetData sheetId="9"/>
      <sheetData sheetId="10"/>
      <sheetData sheetId="11"/>
      <sheetData sheetId="12">
        <row r="4">
          <cell r="B4">
            <v>907</v>
          </cell>
          <cell r="C4">
            <v>698.92207575757698</v>
          </cell>
        </row>
        <row r="7">
          <cell r="B7">
            <v>-720</v>
          </cell>
          <cell r="C7">
            <v>-720</v>
          </cell>
        </row>
      </sheetData>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Summary - New March 2024"/>
      <sheetName val="Bal Sheet"/>
      <sheetName val="I&amp;E"/>
      <sheetName val="Cash"/>
      <sheetName val="Cash graph"/>
      <sheetName val="Fin Health &amp; Loan"/>
      <sheetName val="KPIs"/>
      <sheetName val="Capital"/>
      <sheetName val="I&amp;E Bridge"/>
      <sheetName val="Risks &amp; Senstivities"/>
      <sheetName val="Issues for further review"/>
      <sheetName val="Cash use "/>
      <sheetName val="Staff"/>
      <sheetName val="Drs &amp; Crs"/>
      <sheetName val="Learner Numbers"/>
      <sheetName val="Sub-Contractors"/>
      <sheetName val="Trading &amp; Projects"/>
    </sheetNames>
    <sheetDataSet>
      <sheetData sheetId="0"/>
      <sheetData sheetId="1"/>
      <sheetData sheetId="2"/>
      <sheetData sheetId="3"/>
      <sheetData sheetId="4">
        <row r="4">
          <cell r="B4" t="str">
            <v>Aug</v>
          </cell>
          <cell r="C4" t="str">
            <v>Sep</v>
          </cell>
          <cell r="D4" t="str">
            <v>Oct</v>
          </cell>
          <cell r="E4" t="str">
            <v>Nov</v>
          </cell>
          <cell r="F4" t="str">
            <v>Dec</v>
          </cell>
          <cell r="G4" t="str">
            <v>Jan 202X</v>
          </cell>
          <cell r="H4" t="str">
            <v>Feb</v>
          </cell>
          <cell r="I4" t="str">
            <v>Mar</v>
          </cell>
          <cell r="J4" t="str">
            <v>Apr</v>
          </cell>
          <cell r="K4" t="str">
            <v>May</v>
          </cell>
          <cell r="L4" t="str">
            <v>Jun</v>
          </cell>
          <cell r="M4" t="str">
            <v>Jul</v>
          </cell>
          <cell r="N4" t="str">
            <v>Aug</v>
          </cell>
          <cell r="O4" t="str">
            <v>Sep</v>
          </cell>
          <cell r="P4" t="str">
            <v>Oct</v>
          </cell>
          <cell r="Q4" t="str">
            <v>Nov</v>
          </cell>
          <cell r="R4" t="str">
            <v>Dec</v>
          </cell>
          <cell r="S4" t="str">
            <v>Jan</v>
          </cell>
        </row>
        <row r="43">
          <cell r="B43">
            <v>2855.0833333333335</v>
          </cell>
          <cell r="C43">
            <v>2507.74834469697</v>
          </cell>
          <cell r="D43">
            <v>2545.6341893939398</v>
          </cell>
          <cell r="E43">
            <v>2248.7591893939398</v>
          </cell>
          <cell r="F43">
            <v>2429.3425227272733</v>
          </cell>
          <cell r="G43">
            <v>2089.9258560606067</v>
          </cell>
          <cell r="H43">
            <v>2157.2279393939402</v>
          </cell>
          <cell r="I43">
            <v>1834.5929393939402</v>
          </cell>
          <cell r="J43">
            <v>1503.1179393939403</v>
          </cell>
          <cell r="K43">
            <v>2331.0616590909103</v>
          </cell>
          <cell r="L43">
            <v>2235.5637424242441</v>
          </cell>
          <cell r="M43">
            <v>2080.9220757575777</v>
          </cell>
          <cell r="N43">
            <v>2070.455409090911</v>
          </cell>
          <cell r="O43">
            <v>1688.9787424242443</v>
          </cell>
          <cell r="P43">
            <v>1226.7120757575778</v>
          </cell>
          <cell r="Q43">
            <v>1315.1654090909112</v>
          </cell>
          <cell r="R43">
            <v>1220.8787424242448</v>
          </cell>
          <cell r="S43">
            <v>941.12874242424482</v>
          </cell>
        </row>
        <row r="47">
          <cell r="A47" t="str">
            <v>Budget closing balance</v>
          </cell>
          <cell r="B47">
            <v>2895</v>
          </cell>
          <cell r="C47">
            <v>2745</v>
          </cell>
          <cell r="D47">
            <v>2595</v>
          </cell>
          <cell r="E47">
            <v>2445</v>
          </cell>
          <cell r="F47">
            <v>2345</v>
          </cell>
          <cell r="G47">
            <v>1945</v>
          </cell>
          <cell r="H47">
            <v>1985</v>
          </cell>
          <cell r="I47">
            <v>1785</v>
          </cell>
          <cell r="J47">
            <v>1435</v>
          </cell>
          <cell r="K47">
            <v>2285</v>
          </cell>
          <cell r="L47">
            <v>2285</v>
          </cell>
          <cell r="M47">
            <v>2281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A4107-BDF7-4AEE-BEAE-C4072C74998C}">
  <sheetPr codeName="Sheet1"/>
  <dimension ref="A2:M36"/>
  <sheetViews>
    <sheetView showGridLines="0" tabSelected="1" workbookViewId="0">
      <selection sqref="A1:A1048576"/>
    </sheetView>
  </sheetViews>
  <sheetFormatPr defaultRowHeight="14.5" x14ac:dyDescent="0.35"/>
  <cols>
    <col min="1" max="1" width="39.26953125" customWidth="1"/>
    <col min="2" max="3" width="11.81640625" customWidth="1"/>
    <col min="4" max="4" width="11" customWidth="1"/>
    <col min="5" max="5" width="1" customWidth="1"/>
    <col min="6" max="8" width="11.81640625" customWidth="1"/>
    <col min="9" max="9" width="1" customWidth="1"/>
    <col min="10" max="11" width="11.81640625" customWidth="1"/>
    <col min="15" max="15" width="40.7265625" customWidth="1"/>
    <col min="16" max="17" width="12.7265625" customWidth="1"/>
    <col min="18" max="18" width="2.7265625" customWidth="1"/>
    <col min="19" max="19" width="12.7265625" customWidth="1"/>
  </cols>
  <sheetData>
    <row r="2" spans="1:11" ht="15" thickBot="1" x14ac:dyDescent="0.4"/>
    <row r="3" spans="1:11" ht="15.5" x14ac:dyDescent="0.35">
      <c r="A3" s="798" t="s">
        <v>268</v>
      </c>
      <c r="B3" s="533" t="s">
        <v>8</v>
      </c>
      <c r="C3" s="534"/>
      <c r="D3" s="535"/>
      <c r="E3" s="454"/>
      <c r="F3" s="536" t="s">
        <v>2</v>
      </c>
      <c r="G3" s="534"/>
      <c r="H3" s="535"/>
      <c r="I3" s="454"/>
      <c r="J3" s="536" t="s">
        <v>3</v>
      </c>
      <c r="K3" s="537"/>
    </row>
    <row r="4" spans="1:11" ht="15.5" x14ac:dyDescent="0.35">
      <c r="A4" s="799"/>
      <c r="B4" s="455" t="s">
        <v>4</v>
      </c>
      <c r="C4" s="456" t="s">
        <v>5</v>
      </c>
      <c r="D4" s="457" t="s">
        <v>6</v>
      </c>
      <c r="E4" s="458"/>
      <c r="F4" s="459" t="s">
        <v>7</v>
      </c>
      <c r="G4" s="459" t="s">
        <v>5</v>
      </c>
      <c r="H4" s="457" t="s">
        <v>6</v>
      </c>
      <c r="I4" s="458"/>
      <c r="J4" s="460" t="s">
        <v>8</v>
      </c>
      <c r="K4" s="461" t="s">
        <v>2</v>
      </c>
    </row>
    <row r="5" spans="1:11" ht="15.5" x14ac:dyDescent="0.35">
      <c r="A5" s="800"/>
      <c r="B5" s="462" t="s">
        <v>269</v>
      </c>
      <c r="C5" s="462" t="s">
        <v>269</v>
      </c>
      <c r="D5" s="463" t="s">
        <v>269</v>
      </c>
      <c r="E5" s="458"/>
      <c r="F5" s="462" t="s">
        <v>269</v>
      </c>
      <c r="G5" s="462" t="s">
        <v>269</v>
      </c>
      <c r="H5" s="463" t="s">
        <v>269</v>
      </c>
      <c r="I5" s="458"/>
      <c r="J5" s="464" t="s">
        <v>269</v>
      </c>
      <c r="K5" s="465" t="s">
        <v>269</v>
      </c>
    </row>
    <row r="6" spans="1:11" ht="15.5" x14ac:dyDescent="0.35">
      <c r="A6" s="466"/>
      <c r="B6" s="467"/>
      <c r="C6" s="468"/>
      <c r="D6" s="469"/>
      <c r="E6" s="458"/>
      <c r="F6" s="467"/>
      <c r="G6" s="468"/>
      <c r="H6" s="469"/>
      <c r="I6" s="458"/>
      <c r="J6" s="470"/>
      <c r="K6" s="471"/>
    </row>
    <row r="7" spans="1:11" ht="15.5" x14ac:dyDescent="0.35">
      <c r="A7" s="472" t="s">
        <v>270</v>
      </c>
      <c r="B7" s="473">
        <v>10147</v>
      </c>
      <c r="C7" s="474">
        <v>10349</v>
      </c>
      <c r="D7" s="475">
        <f>B7-C7</f>
        <v>-202</v>
      </c>
      <c r="E7" s="458"/>
      <c r="F7" s="473">
        <v>20670</v>
      </c>
      <c r="G7" s="474">
        <v>21026</v>
      </c>
      <c r="H7" s="475">
        <f>F7-G7</f>
        <v>-356</v>
      </c>
      <c r="I7" s="458"/>
      <c r="J7" s="476">
        <v>10709</v>
      </c>
      <c r="K7" s="477">
        <v>21803</v>
      </c>
    </row>
    <row r="8" spans="1:11" ht="15.5" x14ac:dyDescent="0.35">
      <c r="A8" s="472" t="s">
        <v>271</v>
      </c>
      <c r="B8" s="473">
        <v>7016</v>
      </c>
      <c r="C8" s="474">
        <v>7100</v>
      </c>
      <c r="D8" s="475">
        <f>C8-B8</f>
        <v>84</v>
      </c>
      <c r="E8" s="458"/>
      <c r="F8" s="473">
        <v>13896</v>
      </c>
      <c r="G8" s="474">
        <v>14112</v>
      </c>
      <c r="H8" s="475">
        <f>G8-F8</f>
        <v>216</v>
      </c>
      <c r="I8" s="458"/>
      <c r="J8" s="476">
        <v>6794</v>
      </c>
      <c r="K8" s="477">
        <v>13451</v>
      </c>
    </row>
    <row r="9" spans="1:11" ht="15.5" x14ac:dyDescent="0.35">
      <c r="A9" s="472" t="s">
        <v>272</v>
      </c>
      <c r="B9" s="473">
        <v>3168</v>
      </c>
      <c r="C9" s="474">
        <v>3140</v>
      </c>
      <c r="D9" s="475">
        <f>C9-B9</f>
        <v>-28</v>
      </c>
      <c r="E9" s="458"/>
      <c r="F9" s="473">
        <v>6119</v>
      </c>
      <c r="G9" s="474">
        <v>6009</v>
      </c>
      <c r="H9" s="475">
        <f>G9-F9</f>
        <v>-110</v>
      </c>
      <c r="I9" s="458"/>
      <c r="J9" s="476">
        <v>3288</v>
      </c>
      <c r="K9" s="477">
        <v>6459</v>
      </c>
    </row>
    <row r="10" spans="1:11" ht="15.5" x14ac:dyDescent="0.35">
      <c r="A10" s="466"/>
      <c r="B10" s="478"/>
      <c r="C10" s="479"/>
      <c r="D10" s="480"/>
      <c r="E10" s="458"/>
      <c r="F10" s="478"/>
      <c r="G10" s="479"/>
      <c r="H10" s="480"/>
      <c r="I10" s="458"/>
      <c r="J10" s="479"/>
      <c r="K10" s="481"/>
    </row>
    <row r="11" spans="1:11" ht="31" x14ac:dyDescent="0.35">
      <c r="A11" s="482" t="s">
        <v>273</v>
      </c>
      <c r="B11" s="483">
        <f>B7-B8-B9</f>
        <v>-37</v>
      </c>
      <c r="C11" s="484">
        <f>C7-C8-C9</f>
        <v>109</v>
      </c>
      <c r="D11" s="485">
        <f>B11-C11</f>
        <v>-146</v>
      </c>
      <c r="E11" s="458"/>
      <c r="F11" s="483">
        <f>F7-F8-F9</f>
        <v>655</v>
      </c>
      <c r="G11" s="484">
        <f>G7-G8-G9</f>
        <v>905</v>
      </c>
      <c r="H11" s="485">
        <f>F11-G11</f>
        <v>-250</v>
      </c>
      <c r="I11" s="458"/>
      <c r="J11" s="484">
        <f>J7-J8-J9</f>
        <v>627</v>
      </c>
      <c r="K11" s="486">
        <f>K7-K8-K9</f>
        <v>1893</v>
      </c>
    </row>
    <row r="12" spans="1:11" ht="15.5" x14ac:dyDescent="0.35">
      <c r="A12" s="466"/>
      <c r="B12" s="478"/>
      <c r="C12" s="479"/>
      <c r="D12" s="480"/>
      <c r="E12" s="458"/>
      <c r="F12" s="487"/>
      <c r="G12" s="487"/>
      <c r="H12" s="488"/>
      <c r="I12" s="458"/>
      <c r="J12" s="487"/>
      <c r="K12" s="489"/>
    </row>
    <row r="13" spans="1:11" ht="15.5" x14ac:dyDescent="0.35">
      <c r="A13" s="466" t="s">
        <v>274</v>
      </c>
      <c r="B13" s="478">
        <v>51</v>
      </c>
      <c r="C13" s="479">
        <v>51</v>
      </c>
      <c r="D13" s="490">
        <f>B13-C13</f>
        <v>0</v>
      </c>
      <c r="E13" s="458"/>
      <c r="F13" s="478">
        <v>102</v>
      </c>
      <c r="G13" s="478">
        <v>102</v>
      </c>
      <c r="H13" s="491">
        <f>G13-F13</f>
        <v>0</v>
      </c>
      <c r="I13" s="458"/>
      <c r="J13" s="478">
        <v>51</v>
      </c>
      <c r="K13" s="492">
        <v>102</v>
      </c>
    </row>
    <row r="14" spans="1:11" ht="15.5" x14ac:dyDescent="0.35">
      <c r="A14" s="472" t="s">
        <v>275</v>
      </c>
      <c r="B14" s="473">
        <v>360</v>
      </c>
      <c r="C14" s="474">
        <v>360</v>
      </c>
      <c r="D14" s="490">
        <f>B14-C14</f>
        <v>0</v>
      </c>
      <c r="E14" s="458"/>
      <c r="F14" s="473">
        <v>715</v>
      </c>
      <c r="G14" s="474">
        <v>720</v>
      </c>
      <c r="H14" s="474">
        <f>G14-F14</f>
        <v>5</v>
      </c>
      <c r="I14" s="458"/>
      <c r="J14" s="473">
        <v>365</v>
      </c>
      <c r="K14" s="493">
        <v>729</v>
      </c>
    </row>
    <row r="15" spans="1:11" ht="15.5" x14ac:dyDescent="0.35">
      <c r="A15" s="472" t="s">
        <v>276</v>
      </c>
      <c r="B15" s="473">
        <f>236-7</f>
        <v>229</v>
      </c>
      <c r="C15" s="474">
        <f>234-9</f>
        <v>225</v>
      </c>
      <c r="D15" s="474">
        <f>C15-B15</f>
        <v>-4</v>
      </c>
      <c r="E15" s="458"/>
      <c r="F15" s="473">
        <f>316-12</f>
        <v>304</v>
      </c>
      <c r="G15" s="474">
        <f>322-15</f>
        <v>307</v>
      </c>
      <c r="H15" s="474">
        <f>F15-G15</f>
        <v>-3</v>
      </c>
      <c r="I15" s="458"/>
      <c r="J15" s="473">
        <f>233-12</f>
        <v>221</v>
      </c>
      <c r="K15" s="493">
        <f>461-22</f>
        <v>439</v>
      </c>
    </row>
    <row r="16" spans="1:11" ht="15.5" x14ac:dyDescent="0.35">
      <c r="A16" s="466"/>
      <c r="B16" s="494"/>
      <c r="C16" s="495"/>
      <c r="D16" s="496"/>
      <c r="E16" s="458"/>
      <c r="F16" s="494"/>
      <c r="G16" s="494"/>
      <c r="H16" s="495"/>
      <c r="I16" s="458"/>
      <c r="J16" s="494"/>
      <c r="K16" s="497"/>
    </row>
    <row r="17" spans="1:13" ht="15.5" x14ac:dyDescent="0.35">
      <c r="A17" s="498" t="s">
        <v>277</v>
      </c>
      <c r="B17" s="484">
        <f>B11+B13-B14-B15</f>
        <v>-575</v>
      </c>
      <c r="C17" s="484">
        <f>C11+C13-C14-C15</f>
        <v>-425</v>
      </c>
      <c r="D17" s="484">
        <f>B17-C17</f>
        <v>-150</v>
      </c>
      <c r="E17" s="499"/>
      <c r="F17" s="484">
        <f>F11-F14-F15+F13</f>
        <v>-262</v>
      </c>
      <c r="G17" s="484">
        <f>G11-G14-G15+G13</f>
        <v>-20</v>
      </c>
      <c r="H17" s="484">
        <f>F17-G17</f>
        <v>-242</v>
      </c>
      <c r="I17" s="499"/>
      <c r="J17" s="484">
        <f>J11-J14-J15+J13</f>
        <v>92</v>
      </c>
      <c r="K17" s="486">
        <f>K11-K14-K15+K13</f>
        <v>827</v>
      </c>
      <c r="L17" s="500"/>
      <c r="M17" s="500"/>
    </row>
    <row r="18" spans="1:13" ht="15.5" x14ac:dyDescent="0.35">
      <c r="A18" s="466"/>
      <c r="B18" s="487"/>
      <c r="C18" s="488"/>
      <c r="D18" s="501"/>
      <c r="E18" s="458"/>
      <c r="F18" s="487"/>
      <c r="G18" s="487"/>
      <c r="H18" s="488"/>
      <c r="I18" s="458"/>
      <c r="J18" s="487"/>
      <c r="K18" s="489"/>
    </row>
    <row r="19" spans="1:13" ht="15.5" x14ac:dyDescent="0.35">
      <c r="A19" s="472" t="s">
        <v>278</v>
      </c>
      <c r="B19" s="502">
        <v>0</v>
      </c>
      <c r="C19" s="502">
        <v>0</v>
      </c>
      <c r="D19" s="491">
        <v>0</v>
      </c>
      <c r="E19" s="458"/>
      <c r="F19" s="474">
        <v>-789</v>
      </c>
      <c r="G19" s="474">
        <v>-789</v>
      </c>
      <c r="H19" s="491">
        <f>F19-G19</f>
        <v>0</v>
      </c>
      <c r="I19" s="458"/>
      <c r="J19" s="502">
        <v>0</v>
      </c>
      <c r="K19" s="493">
        <v>-650</v>
      </c>
    </row>
    <row r="20" spans="1:13" ht="15.5" x14ac:dyDescent="0.35">
      <c r="A20" s="466"/>
      <c r="B20" s="494"/>
      <c r="C20" s="495"/>
      <c r="D20" s="496"/>
      <c r="E20" s="458"/>
      <c r="F20" s="494"/>
      <c r="G20" s="494"/>
      <c r="H20" s="495"/>
      <c r="I20" s="458"/>
      <c r="J20" s="494"/>
      <c r="K20" s="497"/>
    </row>
    <row r="21" spans="1:13" ht="16" thickBot="1" x14ac:dyDescent="0.4">
      <c r="A21" s="503" t="s">
        <v>279</v>
      </c>
      <c r="B21" s="504">
        <f>B17-B19</f>
        <v>-575</v>
      </c>
      <c r="C21" s="504">
        <f>C17-C19</f>
        <v>-425</v>
      </c>
      <c r="D21" s="504">
        <f>B21-C21</f>
        <v>-150</v>
      </c>
      <c r="E21" s="505"/>
      <c r="F21" s="504">
        <f>F17+F19</f>
        <v>-1051</v>
      </c>
      <c r="G21" s="504">
        <f>G17+G19</f>
        <v>-809</v>
      </c>
      <c r="H21" s="504">
        <f>F21-G21</f>
        <v>-242</v>
      </c>
      <c r="I21" s="505"/>
      <c r="J21" s="504">
        <f>J17-J19</f>
        <v>92</v>
      </c>
      <c r="K21" s="506">
        <f>K17+K19</f>
        <v>177</v>
      </c>
      <c r="L21" s="500"/>
      <c r="M21" s="500"/>
    </row>
    <row r="22" spans="1:13" x14ac:dyDescent="0.35">
      <c r="L22" s="500"/>
      <c r="M22" s="500"/>
    </row>
    <row r="24" spans="1:13" ht="68.5" customHeight="1" x14ac:dyDescent="0.35"/>
    <row r="26" spans="1:13" ht="15" customHeight="1" x14ac:dyDescent="0.35"/>
    <row r="27" spans="1:13" ht="15" customHeight="1" x14ac:dyDescent="0.35"/>
    <row r="28" spans="1:13" ht="15" customHeight="1" x14ac:dyDescent="0.35"/>
    <row r="29" spans="1:13" ht="15" customHeight="1" x14ac:dyDescent="0.35"/>
    <row r="30" spans="1:13" ht="15" customHeight="1" x14ac:dyDescent="0.35"/>
    <row r="31" spans="1:13" ht="15" customHeight="1" x14ac:dyDescent="0.35"/>
    <row r="32" spans="1:13" ht="15" customHeight="1" x14ac:dyDescent="0.35"/>
    <row r="33" ht="15" customHeight="1" x14ac:dyDescent="0.35"/>
    <row r="34" ht="15" customHeight="1" x14ac:dyDescent="0.35"/>
    <row r="35" ht="15" customHeight="1" x14ac:dyDescent="0.35"/>
    <row r="36" ht="15" customHeight="1" x14ac:dyDescent="0.35"/>
  </sheetData>
  <mergeCells count="1">
    <mergeCell ref="A3:A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67A72-F680-4187-B582-8E965CC96628}">
  <sheetPr codeName="Sheet2"/>
  <dimension ref="A1:M18"/>
  <sheetViews>
    <sheetView showGridLines="0" workbookViewId="0">
      <selection activeCell="B16" sqref="B16"/>
    </sheetView>
  </sheetViews>
  <sheetFormatPr defaultRowHeight="14.5" x14ac:dyDescent="0.35"/>
  <cols>
    <col min="1" max="1" width="39.26953125" customWidth="1"/>
    <col min="2" max="3" width="11.81640625" customWidth="1"/>
    <col min="4" max="4" width="1.7265625" customWidth="1"/>
    <col min="5" max="5" width="11.7265625" customWidth="1"/>
    <col min="6" max="8" width="11.81640625" customWidth="1"/>
    <col min="9" max="9" width="12" customWidth="1"/>
    <col min="10" max="11" width="11.81640625" customWidth="1"/>
    <col min="15" max="15" width="40.7265625" customWidth="1"/>
    <col min="16" max="17" width="12.7265625" customWidth="1"/>
    <col min="18" max="18" width="2.7265625" customWidth="1"/>
    <col min="19" max="19" width="12.7265625" customWidth="1"/>
  </cols>
  <sheetData>
    <row r="1" spans="1:13" x14ac:dyDescent="0.35">
      <c r="L1" s="500"/>
      <c r="M1" s="500"/>
    </row>
    <row r="2" spans="1:13" x14ac:dyDescent="0.35">
      <c r="A2" s="507"/>
      <c r="B2" s="508"/>
      <c r="C2" s="508"/>
      <c r="D2" s="508"/>
      <c r="E2" s="500"/>
      <c r="F2" s="508"/>
      <c r="G2" s="508"/>
      <c r="H2" s="508"/>
      <c r="I2" s="500"/>
      <c r="J2" s="508"/>
      <c r="K2" s="508"/>
      <c r="L2" s="500"/>
      <c r="M2" s="500"/>
    </row>
    <row r="3" spans="1:13" x14ac:dyDescent="0.35">
      <c r="A3" s="801" t="s">
        <v>280</v>
      </c>
      <c r="B3" s="526" t="s">
        <v>281</v>
      </c>
      <c r="C3" s="538"/>
      <c r="D3" s="509"/>
      <c r="E3" s="510" t="s">
        <v>3</v>
      </c>
    </row>
    <row r="4" spans="1:13" x14ac:dyDescent="0.35">
      <c r="A4" s="802"/>
      <c r="B4" s="511" t="s">
        <v>7</v>
      </c>
      <c r="C4" s="512" t="s">
        <v>5</v>
      </c>
      <c r="D4" s="508"/>
      <c r="E4" s="510" t="s">
        <v>2</v>
      </c>
    </row>
    <row r="5" spans="1:13" ht="15" customHeight="1" x14ac:dyDescent="0.35">
      <c r="A5" s="513"/>
      <c r="B5" s="514"/>
      <c r="C5" s="515"/>
      <c r="D5" s="516"/>
      <c r="E5" s="515"/>
    </row>
    <row r="6" spans="1:13" ht="15" customHeight="1" x14ac:dyDescent="0.35">
      <c r="A6" s="517" t="s">
        <v>67</v>
      </c>
      <c r="B6" s="518">
        <v>3.2000000000000001E-2</v>
      </c>
      <c r="C6" s="519">
        <v>4.2999999999999997E-2</v>
      </c>
      <c r="D6" s="516"/>
      <c r="E6" s="519">
        <v>8.6999999999999994E-2</v>
      </c>
    </row>
    <row r="7" spans="1:13" ht="15" customHeight="1" x14ac:dyDescent="0.35">
      <c r="A7" s="520"/>
      <c r="B7" s="521"/>
      <c r="C7" s="522"/>
      <c r="D7" s="523"/>
      <c r="E7" s="522"/>
    </row>
    <row r="8" spans="1:13" ht="15" customHeight="1" x14ac:dyDescent="0.35">
      <c r="A8" s="517" t="s">
        <v>282</v>
      </c>
      <c r="B8" s="524">
        <v>0.68</v>
      </c>
      <c r="C8" s="525">
        <v>0.67</v>
      </c>
      <c r="D8" s="523"/>
      <c r="E8" s="525">
        <f>62%</f>
        <v>0.62</v>
      </c>
    </row>
    <row r="9" spans="1:13" ht="15" customHeight="1" x14ac:dyDescent="0.35">
      <c r="A9" s="520"/>
      <c r="B9" s="521"/>
      <c r="C9" s="522"/>
      <c r="D9" s="523"/>
      <c r="E9" s="522"/>
    </row>
    <row r="10" spans="1:13" ht="15" customHeight="1" x14ac:dyDescent="0.35">
      <c r="A10" s="517" t="s">
        <v>283</v>
      </c>
      <c r="B10" s="526">
        <v>2082</v>
      </c>
      <c r="C10" s="527">
        <v>2281</v>
      </c>
      <c r="D10" s="516"/>
      <c r="E10" s="527">
        <v>2780</v>
      </c>
    </row>
    <row r="11" spans="1:13" ht="15" customHeight="1" x14ac:dyDescent="0.35">
      <c r="A11" s="520"/>
      <c r="B11" s="521"/>
      <c r="C11" s="522"/>
      <c r="D11" s="523"/>
      <c r="E11" s="522"/>
    </row>
    <row r="12" spans="1:13" ht="15" customHeight="1" x14ac:dyDescent="0.35">
      <c r="A12" s="517" t="s">
        <v>284</v>
      </c>
      <c r="B12" s="528">
        <v>38</v>
      </c>
      <c r="C12" s="529">
        <v>41</v>
      </c>
      <c r="D12" s="523"/>
      <c r="E12" s="529">
        <v>52</v>
      </c>
    </row>
    <row r="13" spans="1:13" ht="15" customHeight="1" x14ac:dyDescent="0.35">
      <c r="A13" s="520"/>
      <c r="B13" s="521"/>
      <c r="C13" s="522"/>
      <c r="D13" s="523"/>
      <c r="E13" s="522"/>
    </row>
    <row r="14" spans="1:13" ht="15" customHeight="1" x14ac:dyDescent="0.35">
      <c r="A14" s="517" t="s">
        <v>285</v>
      </c>
      <c r="B14" s="528" t="s">
        <v>286</v>
      </c>
      <c r="C14" s="529" t="s">
        <v>286</v>
      </c>
      <c r="D14" s="523"/>
      <c r="E14" s="529" t="s">
        <v>287</v>
      </c>
    </row>
    <row r="15" spans="1:13" ht="15" customHeight="1" x14ac:dyDescent="0.35">
      <c r="A15" s="520"/>
      <c r="B15" s="521"/>
      <c r="C15" s="522"/>
      <c r="D15" s="523"/>
      <c r="E15" s="522"/>
    </row>
    <row r="16" spans="1:13" ht="29" x14ac:dyDescent="0.35">
      <c r="A16" s="517" t="s">
        <v>288</v>
      </c>
      <c r="B16" s="530" t="s">
        <v>289</v>
      </c>
      <c r="C16" s="531" t="s">
        <v>290</v>
      </c>
      <c r="D16" s="532"/>
      <c r="E16" s="529" t="s">
        <v>291</v>
      </c>
    </row>
    <row r="18" spans="8:10" x14ac:dyDescent="0.35">
      <c r="H18" s="500"/>
      <c r="I18" s="500"/>
      <c r="J18" s="500"/>
    </row>
  </sheetData>
  <mergeCells count="1">
    <mergeCell ref="A3:A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2A1B9-10AD-4993-AF6C-B69957FD5A95}">
  <sheetPr codeName="Sheet3">
    <pageSetUpPr fitToPage="1"/>
  </sheetPr>
  <dimension ref="B1:H20"/>
  <sheetViews>
    <sheetView workbookViewId="0">
      <selection activeCell="B2" sqref="B2"/>
    </sheetView>
  </sheetViews>
  <sheetFormatPr defaultRowHeight="14.5" x14ac:dyDescent="0.35"/>
  <cols>
    <col min="1" max="1" width="2" customWidth="1"/>
    <col min="2" max="2" width="48.7265625" customWidth="1"/>
    <col min="3" max="3" width="12.7265625" customWidth="1"/>
    <col min="4" max="4" width="16.54296875" customWidth="1"/>
    <col min="5" max="5" width="12.7265625" customWidth="1"/>
    <col min="6" max="6" width="16.08984375" customWidth="1"/>
    <col min="7" max="7" width="12.7265625" customWidth="1"/>
    <col min="8" max="8" width="29.26953125" customWidth="1"/>
  </cols>
  <sheetData>
    <row r="1" spans="2:8" ht="18.5" thickBot="1" x14ac:dyDescent="0.4">
      <c r="B1" s="562" t="s">
        <v>292</v>
      </c>
      <c r="C1" s="564" t="s">
        <v>293</v>
      </c>
      <c r="D1" s="565"/>
      <c r="E1" s="564" t="s">
        <v>294</v>
      </c>
      <c r="F1" s="565"/>
      <c r="G1" s="562" t="s">
        <v>295</v>
      </c>
      <c r="H1" s="562" t="s">
        <v>296</v>
      </c>
    </row>
    <row r="2" spans="2:8" ht="18.5" thickBot="1" x14ac:dyDescent="0.4">
      <c r="B2" s="563"/>
      <c r="C2" s="539" t="s">
        <v>298</v>
      </c>
      <c r="D2" s="539" t="s">
        <v>299</v>
      </c>
      <c r="E2" s="539" t="s">
        <v>298</v>
      </c>
      <c r="F2" s="539" t="s">
        <v>299</v>
      </c>
      <c r="G2" s="563"/>
      <c r="H2" s="563"/>
    </row>
    <row r="3" spans="2:8" ht="46" customHeight="1" thickBot="1" x14ac:dyDescent="0.4">
      <c r="B3" s="541" t="s">
        <v>301</v>
      </c>
      <c r="C3" s="542">
        <f>'[1]Bal Sheet'!F33</f>
        <v>0.89363976483164087</v>
      </c>
      <c r="D3" s="543">
        <v>40</v>
      </c>
      <c r="E3" s="542">
        <f>'[1]Bal Sheet'!G33</f>
        <v>0.830304649919829</v>
      </c>
      <c r="F3" s="543">
        <v>40</v>
      </c>
      <c r="G3" s="571" t="s">
        <v>324</v>
      </c>
      <c r="H3" s="545" t="s">
        <v>302</v>
      </c>
    </row>
    <row r="4" spans="2:8" s="500" customFormat="1" ht="46" customHeight="1" thickBot="1" x14ac:dyDescent="0.4">
      <c r="B4" s="541" t="s">
        <v>307</v>
      </c>
      <c r="C4" s="548">
        <f>'[1]I&amp;E'!H57</f>
        <v>4.3041948064301339E-2</v>
      </c>
      <c r="D4" s="543">
        <v>40</v>
      </c>
      <c r="E4" s="548">
        <f>'[1]I&amp;E'!G57</f>
        <v>3.1688437348814706E-2</v>
      </c>
      <c r="F4" s="543">
        <v>30</v>
      </c>
      <c r="G4" s="544" t="s">
        <v>325</v>
      </c>
      <c r="H4" s="545" t="s">
        <v>308</v>
      </c>
    </row>
    <row r="5" spans="2:8" s="500" customFormat="1" ht="46" customHeight="1" thickBot="1" x14ac:dyDescent="0.4">
      <c r="B5" s="586" t="s">
        <v>312</v>
      </c>
      <c r="C5" s="548">
        <f>'[1]Bal Sheet'!F39</f>
        <v>0.37667649576714546</v>
      </c>
      <c r="D5" s="543">
        <v>50</v>
      </c>
      <c r="E5" s="548">
        <f>'[1]Bal Sheet'!G39</f>
        <v>0.38316400580551524</v>
      </c>
      <c r="F5" s="543">
        <v>50</v>
      </c>
      <c r="G5" s="571" t="s">
        <v>324</v>
      </c>
      <c r="H5" s="545" t="s">
        <v>313</v>
      </c>
    </row>
    <row r="6" spans="2:8" s="500" customFormat="1" ht="46" customHeight="1" thickBot="1" x14ac:dyDescent="0.4">
      <c r="B6" s="541" t="s">
        <v>316</v>
      </c>
      <c r="C6" s="553"/>
      <c r="D6" s="554">
        <f>SUM(D3:D5)</f>
        <v>130</v>
      </c>
      <c r="E6" s="553"/>
      <c r="F6" s="554">
        <f>SUM(F3:F5)</f>
        <v>120</v>
      </c>
      <c r="G6" s="582"/>
      <c r="H6" s="581"/>
    </row>
    <row r="7" spans="2:8" s="500" customFormat="1" ht="46" customHeight="1" thickBot="1" x14ac:dyDescent="0.4">
      <c r="B7" s="541" t="s">
        <v>319</v>
      </c>
      <c r="C7" s="567" t="s">
        <v>322</v>
      </c>
      <c r="D7" s="566" t="s">
        <v>323</v>
      </c>
      <c r="E7" s="567" t="s">
        <v>322</v>
      </c>
      <c r="F7" s="566" t="s">
        <v>323</v>
      </c>
      <c r="G7" s="584"/>
      <c r="H7" s="583"/>
    </row>
    <row r="8" spans="2:8" s="500" customFormat="1" ht="46" customHeight="1" thickBot="1" x14ac:dyDescent="0.4">
      <c r="B8" s="541" t="s">
        <v>320</v>
      </c>
      <c r="C8" s="567" t="s">
        <v>322</v>
      </c>
      <c r="D8" s="566" t="s">
        <v>323</v>
      </c>
      <c r="E8" s="567" t="s">
        <v>322</v>
      </c>
      <c r="F8" s="566" t="s">
        <v>323</v>
      </c>
      <c r="G8" s="584"/>
      <c r="H8" s="583"/>
    </row>
    <row r="9" spans="2:8" ht="15.5" customHeight="1" thickBot="1" x14ac:dyDescent="0.4">
      <c r="B9" s="568" t="s">
        <v>321</v>
      </c>
      <c r="C9" s="569"/>
      <c r="D9" s="569"/>
      <c r="E9" s="569"/>
      <c r="F9" s="569"/>
      <c r="G9" s="569"/>
      <c r="H9" s="570"/>
    </row>
    <row r="14" spans="2:8" ht="49.5" customHeight="1" x14ac:dyDescent="0.35"/>
    <row r="15" spans="2:8" ht="49.5" customHeight="1" x14ac:dyDescent="0.35"/>
    <row r="16" spans="2:8" ht="49.5" customHeight="1" x14ac:dyDescent="0.35"/>
    <row r="17" ht="49.5" customHeight="1" x14ac:dyDescent="0.35"/>
    <row r="18" ht="46" customHeight="1" x14ac:dyDescent="0.35"/>
    <row r="19" ht="46" customHeight="1" x14ac:dyDescent="0.35"/>
    <row r="20" ht="58.5" customHeight="1" x14ac:dyDescent="0.35"/>
  </sheetData>
  <pageMargins left="0.13" right="0.13" top="0.28000000000000003" bottom="0.28000000000000003" header="0.3" footer="0.3"/>
  <pageSetup paperSize="9" scale="76" orientation="landscape"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9C0AD-952F-46E3-B644-1618791823DC}">
  <sheetPr codeName="Sheet4">
    <pageSetUpPr fitToPage="1"/>
  </sheetPr>
  <dimension ref="A1:L67"/>
  <sheetViews>
    <sheetView zoomScale="80" zoomScaleNormal="80" workbookViewId="0">
      <pane xSplit="2" ySplit="7" topLeftCell="C15" activePane="bottomRight" state="frozen"/>
      <selection pane="topRight" activeCell="A3" sqref="A3:D18"/>
      <selection pane="bottomLeft" activeCell="A3" sqref="A3:D18"/>
      <selection pane="bottomRight" activeCell="C27" sqref="C27"/>
    </sheetView>
  </sheetViews>
  <sheetFormatPr defaultRowHeight="14.5" outlineLevelCol="1" x14ac:dyDescent="0.35"/>
  <cols>
    <col min="1" max="1" width="46" hidden="1" customWidth="1" outlineLevel="1"/>
    <col min="2" max="2" width="47.7265625" customWidth="1" collapsed="1"/>
    <col min="3" max="3" width="14" customWidth="1"/>
    <col min="4" max="4" width="13.7265625" customWidth="1"/>
    <col min="5" max="5" width="12" customWidth="1"/>
    <col min="6" max="6" width="4.81640625" customWidth="1"/>
    <col min="7" max="7" width="12.1796875" customWidth="1"/>
    <col min="8" max="8" width="14" customWidth="1"/>
    <col min="9" max="9" width="13.26953125" customWidth="1"/>
    <col min="10" max="10" width="5.1796875" customWidth="1"/>
    <col min="11" max="12" width="13.26953125" customWidth="1"/>
  </cols>
  <sheetData>
    <row r="1" spans="1:12" ht="20" x14ac:dyDescent="0.4">
      <c r="A1" s="30"/>
      <c r="B1" s="806"/>
      <c r="C1" s="807"/>
      <c r="D1" s="807"/>
      <c r="E1" s="807"/>
      <c r="F1" s="807"/>
      <c r="G1" s="807"/>
      <c r="H1" s="807"/>
      <c r="I1" s="807"/>
      <c r="J1" s="807"/>
      <c r="K1" s="807"/>
      <c r="L1" s="808"/>
    </row>
    <row r="2" spans="1:12" ht="20" x14ac:dyDescent="0.4">
      <c r="A2" s="30"/>
      <c r="B2" s="809" t="s">
        <v>0</v>
      </c>
      <c r="C2" s="810"/>
      <c r="D2" s="810"/>
      <c r="E2" s="810"/>
      <c r="F2" s="810"/>
      <c r="G2" s="810"/>
      <c r="H2" s="810"/>
      <c r="I2" s="810"/>
      <c r="J2" s="810"/>
      <c r="K2" s="810"/>
      <c r="L2" s="811"/>
    </row>
    <row r="3" spans="1:12" ht="16" thickBot="1" x14ac:dyDescent="0.4">
      <c r="A3" s="29"/>
      <c r="B3" s="50"/>
      <c r="C3" s="73"/>
      <c r="D3" s="73"/>
      <c r="E3" s="73"/>
      <c r="F3" s="74"/>
      <c r="G3" s="73"/>
      <c r="H3" s="73"/>
      <c r="I3" s="73"/>
      <c r="J3" s="74"/>
      <c r="K3" s="73"/>
      <c r="L3" s="75"/>
    </row>
    <row r="4" spans="1:12" ht="16" thickBot="1" x14ac:dyDescent="0.4">
      <c r="A4" s="1"/>
      <c r="B4" s="51"/>
      <c r="C4" s="803" t="s">
        <v>1</v>
      </c>
      <c r="D4" s="804"/>
      <c r="E4" s="805"/>
      <c r="F4" s="76"/>
      <c r="G4" s="803" t="s">
        <v>2</v>
      </c>
      <c r="H4" s="804"/>
      <c r="I4" s="805"/>
      <c r="J4" s="77"/>
      <c r="K4" s="803" t="s">
        <v>3</v>
      </c>
      <c r="L4" s="805"/>
    </row>
    <row r="5" spans="1:12" ht="15.5" x14ac:dyDescent="0.35">
      <c r="A5" s="1"/>
      <c r="B5" s="3"/>
      <c r="C5" s="89" t="s">
        <v>4</v>
      </c>
      <c r="D5" s="96" t="s">
        <v>5</v>
      </c>
      <c r="E5" s="94" t="s">
        <v>6</v>
      </c>
      <c r="F5" s="77"/>
      <c r="G5" s="152" t="s">
        <v>7</v>
      </c>
      <c r="H5" s="96" t="s">
        <v>5</v>
      </c>
      <c r="I5" s="93" t="s">
        <v>6</v>
      </c>
      <c r="J5" s="77"/>
      <c r="K5" s="96" t="s">
        <v>8</v>
      </c>
      <c r="L5" s="93" t="s">
        <v>2</v>
      </c>
    </row>
    <row r="6" spans="1:12" ht="15.5" x14ac:dyDescent="0.35">
      <c r="A6" s="1"/>
      <c r="B6" s="3"/>
      <c r="C6" s="89"/>
      <c r="D6" s="89"/>
      <c r="E6" s="94"/>
      <c r="F6" s="77"/>
      <c r="G6" s="90"/>
      <c r="H6" s="89"/>
      <c r="I6" s="94"/>
      <c r="J6" s="77"/>
      <c r="K6" s="89"/>
      <c r="L6" s="94"/>
    </row>
    <row r="7" spans="1:12" ht="16" thickBot="1" x14ac:dyDescent="0.4">
      <c r="A7" s="2"/>
      <c r="B7" s="52"/>
      <c r="C7" s="91" t="s">
        <v>9</v>
      </c>
      <c r="D7" s="91" t="s">
        <v>9</v>
      </c>
      <c r="E7" s="95" t="s">
        <v>9</v>
      </c>
      <c r="F7" s="77"/>
      <c r="G7" s="92" t="s">
        <v>9</v>
      </c>
      <c r="H7" s="91" t="s">
        <v>9</v>
      </c>
      <c r="I7" s="95" t="s">
        <v>9</v>
      </c>
      <c r="J7" s="77"/>
      <c r="K7" s="91" t="s">
        <v>9</v>
      </c>
      <c r="L7" s="95" t="s">
        <v>9</v>
      </c>
    </row>
    <row r="8" spans="1:12" ht="15.5" x14ac:dyDescent="0.35">
      <c r="A8" s="24" t="s">
        <v>10</v>
      </c>
      <c r="B8" s="41" t="s">
        <v>11</v>
      </c>
      <c r="C8" s="12"/>
      <c r="D8" s="12"/>
      <c r="E8" s="12"/>
      <c r="F8" s="79"/>
      <c r="G8" s="12"/>
      <c r="H8" s="12"/>
      <c r="I8" s="12"/>
      <c r="J8" s="80"/>
      <c r="K8" s="12"/>
      <c r="L8" s="31"/>
    </row>
    <row r="9" spans="1:12" ht="15.5" x14ac:dyDescent="0.35">
      <c r="A9" s="1" t="s">
        <v>12</v>
      </c>
      <c r="B9" s="40" t="s">
        <v>13</v>
      </c>
      <c r="C9" s="31">
        <v>5</v>
      </c>
      <c r="D9" s="31">
        <v>20</v>
      </c>
      <c r="E9" s="97">
        <f>C9-D9</f>
        <v>-15</v>
      </c>
      <c r="F9" s="82"/>
      <c r="G9" s="31">
        <v>13</v>
      </c>
      <c r="H9" s="31">
        <v>39</v>
      </c>
      <c r="I9" s="97">
        <f>G9-H9</f>
        <v>-26</v>
      </c>
      <c r="J9" s="59"/>
      <c r="K9" s="31">
        <v>31</v>
      </c>
      <c r="L9" s="31">
        <v>66</v>
      </c>
    </row>
    <row r="10" spans="1:12" ht="15.5" x14ac:dyDescent="0.35">
      <c r="A10" s="1" t="s">
        <v>14</v>
      </c>
      <c r="B10" s="40" t="s">
        <v>15</v>
      </c>
      <c r="C10" s="31">
        <v>6511</v>
      </c>
      <c r="D10" s="31">
        <v>6511</v>
      </c>
      <c r="E10" s="70">
        <f t="shared" ref="E10:E24" si="0">C10-D10</f>
        <v>0</v>
      </c>
      <c r="F10" s="57"/>
      <c r="G10" s="31">
        <v>13022</v>
      </c>
      <c r="H10" s="31">
        <v>13022</v>
      </c>
      <c r="I10" s="70">
        <f t="shared" ref="I10:I11" si="1">G10-H10</f>
        <v>0</v>
      </c>
      <c r="J10" s="59"/>
      <c r="K10" s="31">
        <v>6389</v>
      </c>
      <c r="L10" s="31">
        <v>12778</v>
      </c>
    </row>
    <row r="11" spans="1:12" ht="15.5" x14ac:dyDescent="0.35">
      <c r="A11" s="1" t="s">
        <v>14</v>
      </c>
      <c r="B11" s="25" t="s">
        <v>16</v>
      </c>
      <c r="C11" s="31">
        <v>221</v>
      </c>
      <c r="D11" s="31">
        <v>221</v>
      </c>
      <c r="E11" s="70">
        <f t="shared" si="0"/>
        <v>0</v>
      </c>
      <c r="F11" s="57"/>
      <c r="G11" s="31">
        <v>442</v>
      </c>
      <c r="H11" s="31">
        <v>442</v>
      </c>
      <c r="I11" s="70">
        <f t="shared" si="1"/>
        <v>0</v>
      </c>
      <c r="J11" s="59"/>
      <c r="K11" s="31">
        <v>195</v>
      </c>
      <c r="L11" s="31">
        <v>390</v>
      </c>
    </row>
    <row r="12" spans="1:12" ht="15.5" x14ac:dyDescent="0.35">
      <c r="A12" s="1" t="s">
        <v>17</v>
      </c>
      <c r="B12" s="40" t="s">
        <v>18</v>
      </c>
      <c r="C12" s="31">
        <v>428</v>
      </c>
      <c r="D12" s="31">
        <v>457</v>
      </c>
      <c r="E12" s="97">
        <f t="shared" si="0"/>
        <v>-29</v>
      </c>
      <c r="F12" s="57"/>
      <c r="G12" s="31">
        <v>855</v>
      </c>
      <c r="H12" s="31">
        <v>911</v>
      </c>
      <c r="I12" s="97">
        <f t="shared" ref="I12:I22" si="2">G12-H12</f>
        <v>-56</v>
      </c>
      <c r="J12" s="59"/>
      <c r="K12" s="31">
        <v>702</v>
      </c>
      <c r="L12" s="31">
        <v>1448</v>
      </c>
    </row>
    <row r="13" spans="1:12" ht="15.5" x14ac:dyDescent="0.35">
      <c r="A13" s="1" t="s">
        <v>19</v>
      </c>
      <c r="B13" s="40" t="s">
        <v>20</v>
      </c>
      <c r="C13" s="31">
        <v>490</v>
      </c>
      <c r="D13" s="31">
        <v>505</v>
      </c>
      <c r="E13" s="97">
        <f t="shared" si="0"/>
        <v>-15</v>
      </c>
      <c r="F13" s="57"/>
      <c r="G13" s="31">
        <v>1435</v>
      </c>
      <c r="H13" s="31">
        <v>1487</v>
      </c>
      <c r="I13" s="97">
        <f t="shared" si="2"/>
        <v>-52</v>
      </c>
      <c r="J13" s="59"/>
      <c r="K13" s="31">
        <v>1348</v>
      </c>
      <c r="L13" s="31">
        <v>2995</v>
      </c>
    </row>
    <row r="14" spans="1:12" ht="15.5" x14ac:dyDescent="0.35">
      <c r="A14" s="1" t="s">
        <v>19</v>
      </c>
      <c r="B14" s="40" t="s">
        <v>21</v>
      </c>
      <c r="C14" s="31">
        <v>780</v>
      </c>
      <c r="D14" s="31">
        <v>840</v>
      </c>
      <c r="E14" s="97">
        <f t="shared" si="0"/>
        <v>-60</v>
      </c>
      <c r="F14" s="57"/>
      <c r="G14" s="31">
        <v>1413</v>
      </c>
      <c r="H14" s="31">
        <v>1500</v>
      </c>
      <c r="I14" s="97">
        <f t="shared" si="2"/>
        <v>-87</v>
      </c>
      <c r="J14" s="59"/>
      <c r="K14" s="31">
        <v>0</v>
      </c>
      <c r="L14" s="31">
        <v>0</v>
      </c>
    </row>
    <row r="15" spans="1:12" ht="15.5" x14ac:dyDescent="0.35">
      <c r="A15" s="1" t="s">
        <v>19</v>
      </c>
      <c r="B15" s="40" t="s">
        <v>22</v>
      </c>
      <c r="C15" s="31">
        <v>171</v>
      </c>
      <c r="D15" s="31">
        <v>173</v>
      </c>
      <c r="E15" s="97">
        <f t="shared" si="0"/>
        <v>-2</v>
      </c>
      <c r="F15" s="57"/>
      <c r="G15" s="31">
        <v>344</v>
      </c>
      <c r="H15" s="31">
        <v>347</v>
      </c>
      <c r="I15" s="97">
        <f t="shared" si="2"/>
        <v>-3</v>
      </c>
      <c r="J15" s="59"/>
      <c r="K15" s="31">
        <v>175</v>
      </c>
      <c r="L15" s="31">
        <v>355</v>
      </c>
    </row>
    <row r="16" spans="1:12" ht="15.5" x14ac:dyDescent="0.35">
      <c r="A16" s="8" t="s">
        <v>23</v>
      </c>
      <c r="B16" s="25" t="s">
        <v>24</v>
      </c>
      <c r="C16" s="31">
        <v>112</v>
      </c>
      <c r="D16" s="31">
        <v>112</v>
      </c>
      <c r="E16" s="70">
        <f t="shared" si="0"/>
        <v>0</v>
      </c>
      <c r="F16" s="57"/>
      <c r="G16" s="31">
        <v>225</v>
      </c>
      <c r="H16" s="31">
        <v>225</v>
      </c>
      <c r="I16" s="70">
        <f t="shared" si="2"/>
        <v>0</v>
      </c>
      <c r="J16" s="59"/>
      <c r="K16" s="31">
        <v>125</v>
      </c>
      <c r="L16" s="31">
        <v>250</v>
      </c>
    </row>
    <row r="17" spans="1:12" ht="15.5" x14ac:dyDescent="0.35">
      <c r="A17" s="8" t="s">
        <v>23</v>
      </c>
      <c r="B17" s="40" t="s">
        <v>25</v>
      </c>
      <c r="C17" s="31">
        <v>952</v>
      </c>
      <c r="D17" s="31">
        <v>997</v>
      </c>
      <c r="E17" s="97">
        <f t="shared" si="0"/>
        <v>-45</v>
      </c>
      <c r="F17" s="57"/>
      <c r="G17" s="31">
        <v>1901</v>
      </c>
      <c r="H17" s="31">
        <v>1993</v>
      </c>
      <c r="I17" s="97">
        <f t="shared" si="2"/>
        <v>-92</v>
      </c>
      <c r="J17" s="59"/>
      <c r="K17" s="31">
        <v>1107</v>
      </c>
      <c r="L17" s="31">
        <v>2215</v>
      </c>
    </row>
    <row r="18" spans="1:12" ht="15.5" x14ac:dyDescent="0.35">
      <c r="A18" s="1" t="s">
        <v>26</v>
      </c>
      <c r="B18" s="40" t="s">
        <v>27</v>
      </c>
      <c r="C18" s="31">
        <v>99</v>
      </c>
      <c r="D18" s="31">
        <v>99</v>
      </c>
      <c r="E18" s="70">
        <f t="shared" si="0"/>
        <v>0</v>
      </c>
      <c r="F18" s="57"/>
      <c r="G18" s="31">
        <v>198</v>
      </c>
      <c r="H18" s="31">
        <v>198</v>
      </c>
      <c r="I18" s="70">
        <f t="shared" si="2"/>
        <v>0</v>
      </c>
      <c r="J18" s="59"/>
      <c r="K18" s="31">
        <v>82</v>
      </c>
      <c r="L18" s="31">
        <v>163</v>
      </c>
    </row>
    <row r="19" spans="1:12" ht="15.5" x14ac:dyDescent="0.35">
      <c r="A19" s="1" t="s">
        <v>28</v>
      </c>
      <c r="B19" s="40" t="s">
        <v>29</v>
      </c>
      <c r="C19" s="31">
        <v>88</v>
      </c>
      <c r="D19" s="31">
        <v>108</v>
      </c>
      <c r="E19" s="97">
        <f t="shared" si="0"/>
        <v>-20</v>
      </c>
      <c r="F19" s="57"/>
      <c r="G19" s="31">
        <v>244</v>
      </c>
      <c r="H19" s="31">
        <v>270</v>
      </c>
      <c r="I19" s="97">
        <f t="shared" si="2"/>
        <v>-26</v>
      </c>
      <c r="J19" s="59"/>
      <c r="K19" s="31">
        <v>138</v>
      </c>
      <c r="L19" s="31">
        <v>320</v>
      </c>
    </row>
    <row r="20" spans="1:12" ht="15.5" x14ac:dyDescent="0.35">
      <c r="A20" s="1" t="s">
        <v>28</v>
      </c>
      <c r="B20" s="40" t="s">
        <v>30</v>
      </c>
      <c r="C20" s="31">
        <v>49</v>
      </c>
      <c r="D20" s="31">
        <v>60</v>
      </c>
      <c r="E20" s="97">
        <f t="shared" si="0"/>
        <v>-11</v>
      </c>
      <c r="F20" s="57"/>
      <c r="G20" s="31">
        <v>101</v>
      </c>
      <c r="H20" s="31">
        <v>120</v>
      </c>
      <c r="I20" s="97">
        <f t="shared" si="2"/>
        <v>-19</v>
      </c>
      <c r="J20" s="59"/>
      <c r="K20" s="31">
        <v>89</v>
      </c>
      <c r="L20" s="31">
        <v>184</v>
      </c>
    </row>
    <row r="21" spans="1:12" ht="15.5" x14ac:dyDescent="0.35">
      <c r="A21" s="1" t="s">
        <v>28</v>
      </c>
      <c r="B21" s="40" t="s">
        <v>31</v>
      </c>
      <c r="C21" s="31">
        <v>69</v>
      </c>
      <c r="D21" s="31">
        <v>78</v>
      </c>
      <c r="E21" s="97">
        <f t="shared" si="0"/>
        <v>-9</v>
      </c>
      <c r="F21" s="57"/>
      <c r="G21" s="31">
        <v>160</v>
      </c>
      <c r="H21" s="31">
        <v>173</v>
      </c>
      <c r="I21" s="97">
        <f t="shared" si="2"/>
        <v>-13</v>
      </c>
      <c r="J21" s="59"/>
      <c r="K21" s="31">
        <v>85</v>
      </c>
      <c r="L21" s="31">
        <v>179</v>
      </c>
    </row>
    <row r="22" spans="1:12" ht="15.5" x14ac:dyDescent="0.35">
      <c r="A22" s="1" t="s">
        <v>32</v>
      </c>
      <c r="B22" s="40" t="s">
        <v>33</v>
      </c>
      <c r="C22" s="31">
        <v>72</v>
      </c>
      <c r="D22" s="31">
        <v>70</v>
      </c>
      <c r="E22" s="97">
        <f t="shared" si="0"/>
        <v>2</v>
      </c>
      <c r="F22" s="57"/>
      <c r="G22" s="31">
        <v>145</v>
      </c>
      <c r="H22" s="31">
        <v>140</v>
      </c>
      <c r="I22" s="97">
        <f t="shared" si="2"/>
        <v>5</v>
      </c>
      <c r="J22" s="59"/>
      <c r="K22" s="31">
        <v>86</v>
      </c>
      <c r="L22" s="31">
        <v>173</v>
      </c>
    </row>
    <row r="23" spans="1:12" ht="15.5" x14ac:dyDescent="0.35">
      <c r="A23" s="1" t="s">
        <v>32</v>
      </c>
      <c r="B23" s="40" t="s">
        <v>34</v>
      </c>
      <c r="C23" s="31">
        <v>70</v>
      </c>
      <c r="D23" s="31">
        <v>67</v>
      </c>
      <c r="E23" s="97">
        <f t="shared" si="0"/>
        <v>3</v>
      </c>
      <c r="F23" s="57"/>
      <c r="G23" s="31">
        <v>130</v>
      </c>
      <c r="H23" s="31">
        <v>115</v>
      </c>
      <c r="I23" s="97">
        <f>G23-H23</f>
        <v>15</v>
      </c>
      <c r="J23" s="59"/>
      <c r="K23" s="31">
        <v>79</v>
      </c>
      <c r="L23" s="31">
        <v>142</v>
      </c>
    </row>
    <row r="24" spans="1:12" ht="15.5" x14ac:dyDescent="0.35">
      <c r="A24" s="1" t="s">
        <v>32</v>
      </c>
      <c r="B24" s="40" t="s">
        <v>35</v>
      </c>
      <c r="C24" s="31">
        <v>30</v>
      </c>
      <c r="D24" s="31">
        <v>31</v>
      </c>
      <c r="E24" s="97">
        <f t="shared" si="0"/>
        <v>-1</v>
      </c>
      <c r="F24" s="57"/>
      <c r="G24" s="31">
        <v>42</v>
      </c>
      <c r="H24" s="31">
        <v>44</v>
      </c>
      <c r="I24" s="97">
        <f>G24-H24</f>
        <v>-2</v>
      </c>
      <c r="J24" s="59"/>
      <c r="K24" s="31">
        <v>21</v>
      </c>
      <c r="L24" s="31">
        <v>32</v>
      </c>
    </row>
    <row r="25" spans="1:12" ht="16" thickBot="1" x14ac:dyDescent="0.4">
      <c r="A25" s="6" t="s">
        <v>36</v>
      </c>
      <c r="B25" s="42" t="s">
        <v>37</v>
      </c>
      <c r="C25" s="31">
        <v>0</v>
      </c>
      <c r="D25" s="31">
        <v>0</v>
      </c>
      <c r="E25" s="70">
        <f t="shared" ref="E25" si="3">C25-D25</f>
        <v>0</v>
      </c>
      <c r="F25" s="57"/>
      <c r="G25" s="99">
        <v>0</v>
      </c>
      <c r="H25" s="99">
        <v>0</v>
      </c>
      <c r="I25" s="113">
        <f t="shared" ref="I25" si="4">G25-H25</f>
        <v>0</v>
      </c>
      <c r="J25" s="59"/>
      <c r="K25" s="31">
        <v>57</v>
      </c>
      <c r="L25" s="31">
        <v>113</v>
      </c>
    </row>
    <row r="26" spans="1:12" ht="15.5" x14ac:dyDescent="0.35">
      <c r="A26" s="6"/>
      <c r="B26" s="100"/>
      <c r="C26" s="108"/>
      <c r="D26" s="101"/>
      <c r="E26" s="108"/>
      <c r="F26" s="59"/>
      <c r="G26" s="106"/>
      <c r="H26" s="108"/>
      <c r="I26" s="102"/>
      <c r="J26" s="59"/>
      <c r="K26" s="108"/>
      <c r="L26" s="102"/>
    </row>
    <row r="27" spans="1:12" ht="15.5" x14ac:dyDescent="0.35">
      <c r="A27" s="16"/>
      <c r="B27" s="43" t="s">
        <v>38</v>
      </c>
      <c r="C27" s="44">
        <f>SUM(C9:C25)</f>
        <v>10147</v>
      </c>
      <c r="D27" s="18">
        <f>SUM(D9:D25)</f>
        <v>10349</v>
      </c>
      <c r="E27" s="109">
        <f>SUM(E9:E25)</f>
        <v>-202</v>
      </c>
      <c r="F27" s="15"/>
      <c r="G27" s="17">
        <f>SUM(G9:G25)</f>
        <v>20670</v>
      </c>
      <c r="H27" s="44">
        <f>SUM(H9:H25)</f>
        <v>21026</v>
      </c>
      <c r="I27" s="61">
        <f>SUM(I9:I25)</f>
        <v>-356</v>
      </c>
      <c r="J27" s="15"/>
      <c r="K27" s="44">
        <f>SUM(K9:K25)</f>
        <v>10709</v>
      </c>
      <c r="L27" s="84">
        <f>SUM(L9:L25)</f>
        <v>21803</v>
      </c>
    </row>
    <row r="28" spans="1:12" x14ac:dyDescent="0.35">
      <c r="A28" s="35"/>
      <c r="B28" s="103" t="s">
        <v>39</v>
      </c>
      <c r="C28" s="65">
        <v>84</v>
      </c>
      <c r="D28" s="65"/>
      <c r="E28" s="65"/>
      <c r="F28" s="36"/>
      <c r="G28" s="107">
        <v>300</v>
      </c>
      <c r="H28" s="65"/>
      <c r="I28" s="64"/>
      <c r="J28" s="37"/>
      <c r="K28" s="65">
        <v>99</v>
      </c>
      <c r="L28" s="64">
        <v>305</v>
      </c>
    </row>
    <row r="29" spans="1:12" ht="15" thickBot="1" x14ac:dyDescent="0.4">
      <c r="A29" s="63"/>
      <c r="B29" s="104"/>
      <c r="C29" s="55"/>
      <c r="D29" s="105"/>
      <c r="E29" s="55"/>
      <c r="F29" s="36"/>
      <c r="G29" s="56"/>
      <c r="H29" s="55"/>
      <c r="I29" s="60"/>
      <c r="J29" s="37"/>
      <c r="K29" s="55"/>
      <c r="L29" s="60"/>
    </row>
    <row r="30" spans="1:12" ht="15.5" x14ac:dyDescent="0.35">
      <c r="A30" s="4"/>
      <c r="B30" s="48" t="s">
        <v>40</v>
      </c>
      <c r="C30" s="39"/>
      <c r="D30" s="32"/>
      <c r="E30" s="45"/>
      <c r="F30" s="12"/>
      <c r="G30" s="81"/>
      <c r="H30" s="81"/>
      <c r="I30" s="81"/>
      <c r="J30" s="12"/>
      <c r="K30" s="12"/>
      <c r="L30" s="12"/>
    </row>
    <row r="31" spans="1:12" ht="15.5" x14ac:dyDescent="0.35">
      <c r="A31" s="5" t="s">
        <v>41</v>
      </c>
      <c r="B31" s="46" t="s">
        <v>41</v>
      </c>
      <c r="C31" s="81">
        <v>3248</v>
      </c>
      <c r="D31" s="81">
        <v>3295</v>
      </c>
      <c r="E31" s="110">
        <v>47</v>
      </c>
      <c r="F31" s="12"/>
      <c r="G31" s="81">
        <v>6490</v>
      </c>
      <c r="H31" s="81">
        <v>6591</v>
      </c>
      <c r="I31" s="110">
        <v>101</v>
      </c>
      <c r="J31" s="12"/>
      <c r="K31" s="81">
        <v>2975</v>
      </c>
      <c r="L31" s="81">
        <v>5971</v>
      </c>
    </row>
    <row r="32" spans="1:12" ht="15.5" x14ac:dyDescent="0.35">
      <c r="A32" s="5" t="s">
        <v>42</v>
      </c>
      <c r="B32" s="46" t="s">
        <v>42</v>
      </c>
      <c r="C32" s="81">
        <v>703</v>
      </c>
      <c r="D32" s="81">
        <v>670</v>
      </c>
      <c r="E32" s="110">
        <v>-33</v>
      </c>
      <c r="F32" s="12"/>
      <c r="G32" s="81">
        <v>1305</v>
      </c>
      <c r="H32" s="81">
        <v>1273</v>
      </c>
      <c r="I32" s="110">
        <v>-32</v>
      </c>
      <c r="J32" s="12"/>
      <c r="K32" s="81">
        <v>699</v>
      </c>
      <c r="L32" s="81">
        <v>1274</v>
      </c>
    </row>
    <row r="33" spans="1:12" ht="15.5" x14ac:dyDescent="0.35">
      <c r="A33" s="5" t="s">
        <v>43</v>
      </c>
      <c r="B33" s="46" t="s">
        <v>43</v>
      </c>
      <c r="C33" s="81">
        <v>42</v>
      </c>
      <c r="D33" s="81">
        <v>50</v>
      </c>
      <c r="E33" s="110">
        <v>8</v>
      </c>
      <c r="F33" s="12"/>
      <c r="G33" s="81">
        <v>99</v>
      </c>
      <c r="H33" s="81">
        <v>118</v>
      </c>
      <c r="I33" s="110">
        <v>19</v>
      </c>
      <c r="J33" s="12"/>
      <c r="K33" s="81">
        <v>55</v>
      </c>
      <c r="L33" s="81">
        <v>132</v>
      </c>
    </row>
    <row r="34" spans="1:12" ht="15.5" x14ac:dyDescent="0.35">
      <c r="A34" s="5" t="s">
        <v>44</v>
      </c>
      <c r="B34" s="46" t="s">
        <v>44</v>
      </c>
      <c r="C34" s="81">
        <v>1220</v>
      </c>
      <c r="D34" s="81">
        <v>1140</v>
      </c>
      <c r="E34" s="110">
        <v>-80</v>
      </c>
      <c r="F34" s="12"/>
      <c r="G34" s="81">
        <v>2440.4249390456284</v>
      </c>
      <c r="H34" s="81">
        <v>2279.6115843270868</v>
      </c>
      <c r="I34" s="110">
        <v>-160.81335471854163</v>
      </c>
      <c r="J34" s="12"/>
      <c r="K34" s="81">
        <v>1247.6210379658655</v>
      </c>
      <c r="L34" s="81">
        <v>2269.1243611584327</v>
      </c>
    </row>
    <row r="35" spans="1:12" ht="15.5" x14ac:dyDescent="0.35">
      <c r="A35" s="5" t="s">
        <v>45</v>
      </c>
      <c r="B35" s="46" t="s">
        <v>45</v>
      </c>
      <c r="C35" s="81">
        <v>1651</v>
      </c>
      <c r="D35" s="81">
        <v>1795</v>
      </c>
      <c r="E35" s="110">
        <v>144</v>
      </c>
      <c r="F35" s="12"/>
      <c r="G35" s="81">
        <v>3302.5750609543716</v>
      </c>
      <c r="H35" s="81">
        <v>3589.3884156729132</v>
      </c>
      <c r="I35" s="110">
        <v>286.81335471854163</v>
      </c>
      <c r="J35" s="12"/>
      <c r="K35" s="81">
        <v>1688.3789620341345</v>
      </c>
      <c r="L35" s="81">
        <v>3572.8756388415673</v>
      </c>
    </row>
    <row r="36" spans="1:12" ht="15.5" x14ac:dyDescent="0.35">
      <c r="A36" s="5" t="s">
        <v>46</v>
      </c>
      <c r="B36" s="46" t="s">
        <v>46</v>
      </c>
      <c r="C36" s="81">
        <v>59</v>
      </c>
      <c r="D36" s="81">
        <v>60</v>
      </c>
      <c r="E36" s="110">
        <v>1</v>
      </c>
      <c r="F36" s="12"/>
      <c r="G36" s="81">
        <v>76</v>
      </c>
      <c r="H36" s="81">
        <v>81</v>
      </c>
      <c r="I36" s="110">
        <v>5</v>
      </c>
      <c r="J36" s="12"/>
      <c r="K36" s="81">
        <v>41</v>
      </c>
      <c r="L36" s="81">
        <v>56</v>
      </c>
    </row>
    <row r="37" spans="1:12" ht="15.5" x14ac:dyDescent="0.35">
      <c r="A37" s="5" t="s">
        <v>47</v>
      </c>
      <c r="B37" s="46" t="s">
        <v>48</v>
      </c>
      <c r="C37" s="81">
        <v>48</v>
      </c>
      <c r="D37" s="81">
        <v>46</v>
      </c>
      <c r="E37" s="110">
        <v>-2</v>
      </c>
      <c r="F37" s="12"/>
      <c r="G37" s="81">
        <v>92</v>
      </c>
      <c r="H37" s="81">
        <v>92</v>
      </c>
      <c r="I37" s="69">
        <v>0</v>
      </c>
      <c r="J37" s="12"/>
      <c r="K37" s="81">
        <v>45</v>
      </c>
      <c r="L37" s="81">
        <v>90</v>
      </c>
    </row>
    <row r="38" spans="1:12" ht="16" thickBot="1" x14ac:dyDescent="0.4">
      <c r="A38" s="5" t="s">
        <v>47</v>
      </c>
      <c r="B38" s="46" t="s">
        <v>49</v>
      </c>
      <c r="C38" s="81">
        <v>45</v>
      </c>
      <c r="D38" s="81">
        <v>44</v>
      </c>
      <c r="E38" s="110">
        <v>-1</v>
      </c>
      <c r="F38" s="12"/>
      <c r="G38" s="31">
        <v>91</v>
      </c>
      <c r="H38" s="31">
        <v>88</v>
      </c>
      <c r="I38" s="97">
        <v>-3</v>
      </c>
      <c r="J38" s="12"/>
      <c r="K38" s="31">
        <v>43</v>
      </c>
      <c r="L38" s="31">
        <v>86</v>
      </c>
    </row>
    <row r="39" spans="1:12" ht="15.5" x14ac:dyDescent="0.35">
      <c r="A39" s="16"/>
      <c r="B39" s="116"/>
      <c r="C39" s="53"/>
      <c r="D39" s="114"/>
      <c r="E39" s="53"/>
      <c r="F39" s="14"/>
      <c r="G39" s="53"/>
      <c r="H39" s="114"/>
      <c r="I39" s="53"/>
      <c r="J39" s="14"/>
      <c r="K39" s="53"/>
      <c r="L39" s="53"/>
    </row>
    <row r="40" spans="1:12" ht="15.5" x14ac:dyDescent="0.35">
      <c r="A40" s="19"/>
      <c r="B40" s="47" t="s">
        <v>50</v>
      </c>
      <c r="C40" s="44">
        <f>SUM(C31:C38)</f>
        <v>7016</v>
      </c>
      <c r="D40" s="18">
        <f>SUM(D31:D38)</f>
        <v>7100</v>
      </c>
      <c r="E40" s="44">
        <f>SUM(E31:E38)</f>
        <v>84</v>
      </c>
      <c r="F40" s="15"/>
      <c r="G40" s="44">
        <f>SUM(G31:G38)</f>
        <v>13896</v>
      </c>
      <c r="H40" s="18">
        <f>SUM(H31:H38)</f>
        <v>14112</v>
      </c>
      <c r="I40" s="44">
        <f>SUM(I31:I38)</f>
        <v>216</v>
      </c>
      <c r="J40" s="15"/>
      <c r="K40" s="44">
        <f>SUM(K31:K38)</f>
        <v>6794</v>
      </c>
      <c r="L40" s="44">
        <f>SUM(L31:L38)</f>
        <v>13451</v>
      </c>
    </row>
    <row r="41" spans="1:12" ht="16" thickBot="1" x14ac:dyDescent="0.4">
      <c r="A41" s="4"/>
      <c r="B41" s="117"/>
      <c r="C41" s="62"/>
      <c r="D41" s="115"/>
      <c r="E41" s="62"/>
      <c r="F41" s="14"/>
      <c r="G41" s="62"/>
      <c r="H41" s="115"/>
      <c r="I41" s="62"/>
      <c r="J41" s="14"/>
      <c r="K41" s="62"/>
      <c r="L41" s="62"/>
    </row>
    <row r="42" spans="1:12" ht="15.5" x14ac:dyDescent="0.35">
      <c r="A42" s="5" t="s">
        <v>51</v>
      </c>
      <c r="B42" s="118" t="s">
        <v>52</v>
      </c>
      <c r="C42" s="120"/>
      <c r="D42" s="120"/>
      <c r="E42" s="121"/>
      <c r="F42" s="12"/>
      <c r="G42" s="98"/>
      <c r="H42" s="124"/>
      <c r="I42" s="124"/>
      <c r="J42" s="12"/>
      <c r="K42" s="98"/>
      <c r="L42" s="124"/>
    </row>
    <row r="43" spans="1:12" ht="15.5" x14ac:dyDescent="0.35">
      <c r="A43" s="5" t="s">
        <v>53</v>
      </c>
      <c r="B43" s="46" t="s">
        <v>51</v>
      </c>
      <c r="C43" s="31">
        <v>477</v>
      </c>
      <c r="D43" s="81">
        <v>492</v>
      </c>
      <c r="E43" s="110">
        <f t="shared" ref="E43:E51" si="5">D43-C43</f>
        <v>15</v>
      </c>
      <c r="F43" s="12"/>
      <c r="G43" s="31">
        <v>765</v>
      </c>
      <c r="H43" s="81">
        <v>798</v>
      </c>
      <c r="I43" s="110">
        <f t="shared" ref="I43:I51" si="6">H43-G43</f>
        <v>33</v>
      </c>
      <c r="J43" s="12"/>
      <c r="K43" s="31">
        <v>510</v>
      </c>
      <c r="L43" s="81">
        <v>851</v>
      </c>
    </row>
    <row r="44" spans="1:12" ht="15.5" x14ac:dyDescent="0.35">
      <c r="A44" s="5" t="s">
        <v>54</v>
      </c>
      <c r="B44" s="46" t="s">
        <v>53</v>
      </c>
      <c r="C44" s="31">
        <v>194</v>
      </c>
      <c r="D44" s="81">
        <v>190</v>
      </c>
      <c r="E44" s="110">
        <f t="shared" si="5"/>
        <v>-4</v>
      </c>
      <c r="F44" s="12"/>
      <c r="G44" s="31">
        <v>361</v>
      </c>
      <c r="H44" s="81">
        <v>347</v>
      </c>
      <c r="I44" s="110">
        <f t="shared" si="6"/>
        <v>-14</v>
      </c>
      <c r="J44" s="12"/>
      <c r="K44" s="31">
        <v>181</v>
      </c>
      <c r="L44" s="81">
        <v>359</v>
      </c>
    </row>
    <row r="45" spans="1:12" ht="15.5" x14ac:dyDescent="0.35">
      <c r="A45" s="5" t="s">
        <v>55</v>
      </c>
      <c r="B45" s="46" t="s">
        <v>54</v>
      </c>
      <c r="C45" s="31">
        <v>223</v>
      </c>
      <c r="D45" s="81">
        <v>243</v>
      </c>
      <c r="E45" s="110">
        <f t="shared" si="5"/>
        <v>20</v>
      </c>
      <c r="F45" s="12"/>
      <c r="G45" s="31">
        <v>496</v>
      </c>
      <c r="H45" s="81">
        <v>487</v>
      </c>
      <c r="I45" s="110">
        <f t="shared" si="6"/>
        <v>-9</v>
      </c>
      <c r="J45" s="12"/>
      <c r="K45" s="31">
        <v>280</v>
      </c>
      <c r="L45" s="81">
        <v>625</v>
      </c>
    </row>
    <row r="46" spans="1:12" ht="15.5" x14ac:dyDescent="0.35">
      <c r="A46" s="5" t="s">
        <v>56</v>
      </c>
      <c r="B46" s="46" t="s">
        <v>55</v>
      </c>
      <c r="C46" s="31">
        <v>817</v>
      </c>
      <c r="D46" s="81">
        <v>795</v>
      </c>
      <c r="E46" s="110">
        <f t="shared" si="5"/>
        <v>-22</v>
      </c>
      <c r="F46" s="12"/>
      <c r="G46" s="31">
        <v>1606</v>
      </c>
      <c r="H46" s="81">
        <v>1576</v>
      </c>
      <c r="I46" s="110">
        <f t="shared" si="6"/>
        <v>-30</v>
      </c>
      <c r="J46" s="12"/>
      <c r="K46" s="31">
        <v>832</v>
      </c>
      <c r="L46" s="81">
        <v>1691</v>
      </c>
    </row>
    <row r="47" spans="1:12" ht="15.5" x14ac:dyDescent="0.35">
      <c r="A47" s="5" t="s">
        <v>57</v>
      </c>
      <c r="B47" s="46" t="s">
        <v>56</v>
      </c>
      <c r="C47" s="31">
        <v>242</v>
      </c>
      <c r="D47" s="81">
        <v>220</v>
      </c>
      <c r="E47" s="110">
        <f t="shared" si="5"/>
        <v>-22</v>
      </c>
      <c r="F47" s="12"/>
      <c r="G47" s="31">
        <v>355</v>
      </c>
      <c r="H47" s="81">
        <v>340</v>
      </c>
      <c r="I47" s="110">
        <f t="shared" si="6"/>
        <v>-15</v>
      </c>
      <c r="J47" s="12"/>
      <c r="K47" s="31">
        <v>257</v>
      </c>
      <c r="L47" s="81">
        <v>424</v>
      </c>
    </row>
    <row r="48" spans="1:12" ht="15.5" x14ac:dyDescent="0.35">
      <c r="A48" s="5" t="s">
        <v>58</v>
      </c>
      <c r="B48" s="46" t="s">
        <v>57</v>
      </c>
      <c r="C48" s="31">
        <v>901</v>
      </c>
      <c r="D48" s="81">
        <v>886</v>
      </c>
      <c r="E48" s="110">
        <f t="shared" si="5"/>
        <v>-15</v>
      </c>
      <c r="F48" s="12"/>
      <c r="G48" s="31">
        <v>1788</v>
      </c>
      <c r="H48" s="81">
        <v>1755</v>
      </c>
      <c r="I48" s="110">
        <f t="shared" si="6"/>
        <v>-33</v>
      </c>
      <c r="J48" s="12"/>
      <c r="K48" s="31">
        <v>862</v>
      </c>
      <c r="L48" s="81">
        <v>1745</v>
      </c>
    </row>
    <row r="49" spans="1:12" ht="15.5" x14ac:dyDescent="0.35">
      <c r="A49" s="5" t="s">
        <v>58</v>
      </c>
      <c r="B49" s="46" t="s">
        <v>59</v>
      </c>
      <c r="C49" s="31">
        <v>39</v>
      </c>
      <c r="D49" s="81">
        <v>35</v>
      </c>
      <c r="E49" s="110">
        <v>-4</v>
      </c>
      <c r="F49" s="12"/>
      <c r="G49" s="31">
        <v>74</v>
      </c>
      <c r="H49" s="81">
        <v>65</v>
      </c>
      <c r="I49" s="110">
        <v>-9</v>
      </c>
      <c r="J49" s="12"/>
      <c r="K49" s="31">
        <v>47</v>
      </c>
      <c r="L49" s="81">
        <v>89</v>
      </c>
    </row>
    <row r="50" spans="1:12" ht="15.5" x14ac:dyDescent="0.35">
      <c r="A50" s="5" t="s">
        <v>60</v>
      </c>
      <c r="B50" s="46" t="s">
        <v>61</v>
      </c>
      <c r="C50" s="31">
        <v>15</v>
      </c>
      <c r="D50" s="81">
        <v>14</v>
      </c>
      <c r="E50" s="110">
        <f t="shared" si="5"/>
        <v>-1</v>
      </c>
      <c r="F50" s="12"/>
      <c r="G50" s="31">
        <v>29</v>
      </c>
      <c r="H50" s="81">
        <v>27</v>
      </c>
      <c r="I50" s="110">
        <f t="shared" si="6"/>
        <v>-2</v>
      </c>
      <c r="J50" s="12"/>
      <c r="K50" s="31">
        <v>74</v>
      </c>
      <c r="L50" s="81">
        <v>240</v>
      </c>
    </row>
    <row r="51" spans="1:12" ht="15.5" x14ac:dyDescent="0.35">
      <c r="A51" s="5" t="s">
        <v>62</v>
      </c>
      <c r="B51" s="46" t="s">
        <v>63</v>
      </c>
      <c r="C51" s="31">
        <v>65</v>
      </c>
      <c r="D51" s="81">
        <v>80</v>
      </c>
      <c r="E51" s="110">
        <f t="shared" si="5"/>
        <v>15</v>
      </c>
      <c r="F51" s="12"/>
      <c r="G51" s="31">
        <v>240</v>
      </c>
      <c r="H51" s="81">
        <v>240</v>
      </c>
      <c r="I51" s="69">
        <f t="shared" si="6"/>
        <v>0</v>
      </c>
      <c r="J51" s="12"/>
      <c r="K51" s="31">
        <v>23</v>
      </c>
      <c r="L51" s="81">
        <v>45</v>
      </c>
    </row>
    <row r="52" spans="1:12" ht="16" thickBot="1" x14ac:dyDescent="0.4">
      <c r="A52" s="20"/>
      <c r="B52" s="119" t="s">
        <v>64</v>
      </c>
      <c r="C52" s="83">
        <v>195</v>
      </c>
      <c r="D52" s="122">
        <v>185</v>
      </c>
      <c r="E52" s="123">
        <v>-10</v>
      </c>
      <c r="F52" s="12"/>
      <c r="G52" s="83">
        <v>405</v>
      </c>
      <c r="H52" s="122">
        <v>374</v>
      </c>
      <c r="I52" s="123">
        <v>-31</v>
      </c>
      <c r="J52" s="12"/>
      <c r="K52" s="83">
        <v>222</v>
      </c>
      <c r="L52" s="122">
        <v>390</v>
      </c>
    </row>
    <row r="53" spans="1:12" ht="15.5" x14ac:dyDescent="0.35">
      <c r="A53" s="16"/>
      <c r="B53" s="126"/>
      <c r="C53" s="54"/>
      <c r="D53" s="53"/>
      <c r="E53" s="130"/>
      <c r="F53" s="14"/>
      <c r="G53" s="54"/>
      <c r="H53" s="53"/>
      <c r="I53" s="131"/>
      <c r="J53" s="14"/>
      <c r="K53" s="53"/>
      <c r="L53" s="133"/>
    </row>
    <row r="54" spans="1:12" ht="15.5" x14ac:dyDescent="0.35">
      <c r="B54" s="43" t="s">
        <v>65</v>
      </c>
      <c r="C54" s="17">
        <f t="shared" ref="C54:E54" si="7">SUM(C43:C52)</f>
        <v>3168</v>
      </c>
      <c r="D54" s="44">
        <f t="shared" si="7"/>
        <v>3140</v>
      </c>
      <c r="E54" s="61">
        <f t="shared" si="7"/>
        <v>-28</v>
      </c>
      <c r="F54" s="15"/>
      <c r="G54" s="17">
        <f>SUM(G43:G52)</f>
        <v>6119</v>
      </c>
      <c r="H54" s="44">
        <f>SUM(H43:H52)</f>
        <v>6009</v>
      </c>
      <c r="I54" s="132">
        <f>SUM(I43:I52)</f>
        <v>-110</v>
      </c>
      <c r="J54" s="15"/>
      <c r="K54" s="44">
        <f t="shared" ref="K54:L54" si="8">SUM(K43:K52)</f>
        <v>3288</v>
      </c>
      <c r="L54" s="84">
        <f t="shared" si="8"/>
        <v>6459</v>
      </c>
    </row>
    <row r="55" spans="1:12" ht="16" thickBot="1" x14ac:dyDescent="0.4">
      <c r="B55" s="127"/>
      <c r="C55" s="128"/>
      <c r="D55" s="62"/>
      <c r="E55" s="129"/>
      <c r="F55" s="13"/>
      <c r="G55" s="128"/>
      <c r="H55" s="62"/>
      <c r="I55" s="129"/>
      <c r="J55" s="38"/>
      <c r="K55" s="62"/>
      <c r="L55" s="125"/>
    </row>
    <row r="56" spans="1:12" ht="16" thickBot="1" x14ac:dyDescent="0.4">
      <c r="A56" s="4"/>
      <c r="B56" s="163" t="s">
        <v>66</v>
      </c>
      <c r="C56" s="134">
        <f>C27-C40-C54</f>
        <v>-37</v>
      </c>
      <c r="D56" s="85">
        <f>D27-D40-D54</f>
        <v>109</v>
      </c>
      <c r="E56" s="166">
        <f>E27+E40+E54</f>
        <v>-146</v>
      </c>
      <c r="F56" s="13"/>
      <c r="G56" s="86">
        <f>G27-G40-G54</f>
        <v>655</v>
      </c>
      <c r="H56" s="86">
        <f>H27-H40-H54</f>
        <v>905</v>
      </c>
      <c r="I56" s="166">
        <f>I27+I40+I54</f>
        <v>-250</v>
      </c>
      <c r="J56" s="13"/>
      <c r="K56" s="86">
        <f>K27-K40-K54</f>
        <v>627</v>
      </c>
      <c r="L56" s="87">
        <f>L27-L40-L54</f>
        <v>1893</v>
      </c>
    </row>
    <row r="57" spans="1:12" ht="15" thickBot="1" x14ac:dyDescent="0.4">
      <c r="B57" s="164" t="s">
        <v>67</v>
      </c>
      <c r="C57" s="160">
        <f>C56/C27</f>
        <v>-3.6463979501330443E-3</v>
      </c>
      <c r="D57" s="162">
        <f>D56/D27</f>
        <v>1.0532418591168229E-2</v>
      </c>
      <c r="E57" s="161"/>
      <c r="F57" s="151"/>
      <c r="G57" s="160">
        <f>G56/G27</f>
        <v>3.1688437348814706E-2</v>
      </c>
      <c r="H57" s="162">
        <f>H56/H27</f>
        <v>4.3041948064301339E-2</v>
      </c>
      <c r="I57" s="161"/>
      <c r="J57" s="155"/>
      <c r="K57" s="162">
        <f>K56/K27</f>
        <v>5.8548884116163977E-2</v>
      </c>
      <c r="L57" s="159">
        <f>L56/L27</f>
        <v>8.6822914277851673E-2</v>
      </c>
    </row>
    <row r="58" spans="1:12" ht="15" thickBot="1" x14ac:dyDescent="0.4">
      <c r="B58" s="27"/>
      <c r="C58" s="158"/>
      <c r="D58" s="153"/>
      <c r="E58" s="154"/>
      <c r="F58" s="88"/>
      <c r="G58" s="156"/>
      <c r="H58" s="153"/>
      <c r="I58" s="154"/>
      <c r="J58" s="88"/>
      <c r="K58" s="156"/>
      <c r="L58" s="157"/>
    </row>
    <row r="59" spans="1:12" ht="15.5" x14ac:dyDescent="0.35">
      <c r="B59" s="165" t="s">
        <v>68</v>
      </c>
      <c r="C59" s="140">
        <v>-51</v>
      </c>
      <c r="D59" s="137">
        <v>-51</v>
      </c>
      <c r="E59" s="141">
        <f t="shared" ref="E59" si="9">C59-D59</f>
        <v>0</v>
      </c>
      <c r="F59" s="15"/>
      <c r="G59" s="140">
        <v>-102</v>
      </c>
      <c r="H59" s="137">
        <v>-102</v>
      </c>
      <c r="I59" s="141">
        <f t="shared" ref="I59" si="10">G59-H59</f>
        <v>0</v>
      </c>
      <c r="J59" s="14"/>
      <c r="K59" s="137">
        <v>-51</v>
      </c>
      <c r="L59" s="142">
        <v>-102</v>
      </c>
    </row>
    <row r="60" spans="1:12" ht="15.5" x14ac:dyDescent="0.35">
      <c r="B60" s="46" t="s">
        <v>69</v>
      </c>
      <c r="C60" s="136">
        <v>360</v>
      </c>
      <c r="D60" s="138">
        <v>360</v>
      </c>
      <c r="E60" s="72">
        <f t="shared" ref="E60:E62" si="11">D60-C60</f>
        <v>0</v>
      </c>
      <c r="F60" s="15"/>
      <c r="G60" s="136">
        <v>715</v>
      </c>
      <c r="H60" s="138">
        <v>720</v>
      </c>
      <c r="I60" s="135">
        <f t="shared" ref="I60:I62" si="12">H60-G60</f>
        <v>5</v>
      </c>
      <c r="J60" s="14"/>
      <c r="K60" s="138">
        <v>365</v>
      </c>
      <c r="L60" s="143">
        <v>729</v>
      </c>
    </row>
    <row r="61" spans="1:12" ht="15.5" x14ac:dyDescent="0.35">
      <c r="B61" s="46" t="s">
        <v>70</v>
      </c>
      <c r="C61" s="136">
        <v>-7</v>
      </c>
      <c r="D61" s="138">
        <v>-9</v>
      </c>
      <c r="E61" s="135">
        <f t="shared" si="11"/>
        <v>-2</v>
      </c>
      <c r="F61" s="15"/>
      <c r="G61" s="136">
        <v>-12</v>
      </c>
      <c r="H61" s="138">
        <v>-15</v>
      </c>
      <c r="I61" s="135">
        <f t="shared" si="12"/>
        <v>-3</v>
      </c>
      <c r="J61" s="14"/>
      <c r="K61" s="138">
        <v>-12</v>
      </c>
      <c r="L61" s="143">
        <v>-22</v>
      </c>
    </row>
    <row r="62" spans="1:12" ht="16" thickBot="1" x14ac:dyDescent="0.4">
      <c r="B62" s="46" t="s">
        <v>71</v>
      </c>
      <c r="C62" s="136">
        <v>236</v>
      </c>
      <c r="D62" s="138">
        <v>234</v>
      </c>
      <c r="E62" s="135">
        <f t="shared" si="11"/>
        <v>-2</v>
      </c>
      <c r="F62" s="15"/>
      <c r="G62" s="136">
        <f>455-139</f>
        <v>316</v>
      </c>
      <c r="H62" s="138">
        <f>461-139</f>
        <v>322</v>
      </c>
      <c r="I62" s="135">
        <f t="shared" si="12"/>
        <v>6</v>
      </c>
      <c r="J62" s="14"/>
      <c r="K62" s="138">
        <v>233</v>
      </c>
      <c r="L62" s="143">
        <v>461</v>
      </c>
    </row>
    <row r="63" spans="1:12" ht="16" thickBot="1" x14ac:dyDescent="0.4">
      <c r="B63" s="163" t="s">
        <v>72</v>
      </c>
      <c r="C63" s="111">
        <f>C56-C59-C60-C61-C62</f>
        <v>-575</v>
      </c>
      <c r="D63" s="111">
        <f>D56-D59-D60-D61-D62</f>
        <v>-425</v>
      </c>
      <c r="E63" s="145">
        <f>E56+SUM(E59:E62)</f>
        <v>-150</v>
      </c>
      <c r="F63" s="13"/>
      <c r="G63" s="111">
        <f>G56-G59-G60-G61-G62</f>
        <v>-262</v>
      </c>
      <c r="H63" s="111">
        <f>H56-H59-H60-H61-H62</f>
        <v>-20</v>
      </c>
      <c r="I63" s="145">
        <f>I56+SUM(I59:I62)</f>
        <v>-242</v>
      </c>
      <c r="J63" s="13"/>
      <c r="K63" s="86">
        <f>K56-K59-K60-K61-K62</f>
        <v>92</v>
      </c>
      <c r="L63" s="87">
        <f>L56-L59-L60-L61-L62</f>
        <v>827</v>
      </c>
    </row>
    <row r="64" spans="1:12" ht="15.5" x14ac:dyDescent="0.35">
      <c r="B64" s="165"/>
      <c r="C64" s="78"/>
      <c r="D64" s="13"/>
      <c r="E64" s="78"/>
      <c r="F64" s="13"/>
      <c r="G64" s="146"/>
      <c r="H64" s="146"/>
      <c r="I64" s="146"/>
      <c r="J64" s="13"/>
      <c r="K64" s="78"/>
      <c r="L64" s="78"/>
    </row>
    <row r="65" spans="2:12" ht="15.5" x14ac:dyDescent="0.35">
      <c r="B65" s="46" t="s">
        <v>73</v>
      </c>
      <c r="C65" s="147">
        <f>C63</f>
        <v>-575</v>
      </c>
      <c r="D65" s="149">
        <f t="shared" ref="D65:L65" si="13">D63</f>
        <v>-425</v>
      </c>
      <c r="E65" s="147">
        <f t="shared" si="13"/>
        <v>-150</v>
      </c>
      <c r="F65" s="13"/>
      <c r="G65" s="147">
        <f t="shared" si="13"/>
        <v>-262</v>
      </c>
      <c r="H65" s="147">
        <f t="shared" si="13"/>
        <v>-20</v>
      </c>
      <c r="I65" s="147">
        <f t="shared" si="13"/>
        <v>-242</v>
      </c>
      <c r="J65" s="13"/>
      <c r="K65" s="12">
        <f t="shared" si="13"/>
        <v>92</v>
      </c>
      <c r="L65" s="12">
        <f t="shared" si="13"/>
        <v>827</v>
      </c>
    </row>
    <row r="66" spans="2:12" ht="16" thickBot="1" x14ac:dyDescent="0.4">
      <c r="B66" s="119" t="s">
        <v>74</v>
      </c>
      <c r="C66" s="139">
        <v>0</v>
      </c>
      <c r="D66" s="68">
        <v>0</v>
      </c>
      <c r="E66" s="139">
        <v>0</v>
      </c>
      <c r="F66" s="13"/>
      <c r="G66" s="148">
        <v>789</v>
      </c>
      <c r="H66" s="148">
        <v>789</v>
      </c>
      <c r="I66" s="139">
        <v>0</v>
      </c>
      <c r="J66" s="13"/>
      <c r="K66" s="144">
        <v>0</v>
      </c>
      <c r="L66" s="144">
        <v>650</v>
      </c>
    </row>
    <row r="67" spans="2:12" ht="16" thickBot="1" x14ac:dyDescent="0.4">
      <c r="B67" s="49" t="s">
        <v>75</v>
      </c>
      <c r="C67" s="150">
        <f>C65-C66</f>
        <v>-575</v>
      </c>
      <c r="D67" s="111">
        <f t="shared" ref="D67:E67" si="14">D65-D66</f>
        <v>-425</v>
      </c>
      <c r="E67" s="145">
        <f t="shared" si="14"/>
        <v>-150</v>
      </c>
      <c r="F67" s="38"/>
      <c r="G67" s="111">
        <f>G65-G66</f>
        <v>-1051</v>
      </c>
      <c r="H67" s="111">
        <f t="shared" ref="H67" si="15">H65-H66</f>
        <v>-809</v>
      </c>
      <c r="I67" s="145">
        <f t="shared" ref="I67" si="16">I65-I66</f>
        <v>-242</v>
      </c>
      <c r="J67" s="38"/>
      <c r="K67" s="86">
        <f>K65-K66</f>
        <v>92</v>
      </c>
      <c r="L67" s="87">
        <f t="shared" ref="L67" si="17">L65-L66</f>
        <v>177</v>
      </c>
    </row>
  </sheetData>
  <mergeCells count="5">
    <mergeCell ref="C4:E4"/>
    <mergeCell ref="G4:I4"/>
    <mergeCell ref="K4:L4"/>
    <mergeCell ref="B1:L1"/>
    <mergeCell ref="B2:L2"/>
  </mergeCells>
  <pageMargins left="0.23" right="0.12" top="0.13" bottom="0.13" header="0.13" footer="0.13"/>
  <pageSetup paperSize="9" scale="62"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9BC43-D321-494F-A787-732F1F47D9A5}">
  <sheetPr codeName="Sheet5">
    <pageSetUpPr fitToPage="1"/>
  </sheetPr>
  <dimension ref="A1:D36"/>
  <sheetViews>
    <sheetView workbookViewId="0">
      <selection activeCell="B5" sqref="B5"/>
    </sheetView>
  </sheetViews>
  <sheetFormatPr defaultRowHeight="14.5" x14ac:dyDescent="0.35"/>
  <cols>
    <col min="1" max="1" width="35.26953125" customWidth="1"/>
    <col min="2" max="2" width="16.54296875" style="523" customWidth="1"/>
    <col min="3" max="3" width="16.453125" customWidth="1"/>
    <col min="4" max="4" width="72.1796875" style="633" customWidth="1"/>
    <col min="5" max="5" width="10.54296875" customWidth="1"/>
  </cols>
  <sheetData>
    <row r="1" spans="1:4" ht="20" x14ac:dyDescent="0.4">
      <c r="A1" s="812"/>
      <c r="B1" s="813"/>
      <c r="C1" s="813"/>
      <c r="D1" s="814"/>
    </row>
    <row r="2" spans="1:4" ht="20" x14ac:dyDescent="0.4">
      <c r="A2" s="815" t="s">
        <v>329</v>
      </c>
      <c r="B2" s="816" t="e">
        <f>"MANAGEMENT ACCOUNTS FOR THE "&amp;#REF!&amp;" MONTHS TO 31st JANUARY 2015"</f>
        <v>#REF!</v>
      </c>
      <c r="C2" s="816" t="e">
        <f>"MANAGEMENT ACCOUNTS FOR THE "&amp;#REF!&amp;" MONTHS TO 31st JANUARY 2015"</f>
        <v>#REF!</v>
      </c>
      <c r="D2" s="817" t="e">
        <f>"MANAGEMENT ACCOUNTS FOR THE "&amp;#REF!&amp;" MONTHS TO 31st JANUARY 2015"</f>
        <v>#REF!</v>
      </c>
    </row>
    <row r="3" spans="1:4" s="500" customFormat="1" ht="15" thickBot="1" x14ac:dyDescent="0.4">
      <c r="A3" s="587"/>
      <c r="B3" s="588"/>
      <c r="C3" s="588"/>
      <c r="D3" s="589"/>
    </row>
    <row r="4" spans="1:4" s="500" customFormat="1" ht="16" thickBot="1" x14ac:dyDescent="0.4">
      <c r="A4" s="590"/>
      <c r="B4" s="591" t="s">
        <v>330</v>
      </c>
      <c r="C4" s="591" t="s">
        <v>330</v>
      </c>
      <c r="D4" s="592"/>
    </row>
    <row r="5" spans="1:4" s="500" customFormat="1" ht="31.5" thickBot="1" x14ac:dyDescent="0.4">
      <c r="A5" s="593" t="s">
        <v>331</v>
      </c>
      <c r="B5" s="594">
        <v>-20</v>
      </c>
      <c r="C5" s="594">
        <f>-262</f>
        <v>-262</v>
      </c>
      <c r="D5" s="595" t="s">
        <v>332</v>
      </c>
    </row>
    <row r="6" spans="1:4" s="500" customFormat="1" ht="16" thickBot="1" x14ac:dyDescent="0.4">
      <c r="A6" s="596"/>
      <c r="B6" s="597"/>
      <c r="C6" s="597"/>
      <c r="D6" s="598"/>
    </row>
    <row r="7" spans="1:4" s="500" customFormat="1" ht="31.5" thickBot="1" x14ac:dyDescent="0.4">
      <c r="A7" s="599" t="s">
        <v>333</v>
      </c>
      <c r="B7" s="600" t="s">
        <v>334</v>
      </c>
      <c r="C7" s="601" t="s">
        <v>330</v>
      </c>
      <c r="D7" s="602" t="s">
        <v>252</v>
      </c>
    </row>
    <row r="8" spans="1:4" s="500" customFormat="1" ht="15.5" x14ac:dyDescent="0.35">
      <c r="A8" s="603" t="s">
        <v>335</v>
      </c>
      <c r="B8" s="604"/>
      <c r="C8" s="605"/>
      <c r="D8" s="606"/>
    </row>
    <row r="9" spans="1:4" s="500" customFormat="1" ht="15.5" x14ac:dyDescent="0.35">
      <c r="A9" s="607" t="s">
        <v>336</v>
      </c>
      <c r="B9" s="608" t="s">
        <v>328</v>
      </c>
      <c r="C9" s="609">
        <v>-139</v>
      </c>
      <c r="D9" s="606" t="s">
        <v>337</v>
      </c>
    </row>
    <row r="10" spans="1:4" s="500" customFormat="1" ht="15.5" x14ac:dyDescent="0.35">
      <c r="A10" s="607" t="s">
        <v>338</v>
      </c>
      <c r="B10" s="608" t="s">
        <v>328</v>
      </c>
      <c r="C10" s="609">
        <v>-56</v>
      </c>
      <c r="D10" s="606" t="s">
        <v>339</v>
      </c>
    </row>
    <row r="11" spans="1:4" s="500" customFormat="1" ht="15.5" x14ac:dyDescent="0.35">
      <c r="A11" s="607" t="s">
        <v>340</v>
      </c>
      <c r="B11" s="608" t="s">
        <v>328</v>
      </c>
      <c r="C11" s="609">
        <v>-92</v>
      </c>
      <c r="D11" s="606" t="s">
        <v>341</v>
      </c>
    </row>
    <row r="12" spans="1:4" s="500" customFormat="1" ht="31.5" thickBot="1" x14ac:dyDescent="0.4">
      <c r="A12" s="607" t="s">
        <v>342</v>
      </c>
      <c r="B12" s="608" t="s">
        <v>328</v>
      </c>
      <c r="C12" s="609">
        <v>-69</v>
      </c>
      <c r="D12" s="610" t="s">
        <v>343</v>
      </c>
    </row>
    <row r="13" spans="1:4" s="500" customFormat="1" ht="16" thickBot="1" x14ac:dyDescent="0.4">
      <c r="A13" s="611" t="s">
        <v>344</v>
      </c>
      <c r="B13" s="612" t="s">
        <v>328</v>
      </c>
      <c r="C13" s="613">
        <f>SUM(C9:C12)</f>
        <v>-356</v>
      </c>
      <c r="D13" s="614" t="s">
        <v>345</v>
      </c>
    </row>
    <row r="14" spans="1:4" s="500" customFormat="1" ht="15.5" x14ac:dyDescent="0.35">
      <c r="A14" s="603" t="s">
        <v>346</v>
      </c>
      <c r="B14" s="615"/>
      <c r="C14" s="609"/>
      <c r="D14" s="606"/>
    </row>
    <row r="15" spans="1:4" s="500" customFormat="1" ht="31" x14ac:dyDescent="0.35">
      <c r="A15" s="607" t="s">
        <v>347</v>
      </c>
      <c r="B15" s="616" t="s">
        <v>348</v>
      </c>
      <c r="C15" s="609">
        <v>69</v>
      </c>
      <c r="D15" s="610" t="s">
        <v>349</v>
      </c>
    </row>
    <row r="16" spans="1:4" s="500" customFormat="1" ht="15.5" x14ac:dyDescent="0.35">
      <c r="A16" s="607" t="s">
        <v>350</v>
      </c>
      <c r="B16" s="616" t="s">
        <v>348</v>
      </c>
      <c r="C16" s="609">
        <v>126</v>
      </c>
      <c r="D16" s="606" t="s">
        <v>351</v>
      </c>
    </row>
    <row r="17" spans="1:4" s="500" customFormat="1" ht="15.5" x14ac:dyDescent="0.35">
      <c r="A17" s="607" t="s">
        <v>352</v>
      </c>
      <c r="B17" s="616" t="s">
        <v>348</v>
      </c>
      <c r="C17" s="609">
        <v>24</v>
      </c>
      <c r="D17" s="606" t="s">
        <v>353</v>
      </c>
    </row>
    <row r="18" spans="1:4" s="500" customFormat="1" ht="15.5" x14ac:dyDescent="0.35">
      <c r="A18" s="607" t="s">
        <v>354</v>
      </c>
      <c r="B18" s="608" t="s">
        <v>328</v>
      </c>
      <c r="C18" s="609">
        <v>-3</v>
      </c>
      <c r="D18" s="606" t="s">
        <v>355</v>
      </c>
    </row>
    <row r="19" spans="1:4" s="500" customFormat="1" ht="15.75" customHeight="1" x14ac:dyDescent="0.35">
      <c r="A19" s="607" t="s">
        <v>51</v>
      </c>
      <c r="B19" s="616" t="s">
        <v>348</v>
      </c>
      <c r="C19" s="609">
        <v>33</v>
      </c>
      <c r="D19" s="610" t="s">
        <v>356</v>
      </c>
    </row>
    <row r="20" spans="1:4" s="500" customFormat="1" ht="31" x14ac:dyDescent="0.35">
      <c r="A20" s="607" t="s">
        <v>55</v>
      </c>
      <c r="B20" s="608" t="s">
        <v>328</v>
      </c>
      <c r="C20" s="609">
        <v>-30</v>
      </c>
      <c r="D20" s="610" t="s">
        <v>357</v>
      </c>
    </row>
    <row r="21" spans="1:4" s="500" customFormat="1" ht="15.5" x14ac:dyDescent="0.35">
      <c r="A21" s="607" t="s">
        <v>56</v>
      </c>
      <c r="B21" s="608" t="s">
        <v>328</v>
      </c>
      <c r="C21" s="609">
        <v>-15</v>
      </c>
      <c r="D21" s="606" t="s">
        <v>358</v>
      </c>
    </row>
    <row r="22" spans="1:4" s="500" customFormat="1" ht="16.899999999999999" customHeight="1" x14ac:dyDescent="0.35">
      <c r="A22" s="607" t="s">
        <v>57</v>
      </c>
      <c r="B22" s="608" t="s">
        <v>328</v>
      </c>
      <c r="C22" s="609">
        <v>-33</v>
      </c>
      <c r="D22" s="610" t="s">
        <v>359</v>
      </c>
    </row>
    <row r="23" spans="1:4" s="500" customFormat="1" ht="16.899999999999999" customHeight="1" x14ac:dyDescent="0.35">
      <c r="A23" s="607" t="s">
        <v>58</v>
      </c>
      <c r="B23" s="608" t="s">
        <v>328</v>
      </c>
      <c r="C23" s="609">
        <v>-11</v>
      </c>
      <c r="D23" s="610" t="s">
        <v>360</v>
      </c>
    </row>
    <row r="24" spans="1:4" s="500" customFormat="1" ht="17.25" customHeight="1" thickBot="1" x14ac:dyDescent="0.4">
      <c r="A24" s="607" t="s">
        <v>64</v>
      </c>
      <c r="B24" s="608" t="s">
        <v>328</v>
      </c>
      <c r="C24" s="609">
        <f>-20-34</f>
        <v>-54</v>
      </c>
      <c r="D24" s="606" t="s">
        <v>361</v>
      </c>
    </row>
    <row r="25" spans="1:4" s="500" customFormat="1" ht="16" thickBot="1" x14ac:dyDescent="0.4">
      <c r="A25" s="611" t="s">
        <v>362</v>
      </c>
      <c r="B25" s="617" t="s">
        <v>348</v>
      </c>
      <c r="C25" s="613">
        <f>SUM(C15:C24)</f>
        <v>106</v>
      </c>
      <c r="D25" s="614" t="s">
        <v>363</v>
      </c>
    </row>
    <row r="26" spans="1:4" s="500" customFormat="1" ht="15.5" x14ac:dyDescent="0.35">
      <c r="A26" s="618"/>
      <c r="B26" s="619"/>
      <c r="C26" s="620"/>
      <c r="D26" s="621"/>
    </row>
    <row r="27" spans="1:4" s="500" customFormat="1" ht="15.5" x14ac:dyDescent="0.35">
      <c r="A27" s="622" t="s">
        <v>189</v>
      </c>
      <c r="B27" s="623" t="s">
        <v>348</v>
      </c>
      <c r="C27" s="609">
        <v>8</v>
      </c>
      <c r="D27" s="606" t="s">
        <v>364</v>
      </c>
    </row>
    <row r="28" spans="1:4" ht="16" thickBot="1" x14ac:dyDescent="0.4">
      <c r="A28" s="624"/>
      <c r="B28" s="625"/>
      <c r="C28" s="626"/>
      <c r="D28" s="627"/>
    </row>
    <row r="29" spans="1:4" ht="16" thickBot="1" x14ac:dyDescent="0.4">
      <c r="A29" s="628" t="s">
        <v>365</v>
      </c>
      <c r="B29" s="612" t="s">
        <v>328</v>
      </c>
      <c r="C29" s="629">
        <f>C27+C25+C13</f>
        <v>-242</v>
      </c>
      <c r="D29" s="630" t="s">
        <v>366</v>
      </c>
    </row>
    <row r="30" spans="1:4" ht="15.5" x14ac:dyDescent="0.35">
      <c r="A30" s="8"/>
      <c r="B30" s="631"/>
      <c r="C30" s="8"/>
      <c r="D30" s="632"/>
    </row>
    <row r="31" spans="1:4" ht="15.5" x14ac:dyDescent="0.35">
      <c r="A31" s="8"/>
      <c r="B31" s="631"/>
      <c r="C31" s="8"/>
      <c r="D31" s="632"/>
    </row>
    <row r="32" spans="1:4" ht="15.5" x14ac:dyDescent="0.35">
      <c r="A32" s="8"/>
      <c r="B32" s="631"/>
      <c r="C32" s="8"/>
      <c r="D32" s="632"/>
    </row>
    <row r="33" spans="1:4" ht="15.5" x14ac:dyDescent="0.35">
      <c r="A33" s="8"/>
      <c r="B33" s="631"/>
      <c r="C33" s="8"/>
      <c r="D33" s="632"/>
    </row>
    <row r="34" spans="1:4" ht="15.5" x14ac:dyDescent="0.35">
      <c r="A34" s="8"/>
      <c r="B34" s="631"/>
      <c r="C34" s="8"/>
      <c r="D34" s="632"/>
    </row>
    <row r="35" spans="1:4" ht="15.5" x14ac:dyDescent="0.35">
      <c r="A35" s="8"/>
      <c r="B35" s="631"/>
      <c r="C35" s="8"/>
      <c r="D35" s="632"/>
    </row>
    <row r="36" spans="1:4" ht="15.5" x14ac:dyDescent="0.35">
      <c r="A36" s="8"/>
      <c r="B36" s="631"/>
      <c r="C36" s="8"/>
      <c r="D36" s="632"/>
    </row>
  </sheetData>
  <mergeCells count="2">
    <mergeCell ref="A1:D1"/>
    <mergeCell ref="A2:D2"/>
  </mergeCells>
  <pageMargins left="0.12" right="0.12" top="0.28000000000000003" bottom="0.28000000000000003" header="0.3" footer="0.3"/>
  <pageSetup paperSize="9" orientation="landscape" horizontalDpi="4294967293" vertic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ABB2-A113-48BB-922D-E07EF45D11A4}">
  <sheetPr codeName="Sheet19"/>
  <dimension ref="A1:K5"/>
  <sheetViews>
    <sheetView workbookViewId="0">
      <selection activeCell="F19" sqref="F19"/>
    </sheetView>
  </sheetViews>
  <sheetFormatPr defaultRowHeight="14.5" x14ac:dyDescent="0.35"/>
  <cols>
    <col min="1" max="1" width="18.54296875" customWidth="1"/>
    <col min="2" max="4" width="13.08984375" style="523" customWidth="1"/>
    <col min="5" max="5" width="14.08984375" customWidth="1"/>
    <col min="6" max="7" width="12.08984375" customWidth="1"/>
    <col min="8" max="8" width="8.6328125" customWidth="1"/>
    <col min="9" max="10" width="13.36328125" customWidth="1"/>
    <col min="11" max="11" width="12.08984375" customWidth="1"/>
  </cols>
  <sheetData>
    <row r="1" spans="1:11" s="755" customFormat="1" ht="43.5" customHeight="1" x14ac:dyDescent="0.35">
      <c r="A1" s="756"/>
      <c r="B1" s="757" t="s">
        <v>8</v>
      </c>
      <c r="C1" s="757"/>
      <c r="D1" s="757"/>
      <c r="E1" s="757" t="s">
        <v>462</v>
      </c>
      <c r="F1" s="757" t="s">
        <v>463</v>
      </c>
      <c r="G1" s="758"/>
      <c r="H1" s="757"/>
      <c r="I1" s="757" t="s">
        <v>464</v>
      </c>
      <c r="J1" s="757" t="s">
        <v>465</v>
      </c>
      <c r="K1" s="759" t="s">
        <v>466</v>
      </c>
    </row>
    <row r="2" spans="1:11" x14ac:dyDescent="0.35">
      <c r="A2" s="760"/>
      <c r="B2" s="761" t="s">
        <v>467</v>
      </c>
      <c r="C2" s="762" t="s">
        <v>468</v>
      </c>
      <c r="D2" s="762" t="s">
        <v>469</v>
      </c>
      <c r="E2" s="763"/>
      <c r="F2" s="762" t="s">
        <v>467</v>
      </c>
      <c r="G2" s="762" t="s">
        <v>468</v>
      </c>
      <c r="H2" s="762" t="s">
        <v>469</v>
      </c>
      <c r="I2" s="762"/>
      <c r="J2" s="762"/>
      <c r="K2" s="764" t="s">
        <v>470</v>
      </c>
    </row>
    <row r="3" spans="1:11" ht="15.5" x14ac:dyDescent="0.35">
      <c r="A3" s="765" t="s">
        <v>471</v>
      </c>
      <c r="B3" s="766">
        <v>490</v>
      </c>
      <c r="C3" s="766">
        <v>505</v>
      </c>
      <c r="D3" s="766">
        <f>B3-C3</f>
        <v>-15</v>
      </c>
      <c r="E3" s="767">
        <f>-D3/C3</f>
        <v>2.9702970297029702E-2</v>
      </c>
      <c r="F3" s="768">
        <v>1435</v>
      </c>
      <c r="G3" s="768">
        <v>1487</v>
      </c>
      <c r="H3" s="768">
        <f>F3-G3</f>
        <v>-52</v>
      </c>
      <c r="I3" s="769">
        <v>0.03</v>
      </c>
      <c r="J3" s="770">
        <f>-H3/G3</f>
        <v>3.496973772696705E-2</v>
      </c>
      <c r="K3" s="771">
        <f>H3</f>
        <v>-52</v>
      </c>
    </row>
    <row r="4" spans="1:11" ht="15.5" x14ac:dyDescent="0.35">
      <c r="A4" s="765" t="s">
        <v>472</v>
      </c>
      <c r="B4" s="766">
        <v>780</v>
      </c>
      <c r="C4" s="766">
        <v>840</v>
      </c>
      <c r="D4" s="766">
        <f>B4-C4</f>
        <v>-60</v>
      </c>
      <c r="E4" s="767">
        <f>-D4/C4</f>
        <v>7.1428571428571425E-2</v>
      </c>
      <c r="F4" s="768">
        <v>1413</v>
      </c>
      <c r="G4" s="768">
        <v>1500</v>
      </c>
      <c r="H4" s="768">
        <f>F4-G4</f>
        <v>-87</v>
      </c>
      <c r="I4" s="769">
        <v>0.05</v>
      </c>
      <c r="J4" s="770">
        <f>-H4/G4</f>
        <v>5.8000000000000003E-2</v>
      </c>
      <c r="K4" s="771">
        <f>H4</f>
        <v>-87</v>
      </c>
    </row>
    <row r="5" spans="1:11" ht="16" thickBot="1" x14ac:dyDescent="0.4">
      <c r="A5" s="772" t="s">
        <v>376</v>
      </c>
      <c r="B5" s="773">
        <f>SUM(B3:B4)</f>
        <v>1270</v>
      </c>
      <c r="C5" s="773">
        <f>SUM(C3:C4)</f>
        <v>1345</v>
      </c>
      <c r="D5" s="774">
        <f>SUM(D3:D4)</f>
        <v>-75</v>
      </c>
      <c r="E5" s="775">
        <f>-D5/C5</f>
        <v>5.5762081784386616E-2</v>
      </c>
      <c r="F5" s="773">
        <f>SUM(F3:F4)</f>
        <v>2848</v>
      </c>
      <c r="G5" s="773">
        <f>SUM(G3:G4)</f>
        <v>2987</v>
      </c>
      <c r="H5" s="774">
        <f>SUM(H3:H4)</f>
        <v>-139</v>
      </c>
      <c r="I5" s="776">
        <f>(I3*G3+I4*G4)/G5</f>
        <v>4.004352192835621E-2</v>
      </c>
      <c r="J5" s="777">
        <f>-H5/G5</f>
        <v>4.6534984934717111E-2</v>
      </c>
      <c r="K5" s="778">
        <f>SUM(K3:K4)</f>
        <v>-139</v>
      </c>
    </row>
  </sheetData>
  <pageMargins left="0.7" right="0.7" top="0.75" bottom="0.75" header="0.3" footer="0.3"/>
  <ignoredErrors>
    <ignoredError sqref="E5" formula="1"/>
    <ignoredError sqref="K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5B08E-13A2-44E3-8D01-2D6F9F7863D3}">
  <sheetPr codeName="Sheet6">
    <pageSetUpPr fitToPage="1"/>
  </sheetPr>
  <dimension ref="A1:AF20"/>
  <sheetViews>
    <sheetView workbookViewId="0">
      <selection activeCell="B13" sqref="B13"/>
    </sheetView>
  </sheetViews>
  <sheetFormatPr defaultRowHeight="14.5" x14ac:dyDescent="0.35"/>
  <cols>
    <col min="1" max="1" width="45.36328125" customWidth="1"/>
    <col min="2" max="4" width="12.7265625" customWidth="1"/>
    <col min="5" max="5" width="43.54296875" customWidth="1"/>
    <col min="6" max="6" width="12.54296875" customWidth="1"/>
    <col min="7" max="7" width="22.1796875" customWidth="1"/>
    <col min="9" max="9" width="48.7265625" customWidth="1"/>
    <col min="10" max="10" width="12.7265625" customWidth="1"/>
    <col min="11" max="11" width="16.54296875" customWidth="1"/>
    <col min="12" max="12" width="12.7265625" customWidth="1"/>
    <col min="13" max="13" width="16.08984375" customWidth="1"/>
    <col min="14" max="14" width="12.7265625" customWidth="1"/>
    <col min="15" max="15" width="29.26953125" customWidth="1"/>
  </cols>
  <sheetData>
    <row r="1" spans="1:32" ht="20" x14ac:dyDescent="0.4">
      <c r="A1" s="558"/>
      <c r="B1" s="561" t="s">
        <v>173</v>
      </c>
      <c r="C1" s="558"/>
      <c r="D1" s="559"/>
      <c r="E1" s="559"/>
      <c r="F1" s="559"/>
      <c r="G1" s="559"/>
    </row>
    <row r="2" spans="1:32" ht="20.5" thickBot="1" x14ac:dyDescent="0.45">
      <c r="A2" s="560"/>
      <c r="B2" s="560" t="s">
        <v>297</v>
      </c>
      <c r="C2" s="264"/>
      <c r="D2" s="264"/>
      <c r="E2" s="264"/>
      <c r="F2" s="264"/>
      <c r="G2" s="264"/>
    </row>
    <row r="3" spans="1:32" ht="46" customHeight="1" thickBot="1" x14ac:dyDescent="0.4">
      <c r="A3" s="540" t="s">
        <v>300</v>
      </c>
      <c r="B3" s="540"/>
      <c r="C3" s="540"/>
      <c r="D3" s="540"/>
      <c r="E3" s="540"/>
      <c r="F3" s="540"/>
      <c r="G3" s="540"/>
    </row>
    <row r="4" spans="1:32" s="500" customFormat="1" ht="46" customHeight="1" thickBot="1" x14ac:dyDescent="0.4">
      <c r="A4" s="546" t="s">
        <v>303</v>
      </c>
      <c r="B4" s="547" t="s">
        <v>304</v>
      </c>
      <c r="C4" s="547" t="s">
        <v>305</v>
      </c>
      <c r="D4" s="546" t="s">
        <v>306</v>
      </c>
      <c r="E4" s="546" t="s">
        <v>296</v>
      </c>
      <c r="F4" s="539" t="s">
        <v>295</v>
      </c>
      <c r="G4" s="539" t="s">
        <v>80</v>
      </c>
      <c r="H4"/>
      <c r="I4"/>
      <c r="J4"/>
      <c r="K4"/>
      <c r="L4"/>
      <c r="M4"/>
      <c r="N4"/>
      <c r="O4"/>
      <c r="P4"/>
      <c r="Q4"/>
      <c r="R4"/>
      <c r="S4"/>
      <c r="T4"/>
      <c r="U4"/>
      <c r="V4"/>
      <c r="W4"/>
      <c r="X4"/>
      <c r="Y4"/>
      <c r="Z4"/>
      <c r="AA4"/>
      <c r="AB4"/>
      <c r="AC4"/>
      <c r="AD4"/>
      <c r="AE4"/>
      <c r="AF4"/>
    </row>
    <row r="5" spans="1:32" s="500" customFormat="1" ht="46" customHeight="1" thickBot="1" x14ac:dyDescent="0.4">
      <c r="A5" s="549" t="s">
        <v>309</v>
      </c>
      <c r="B5" s="550">
        <f>-('[1]Cash use '!B4/'[1]Cash use '!B7)</f>
        <v>1.2597222222222222</v>
      </c>
      <c r="C5" s="550">
        <f>-('[1]Cash use '!C4/'[1]Cash use '!C7)</f>
        <v>0.97072510521885691</v>
      </c>
      <c r="D5" s="551" t="s">
        <v>310</v>
      </c>
      <c r="E5" s="552" t="s">
        <v>311</v>
      </c>
      <c r="F5" s="690" t="s">
        <v>325</v>
      </c>
      <c r="G5" s="585" t="s">
        <v>328</v>
      </c>
      <c r="H5"/>
      <c r="I5"/>
      <c r="J5"/>
      <c r="K5"/>
      <c r="L5"/>
      <c r="M5"/>
      <c r="N5"/>
      <c r="O5"/>
      <c r="P5"/>
      <c r="Q5"/>
      <c r="R5"/>
      <c r="S5"/>
      <c r="T5"/>
      <c r="U5"/>
      <c r="V5"/>
      <c r="W5"/>
      <c r="X5"/>
      <c r="Y5"/>
      <c r="Z5"/>
      <c r="AA5"/>
      <c r="AB5"/>
      <c r="AC5"/>
      <c r="AD5"/>
      <c r="AE5"/>
      <c r="AF5"/>
    </row>
    <row r="6" spans="1:32" s="500" customFormat="1" ht="46" customHeight="1" thickBot="1" x14ac:dyDescent="0.4">
      <c r="A6" s="549" t="s">
        <v>314</v>
      </c>
      <c r="B6" s="550">
        <f>((SUM('[1]Bal Sheet'!$F22:$F22)+(SUM('[1]Bal Sheet'!$F36:$F36))-'[1]Bal Sheet'!F18)/'[1]I&amp;E'!H56)</f>
        <v>6.2309392265193368</v>
      </c>
      <c r="C6" s="550">
        <f>((SUM('[1]Bal Sheet'!$G22:$G22)+(SUM('[1]Bal Sheet'!$G36:$G36))-'[1]Bal Sheet'!G18)/'[1]I&amp;E'!G56)</f>
        <v>8.9129770992366417</v>
      </c>
      <c r="D6" s="551" t="s">
        <v>310</v>
      </c>
      <c r="E6" s="552" t="s">
        <v>315</v>
      </c>
      <c r="F6" s="690" t="s">
        <v>325</v>
      </c>
      <c r="G6" s="585" t="s">
        <v>328</v>
      </c>
      <c r="H6"/>
      <c r="I6"/>
      <c r="J6"/>
      <c r="K6"/>
      <c r="L6"/>
      <c r="M6"/>
      <c r="N6"/>
      <c r="O6"/>
      <c r="P6"/>
      <c r="Q6"/>
      <c r="R6"/>
      <c r="S6"/>
      <c r="T6"/>
      <c r="U6"/>
      <c r="V6"/>
      <c r="W6"/>
      <c r="X6"/>
      <c r="Y6"/>
      <c r="Z6"/>
      <c r="AA6"/>
      <c r="AB6"/>
      <c r="AC6"/>
      <c r="AD6"/>
      <c r="AE6"/>
      <c r="AF6"/>
    </row>
    <row r="7" spans="1:32" s="500" customFormat="1" ht="46" customHeight="1" thickBot="1" x14ac:dyDescent="0.4">
      <c r="A7" s="555" t="s">
        <v>317</v>
      </c>
      <c r="B7" s="556">
        <f>'[1]Bal Sheet'!F45</f>
        <v>3412</v>
      </c>
      <c r="C7" s="556">
        <f>'[1]Bal Sheet'!G45</f>
        <v>3170</v>
      </c>
      <c r="D7" s="551" t="s">
        <v>318</v>
      </c>
      <c r="E7" s="557">
        <v>3170</v>
      </c>
      <c r="F7" s="689" t="s">
        <v>324</v>
      </c>
      <c r="G7" s="585" t="s">
        <v>328</v>
      </c>
      <c r="H7"/>
      <c r="I7"/>
      <c r="J7"/>
      <c r="K7"/>
      <c r="L7"/>
      <c r="M7"/>
      <c r="N7"/>
      <c r="O7"/>
      <c r="P7"/>
      <c r="Q7"/>
      <c r="R7"/>
      <c r="S7"/>
      <c r="T7"/>
      <c r="U7"/>
      <c r="V7"/>
      <c r="W7"/>
      <c r="X7"/>
      <c r="Y7"/>
      <c r="Z7"/>
      <c r="AA7"/>
      <c r="AB7"/>
      <c r="AC7"/>
      <c r="AD7"/>
      <c r="AE7"/>
      <c r="AF7"/>
    </row>
    <row r="8" spans="1:32" s="500" customFormat="1" ht="46" customHeight="1" x14ac:dyDescent="0.35">
      <c r="A8" s="572" t="s">
        <v>327</v>
      </c>
      <c r="B8" s="573"/>
      <c r="C8" s="573"/>
      <c r="D8" s="574"/>
      <c r="E8" s="575"/>
      <c r="F8" s="576"/>
      <c r="G8" s="577"/>
      <c r="H8"/>
      <c r="I8"/>
      <c r="J8"/>
      <c r="K8"/>
      <c r="L8"/>
      <c r="M8"/>
      <c r="N8"/>
      <c r="O8"/>
      <c r="P8"/>
      <c r="Q8"/>
      <c r="R8"/>
      <c r="S8"/>
      <c r="T8"/>
      <c r="U8"/>
      <c r="V8"/>
      <c r="W8"/>
      <c r="X8"/>
      <c r="Y8"/>
      <c r="Z8"/>
      <c r="AA8"/>
      <c r="AB8"/>
      <c r="AC8"/>
      <c r="AD8"/>
      <c r="AE8"/>
      <c r="AF8"/>
    </row>
    <row r="9" spans="1:32" ht="15.5" customHeight="1" thickBot="1" x14ac:dyDescent="0.4">
      <c r="A9" s="578" t="s">
        <v>326</v>
      </c>
      <c r="B9" s="579"/>
      <c r="C9" s="579"/>
      <c r="D9" s="579"/>
      <c r="E9" s="579"/>
      <c r="F9" s="579"/>
      <c r="G9" s="580"/>
    </row>
    <row r="14" spans="1:32" ht="49.5" customHeight="1" x14ac:dyDescent="0.35"/>
    <row r="15" spans="1:32" ht="49.5" customHeight="1" x14ac:dyDescent="0.35"/>
    <row r="16" spans="1:32" ht="49.5" customHeight="1" x14ac:dyDescent="0.35"/>
    <row r="17" ht="49.5" customHeight="1" x14ac:dyDescent="0.35"/>
    <row r="18" ht="46" customHeight="1" x14ac:dyDescent="0.35"/>
    <row r="19" ht="46" customHeight="1" x14ac:dyDescent="0.35"/>
    <row r="20" ht="58.5" customHeight="1" x14ac:dyDescent="0.35"/>
  </sheetData>
  <pageMargins left="0.13" right="0.13" top="0.28000000000000003" bottom="0.28000000000000003" header="0.3" footer="0.3"/>
  <pageSetup paperSize="9" scale="76" orientation="landscape" horizontalDpi="4294967293" vertic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26087-696F-4168-9ED9-38AAE2B4C367}">
  <sheetPr codeName="Sheet7">
    <pageSetUpPr fitToPage="1"/>
  </sheetPr>
  <dimension ref="A1:H52"/>
  <sheetViews>
    <sheetView zoomScale="80" zoomScaleNormal="80" workbookViewId="0">
      <pane xSplit="2" ySplit="7" topLeftCell="C12" activePane="bottomRight" state="frozen"/>
      <selection pane="topRight" activeCell="B21" sqref="B21:B22"/>
      <selection pane="bottomLeft" activeCell="B21" sqref="B21:B22"/>
      <selection pane="bottomRight" activeCell="B1" sqref="B1:H52"/>
    </sheetView>
  </sheetViews>
  <sheetFormatPr defaultRowHeight="14.5" x14ac:dyDescent="0.35"/>
  <cols>
    <col min="1" max="1" width="1.453125" customWidth="1"/>
    <col min="2" max="2" width="52.7265625" bestFit="1" customWidth="1"/>
    <col min="3" max="7" width="18" customWidth="1"/>
    <col min="8" max="8" width="21.7265625" bestFit="1" customWidth="1"/>
  </cols>
  <sheetData>
    <row r="1" spans="1:8" ht="25.9" customHeight="1" x14ac:dyDescent="0.4">
      <c r="B1" s="818"/>
      <c r="C1" s="819"/>
      <c r="D1" s="819"/>
      <c r="E1" s="819"/>
      <c r="F1" s="819"/>
      <c r="G1" s="819"/>
      <c r="H1" s="820"/>
    </row>
    <row r="2" spans="1:8" ht="24.75" customHeight="1" x14ac:dyDescent="0.4">
      <c r="B2" s="821" t="s">
        <v>76</v>
      </c>
      <c r="C2" s="822"/>
      <c r="D2" s="822"/>
      <c r="E2" s="822"/>
      <c r="F2" s="822"/>
      <c r="G2" s="822"/>
      <c r="H2" s="823"/>
    </row>
    <row r="3" spans="1:8" ht="23.65" customHeight="1" thickBot="1" x14ac:dyDescent="0.4">
      <c r="B3" s="23"/>
      <c r="C3" s="168"/>
      <c r="D3" s="168"/>
      <c r="E3" s="168"/>
      <c r="F3" s="167"/>
      <c r="G3" s="167"/>
      <c r="H3" s="26"/>
    </row>
    <row r="4" spans="1:8" ht="15.5" x14ac:dyDescent="0.35">
      <c r="B4" s="7"/>
      <c r="C4" s="182" t="s">
        <v>77</v>
      </c>
      <c r="D4" s="171" t="s">
        <v>4</v>
      </c>
      <c r="E4" s="182"/>
      <c r="F4" s="171"/>
      <c r="G4" s="182"/>
      <c r="H4" s="172" t="s">
        <v>6</v>
      </c>
    </row>
    <row r="5" spans="1:8" ht="15.5" x14ac:dyDescent="0.35">
      <c r="B5" s="10"/>
      <c r="C5" s="183" t="s">
        <v>78</v>
      </c>
      <c r="D5" s="173" t="s">
        <v>79</v>
      </c>
      <c r="E5" s="183" t="s">
        <v>80</v>
      </c>
      <c r="F5" s="173" t="s">
        <v>5</v>
      </c>
      <c r="G5" s="183" t="s">
        <v>7</v>
      </c>
      <c r="H5" s="174" t="s">
        <v>81</v>
      </c>
    </row>
    <row r="6" spans="1:8" ht="14.25" customHeight="1" x14ac:dyDescent="0.35">
      <c r="A6" s="178"/>
      <c r="B6" s="177"/>
      <c r="C6" s="184" t="s">
        <v>82</v>
      </c>
      <c r="D6" s="175" t="s">
        <v>83</v>
      </c>
      <c r="E6" s="183" t="s">
        <v>84</v>
      </c>
      <c r="F6" s="176" t="s">
        <v>85</v>
      </c>
      <c r="G6" s="185" t="s">
        <v>85</v>
      </c>
      <c r="H6" s="174" t="s">
        <v>86</v>
      </c>
    </row>
    <row r="7" spans="1:8" ht="16" thickBot="1" x14ac:dyDescent="0.4">
      <c r="A7" s="178"/>
      <c r="B7" s="179"/>
      <c r="C7" s="183" t="s">
        <v>9</v>
      </c>
      <c r="D7" s="180" t="s">
        <v>9</v>
      </c>
      <c r="E7" s="183" t="s">
        <v>9</v>
      </c>
      <c r="F7" s="180" t="s">
        <v>9</v>
      </c>
      <c r="G7" s="183" t="s">
        <v>9</v>
      </c>
      <c r="H7" s="181" t="s">
        <v>9</v>
      </c>
    </row>
    <row r="8" spans="1:8" ht="15.5" x14ac:dyDescent="0.35">
      <c r="B8" s="189" t="s">
        <v>87</v>
      </c>
      <c r="C8" s="186"/>
      <c r="D8" s="192"/>
      <c r="E8" s="186"/>
      <c r="F8" s="192"/>
      <c r="G8" s="186"/>
      <c r="H8" s="193"/>
    </row>
    <row r="9" spans="1:8" ht="15.5" x14ac:dyDescent="0.35">
      <c r="B9" s="190" t="s">
        <v>88</v>
      </c>
      <c r="C9" s="187">
        <v>17849</v>
      </c>
      <c r="D9" s="170">
        <v>17776</v>
      </c>
      <c r="E9" s="187">
        <f>D9-C9</f>
        <v>-73</v>
      </c>
      <c r="F9" s="170">
        <v>17702</v>
      </c>
      <c r="G9" s="187">
        <v>17702</v>
      </c>
      <c r="H9" s="69">
        <f>G9-F9</f>
        <v>0</v>
      </c>
    </row>
    <row r="10" spans="1:8" ht="15.5" x14ac:dyDescent="0.35">
      <c r="B10" s="190" t="s">
        <v>89</v>
      </c>
      <c r="C10" s="187">
        <v>690</v>
      </c>
      <c r="D10" s="170">
        <v>724</v>
      </c>
      <c r="E10" s="187">
        <f>D10-C10</f>
        <v>34</v>
      </c>
      <c r="F10" s="170">
        <v>818</v>
      </c>
      <c r="G10" s="187">
        <v>813</v>
      </c>
      <c r="H10" s="22">
        <f>G10-F10</f>
        <v>-5</v>
      </c>
    </row>
    <row r="11" spans="1:8" ht="16" thickBot="1" x14ac:dyDescent="0.4">
      <c r="B11" s="191"/>
      <c r="C11" s="188"/>
      <c r="D11" s="194"/>
      <c r="E11" s="188"/>
      <c r="F11" s="194"/>
      <c r="G11" s="188"/>
      <c r="H11" s="195"/>
    </row>
    <row r="12" spans="1:8" ht="16" thickBot="1" x14ac:dyDescent="0.4">
      <c r="B12" s="205" t="s">
        <v>90</v>
      </c>
      <c r="C12" s="206">
        <f t="shared" ref="C12:H12" si="0">SUM(C9:C11)</f>
        <v>18539</v>
      </c>
      <c r="D12" s="206">
        <f t="shared" si="0"/>
        <v>18500</v>
      </c>
      <c r="E12" s="206">
        <f t="shared" si="0"/>
        <v>-39</v>
      </c>
      <c r="F12" s="206">
        <f t="shared" si="0"/>
        <v>18520</v>
      </c>
      <c r="G12" s="206">
        <f t="shared" si="0"/>
        <v>18515</v>
      </c>
      <c r="H12" s="206">
        <f t="shared" si="0"/>
        <v>-5</v>
      </c>
    </row>
    <row r="13" spans="1:8" ht="16" thickBot="1" x14ac:dyDescent="0.4">
      <c r="B13" s="11"/>
      <c r="C13" s="169"/>
      <c r="D13" s="169"/>
      <c r="E13" s="169"/>
      <c r="F13" s="169"/>
      <c r="G13" s="169"/>
      <c r="H13" s="21"/>
    </row>
    <row r="14" spans="1:8" ht="15.5" x14ac:dyDescent="0.35">
      <c r="B14" s="196" t="s">
        <v>91</v>
      </c>
      <c r="C14" s="202"/>
      <c r="D14" s="199"/>
      <c r="E14" s="202"/>
      <c r="F14" s="199"/>
      <c r="G14" s="202"/>
      <c r="H14" s="200"/>
    </row>
    <row r="15" spans="1:8" ht="15.5" x14ac:dyDescent="0.35">
      <c r="B15" s="197" t="s">
        <v>92</v>
      </c>
      <c r="C15" s="34">
        <v>35</v>
      </c>
      <c r="D15" s="58">
        <v>32</v>
      </c>
      <c r="E15" s="34">
        <f t="shared" ref="E15:E19" si="1">D15-C15</f>
        <v>-3</v>
      </c>
      <c r="F15" s="58">
        <v>35</v>
      </c>
      <c r="G15" s="34">
        <v>35</v>
      </c>
      <c r="H15" s="69">
        <f t="shared" ref="H15:H19" si="2">G15-F15</f>
        <v>0</v>
      </c>
    </row>
    <row r="16" spans="1:8" ht="15.5" x14ac:dyDescent="0.35">
      <c r="B16" s="197" t="s">
        <v>93</v>
      </c>
      <c r="C16" s="34">
        <v>836</v>
      </c>
      <c r="D16" s="58">
        <v>655</v>
      </c>
      <c r="E16" s="34">
        <f t="shared" si="1"/>
        <v>-181</v>
      </c>
      <c r="F16" s="58">
        <v>800</v>
      </c>
      <c r="G16" s="34">
        <v>750</v>
      </c>
      <c r="H16" s="33">
        <f t="shared" si="2"/>
        <v>-50</v>
      </c>
    </row>
    <row r="17" spans="2:8" ht="15.5" x14ac:dyDescent="0.35">
      <c r="B17" s="197" t="s">
        <v>94</v>
      </c>
      <c r="C17" s="34">
        <v>264</v>
      </c>
      <c r="D17" s="58">
        <v>302</v>
      </c>
      <c r="E17" s="34">
        <f t="shared" si="1"/>
        <v>38</v>
      </c>
      <c r="F17" s="58">
        <v>228</v>
      </c>
      <c r="G17" s="34">
        <v>240</v>
      </c>
      <c r="H17" s="33">
        <f t="shared" si="2"/>
        <v>12</v>
      </c>
    </row>
    <row r="18" spans="2:8" ht="15.5" x14ac:dyDescent="0.35">
      <c r="B18" s="197" t="s">
        <v>172</v>
      </c>
      <c r="C18" s="70">
        <v>0</v>
      </c>
      <c r="D18" s="69">
        <v>0</v>
      </c>
      <c r="E18" s="69">
        <v>0</v>
      </c>
      <c r="F18" s="69">
        <v>0</v>
      </c>
      <c r="G18" s="69">
        <v>0</v>
      </c>
      <c r="H18" s="69">
        <v>0</v>
      </c>
    </row>
    <row r="19" spans="2:8" ht="16" thickBot="1" x14ac:dyDescent="0.4">
      <c r="B19" s="198" t="s">
        <v>95</v>
      </c>
      <c r="C19" s="203">
        <v>2780</v>
      </c>
      <c r="D19" s="112">
        <v>2090</v>
      </c>
      <c r="E19" s="203">
        <f t="shared" si="1"/>
        <v>-690</v>
      </c>
      <c r="F19" s="112">
        <v>2281</v>
      </c>
      <c r="G19" s="203">
        <v>2082</v>
      </c>
      <c r="H19" s="201">
        <f t="shared" si="2"/>
        <v>-199</v>
      </c>
    </row>
    <row r="20" spans="2:8" ht="16" thickBot="1" x14ac:dyDescent="0.4">
      <c r="B20" s="207" t="s">
        <v>96</v>
      </c>
      <c r="C20" s="206">
        <f t="shared" ref="C20:H20" si="3">SUM(C15:C19)</f>
        <v>3915</v>
      </c>
      <c r="D20" s="206">
        <f t="shared" si="3"/>
        <v>3079</v>
      </c>
      <c r="E20" s="206">
        <f t="shared" si="3"/>
        <v>-836</v>
      </c>
      <c r="F20" s="206">
        <f t="shared" si="3"/>
        <v>3344</v>
      </c>
      <c r="G20" s="206">
        <f t="shared" si="3"/>
        <v>3107</v>
      </c>
      <c r="H20" s="206">
        <f t="shared" si="3"/>
        <v>-237</v>
      </c>
    </row>
    <row r="21" spans="2:8" ht="15.5" x14ac:dyDescent="0.35">
      <c r="B21" s="11"/>
      <c r="C21" s="187"/>
      <c r="D21" s="170"/>
      <c r="E21" s="187"/>
      <c r="F21" s="170"/>
      <c r="G21" s="187"/>
      <c r="H21" s="22"/>
    </row>
    <row r="22" spans="2:8" ht="15.5" x14ac:dyDescent="0.35">
      <c r="B22" s="9" t="s">
        <v>97</v>
      </c>
      <c r="C22" s="187"/>
      <c r="D22" s="170"/>
      <c r="E22" s="187"/>
      <c r="F22" s="170"/>
      <c r="G22" s="187"/>
      <c r="H22" s="22"/>
    </row>
    <row r="23" spans="2:8" ht="15.5" x14ac:dyDescent="0.35">
      <c r="B23" s="197" t="s">
        <v>98</v>
      </c>
      <c r="C23" s="34">
        <v>396</v>
      </c>
      <c r="D23" s="58">
        <v>396</v>
      </c>
      <c r="E23" s="70">
        <f t="shared" ref="E23" si="4">D23-C23</f>
        <v>0</v>
      </c>
      <c r="F23" s="58">
        <v>396</v>
      </c>
      <c r="G23" s="34">
        <v>396</v>
      </c>
      <c r="H23" s="69">
        <f t="shared" ref="H23" si="5">G23-F23</f>
        <v>0</v>
      </c>
    </row>
    <row r="24" spans="2:8" ht="15.5" x14ac:dyDescent="0.35">
      <c r="B24" s="197" t="s">
        <v>99</v>
      </c>
      <c r="C24" s="34">
        <v>102</v>
      </c>
      <c r="D24" s="58">
        <v>102</v>
      </c>
      <c r="E24" s="70">
        <f t="shared" ref="E24" si="6">D24-C24</f>
        <v>0</v>
      </c>
      <c r="F24" s="58">
        <v>102</v>
      </c>
      <c r="G24" s="34">
        <v>102</v>
      </c>
      <c r="H24" s="69">
        <f t="shared" ref="H24" si="7">G24-F24</f>
        <v>0</v>
      </c>
    </row>
    <row r="25" spans="2:8" ht="15.5" x14ac:dyDescent="0.35">
      <c r="B25" s="197" t="s">
        <v>100</v>
      </c>
      <c r="C25" s="34">
        <v>520</v>
      </c>
      <c r="D25" s="58">
        <v>576</v>
      </c>
      <c r="E25" s="34">
        <f t="shared" ref="E25:E26" si="8">D25-C25</f>
        <v>56</v>
      </c>
      <c r="F25" s="58">
        <v>436</v>
      </c>
      <c r="G25" s="34">
        <v>436</v>
      </c>
      <c r="H25" s="69">
        <f t="shared" ref="H25:H26" si="9">G25-F25</f>
        <v>0</v>
      </c>
    </row>
    <row r="26" spans="2:8" ht="15.5" x14ac:dyDescent="0.35">
      <c r="B26" s="197" t="s">
        <v>101</v>
      </c>
      <c r="C26" s="34">
        <v>729</v>
      </c>
      <c r="D26" s="58">
        <v>756</v>
      </c>
      <c r="E26" s="34">
        <f t="shared" si="8"/>
        <v>27</v>
      </c>
      <c r="F26" s="58">
        <v>729</v>
      </c>
      <c r="G26" s="34">
        <v>729</v>
      </c>
      <c r="H26" s="69">
        <f t="shared" si="9"/>
        <v>0</v>
      </c>
    </row>
    <row r="27" spans="2:8" ht="15.5" x14ac:dyDescent="0.35">
      <c r="B27" s="197" t="s">
        <v>102</v>
      </c>
      <c r="C27" s="34">
        <v>340</v>
      </c>
      <c r="D27" s="58">
        <v>354</v>
      </c>
      <c r="E27" s="34">
        <f t="shared" ref="E27" si="10">D27-C27</f>
        <v>14</v>
      </c>
      <c r="F27" s="58">
        <v>375</v>
      </c>
      <c r="G27" s="34">
        <v>375</v>
      </c>
      <c r="H27" s="69">
        <f t="shared" ref="H27" si="11">G27-F27</f>
        <v>0</v>
      </c>
    </row>
    <row r="28" spans="2:8" ht="15.5" x14ac:dyDescent="0.35">
      <c r="B28" s="197" t="s">
        <v>103</v>
      </c>
      <c r="C28" s="34">
        <v>1565</v>
      </c>
      <c r="D28" s="58">
        <f>1401</f>
        <v>1401</v>
      </c>
      <c r="E28" s="34">
        <f t="shared" ref="E28:E29" si="12">D28-C28</f>
        <v>-164</v>
      </c>
      <c r="F28" s="58">
        <v>1565</v>
      </c>
      <c r="G28" s="34">
        <v>1565</v>
      </c>
      <c r="H28" s="69">
        <f t="shared" ref="H28:H29" si="13">G28-F28</f>
        <v>0</v>
      </c>
    </row>
    <row r="29" spans="2:8" ht="15.5" x14ac:dyDescent="0.35">
      <c r="B29" s="197" t="s">
        <v>104</v>
      </c>
      <c r="C29" s="34">
        <v>278</v>
      </c>
      <c r="D29" s="58">
        <v>278</v>
      </c>
      <c r="E29" s="70">
        <f t="shared" si="12"/>
        <v>0</v>
      </c>
      <c r="F29" s="58">
        <v>255</v>
      </c>
      <c r="G29" s="34">
        <v>255</v>
      </c>
      <c r="H29" s="69">
        <f t="shared" si="13"/>
        <v>0</v>
      </c>
    </row>
    <row r="30" spans="2:8" ht="15.5" x14ac:dyDescent="0.35">
      <c r="B30" s="197" t="s">
        <v>105</v>
      </c>
      <c r="C30" s="34">
        <v>241</v>
      </c>
      <c r="D30" s="58">
        <v>257</v>
      </c>
      <c r="E30" s="34">
        <f t="shared" ref="E30" si="14">D30-C30</f>
        <v>16</v>
      </c>
      <c r="F30" s="58">
        <v>241</v>
      </c>
      <c r="G30" s="34">
        <v>241</v>
      </c>
      <c r="H30" s="69">
        <f t="shared" ref="H30" si="15">G30-F30</f>
        <v>0</v>
      </c>
    </row>
    <row r="31" spans="2:8" ht="16" thickBot="1" x14ac:dyDescent="0.4">
      <c r="B31" s="11"/>
      <c r="C31" s="187">
        <v>0</v>
      </c>
      <c r="D31" s="170">
        <v>0</v>
      </c>
      <c r="E31" s="187">
        <v>0</v>
      </c>
      <c r="F31" s="170">
        <v>0</v>
      </c>
      <c r="G31" s="187">
        <v>0</v>
      </c>
      <c r="H31" s="71"/>
    </row>
    <row r="32" spans="2:8" ht="16" thickBot="1" x14ac:dyDescent="0.4">
      <c r="B32" s="207" t="s">
        <v>106</v>
      </c>
      <c r="C32" s="208">
        <f t="shared" ref="C32:H32" si="16">SUM(C23:C30)</f>
        <v>4171</v>
      </c>
      <c r="D32" s="208">
        <f t="shared" si="16"/>
        <v>4120</v>
      </c>
      <c r="E32" s="208">
        <f t="shared" si="16"/>
        <v>-51</v>
      </c>
      <c r="F32" s="208">
        <f t="shared" si="16"/>
        <v>4099</v>
      </c>
      <c r="G32" s="208">
        <f t="shared" si="16"/>
        <v>4099</v>
      </c>
      <c r="H32" s="209">
        <f t="shared" si="16"/>
        <v>0</v>
      </c>
    </row>
    <row r="33" spans="2:8" ht="16" thickBot="1" x14ac:dyDescent="0.4">
      <c r="B33" s="207" t="s">
        <v>107</v>
      </c>
      <c r="C33" s="208">
        <f t="shared" ref="C33:H33" si="17">C20-C32</f>
        <v>-256</v>
      </c>
      <c r="D33" s="208">
        <f t="shared" si="17"/>
        <v>-1041</v>
      </c>
      <c r="E33" s="208">
        <f t="shared" si="17"/>
        <v>-785</v>
      </c>
      <c r="F33" s="208">
        <f t="shared" si="17"/>
        <v>-755</v>
      </c>
      <c r="G33" s="208">
        <f t="shared" si="17"/>
        <v>-992</v>
      </c>
      <c r="H33" s="208">
        <f t="shared" si="17"/>
        <v>-237</v>
      </c>
    </row>
    <row r="34" spans="2:8" ht="16" thickBot="1" x14ac:dyDescent="0.4">
      <c r="B34" s="210" t="s">
        <v>108</v>
      </c>
      <c r="C34" s="204">
        <f>C20/(C32-C24-C29)</f>
        <v>1.0327090477446583</v>
      </c>
      <c r="D34" s="204">
        <f>D20/(D32-D24-D29)</f>
        <v>0.82326203208556148</v>
      </c>
      <c r="E34" s="204"/>
      <c r="F34" s="204">
        <f>F20/(F32-F24-F29)</f>
        <v>0.89363976483164087</v>
      </c>
      <c r="G34" s="204">
        <f>G20/(G32-G24-G29)</f>
        <v>0.830304649919829</v>
      </c>
      <c r="H34" s="204"/>
    </row>
    <row r="35" spans="2:8" ht="16" thickBot="1" x14ac:dyDescent="0.4">
      <c r="B35" s="207" t="s">
        <v>109</v>
      </c>
      <c r="C35" s="206">
        <f t="shared" ref="C35:H35" si="18">C12+C33</f>
        <v>18283</v>
      </c>
      <c r="D35" s="206">
        <f t="shared" si="18"/>
        <v>17459</v>
      </c>
      <c r="E35" s="206">
        <f t="shared" si="18"/>
        <v>-824</v>
      </c>
      <c r="F35" s="206">
        <f t="shared" si="18"/>
        <v>17765</v>
      </c>
      <c r="G35" s="206">
        <f t="shared" si="18"/>
        <v>17523</v>
      </c>
      <c r="H35" s="206">
        <f t="shared" si="18"/>
        <v>-242</v>
      </c>
    </row>
    <row r="36" spans="2:8" ht="15.5" x14ac:dyDescent="0.35">
      <c r="B36" s="211" t="s">
        <v>110</v>
      </c>
      <c r="C36" s="202"/>
      <c r="D36" s="202"/>
      <c r="E36" s="202"/>
      <c r="F36" s="202"/>
      <c r="G36" s="202"/>
      <c r="H36" s="202"/>
    </row>
    <row r="37" spans="2:8" ht="15.5" x14ac:dyDescent="0.35">
      <c r="B37" s="190" t="s">
        <v>111</v>
      </c>
      <c r="C37" s="212">
        <v>7920</v>
      </c>
      <c r="D37" s="212">
        <v>7722</v>
      </c>
      <c r="E37" s="212">
        <f t="shared" ref="E37" si="19">D37-C37</f>
        <v>-198</v>
      </c>
      <c r="F37" s="212">
        <v>7524</v>
      </c>
      <c r="G37" s="212">
        <v>7524</v>
      </c>
      <c r="H37" s="67">
        <f t="shared" ref="H37" si="20">G37-F37</f>
        <v>0</v>
      </c>
    </row>
    <row r="38" spans="2:8" ht="16" thickBot="1" x14ac:dyDescent="0.4">
      <c r="B38" s="190" t="s">
        <v>112</v>
      </c>
      <c r="C38" s="212">
        <v>2539</v>
      </c>
      <c r="D38" s="212">
        <v>2488</v>
      </c>
      <c r="E38" s="212">
        <f t="shared" ref="E38" si="21">D38-C38</f>
        <v>-51</v>
      </c>
      <c r="F38" s="212">
        <v>2437</v>
      </c>
      <c r="G38" s="212">
        <v>2437</v>
      </c>
      <c r="H38" s="67">
        <f t="shared" ref="H38" si="22">G38-F38</f>
        <v>0</v>
      </c>
    </row>
    <row r="39" spans="2:8" ht="31.5" thickBot="1" x14ac:dyDescent="0.4">
      <c r="B39" s="213" t="s">
        <v>113</v>
      </c>
      <c r="C39" s="214">
        <f t="shared" ref="C39:H39" si="23">SUM(C37:C38)</f>
        <v>10459</v>
      </c>
      <c r="D39" s="214">
        <f t="shared" si="23"/>
        <v>10210</v>
      </c>
      <c r="E39" s="214">
        <f t="shared" si="23"/>
        <v>-249</v>
      </c>
      <c r="F39" s="214">
        <f t="shared" si="23"/>
        <v>9961</v>
      </c>
      <c r="G39" s="214">
        <f t="shared" si="23"/>
        <v>9961</v>
      </c>
      <c r="H39" s="215">
        <f t="shared" si="23"/>
        <v>0</v>
      </c>
    </row>
    <row r="40" spans="2:8" ht="16" thickBot="1" x14ac:dyDescent="0.4">
      <c r="B40" s="210" t="s">
        <v>114</v>
      </c>
      <c r="C40" s="216">
        <f>(C37+C23)/'I&amp;E'!L27</f>
        <v>0.38141540155024539</v>
      </c>
      <c r="D40" s="216"/>
      <c r="E40" s="216"/>
      <c r="F40" s="216">
        <f>(F37+F23)/'I&amp;E'!H27</f>
        <v>0.37667649576714546</v>
      </c>
      <c r="G40" s="216">
        <f>(G37+G23)/'I&amp;E'!G27</f>
        <v>0.38316400580551524</v>
      </c>
      <c r="H40" s="216"/>
    </row>
    <row r="41" spans="2:8" ht="16" thickBot="1" x14ac:dyDescent="0.4">
      <c r="B41" s="11"/>
      <c r="C41" s="170"/>
      <c r="D41" s="170"/>
      <c r="E41" s="170"/>
      <c r="F41" s="170"/>
      <c r="G41" s="170"/>
      <c r="H41" s="22"/>
    </row>
    <row r="42" spans="2:8" ht="15.5" x14ac:dyDescent="0.35">
      <c r="B42" s="189" t="s">
        <v>115</v>
      </c>
      <c r="C42" s="202"/>
      <c r="D42" s="202"/>
      <c r="E42" s="202"/>
      <c r="F42" s="202"/>
      <c r="G42" s="202"/>
      <c r="H42" s="202"/>
    </row>
    <row r="43" spans="2:8" ht="16" thickBot="1" x14ac:dyDescent="0.4">
      <c r="B43" s="190" t="s">
        <v>116</v>
      </c>
      <c r="C43" s="212">
        <v>3603</v>
      </c>
      <c r="D43" s="212">
        <v>3603</v>
      </c>
      <c r="E43" s="67">
        <f t="shared" ref="E43" si="24">D43-C43</f>
        <v>0</v>
      </c>
      <c r="F43" s="212">
        <v>4392</v>
      </c>
      <c r="G43" s="212">
        <v>4392</v>
      </c>
      <c r="H43" s="67">
        <f t="shared" ref="H43" si="25">G43-F43</f>
        <v>0</v>
      </c>
    </row>
    <row r="44" spans="2:8" ht="16" thickBot="1" x14ac:dyDescent="0.4">
      <c r="B44" s="207" t="s">
        <v>117</v>
      </c>
      <c r="C44" s="217">
        <f t="shared" ref="C44:H44" si="26">SUM(C43:C43)</f>
        <v>3603</v>
      </c>
      <c r="D44" s="217">
        <f t="shared" si="26"/>
        <v>3603</v>
      </c>
      <c r="E44" s="218">
        <f t="shared" si="26"/>
        <v>0</v>
      </c>
      <c r="F44" s="217">
        <f t="shared" si="26"/>
        <v>4392</v>
      </c>
      <c r="G44" s="217">
        <f t="shared" si="26"/>
        <v>4392</v>
      </c>
      <c r="H44" s="218">
        <f t="shared" si="26"/>
        <v>0</v>
      </c>
    </row>
    <row r="45" spans="2:8" ht="16" thickBot="1" x14ac:dyDescent="0.4">
      <c r="B45" s="11"/>
      <c r="C45" s="170"/>
      <c r="D45" s="170"/>
      <c r="E45" s="170"/>
      <c r="F45" s="170"/>
      <c r="G45" s="170"/>
      <c r="H45" s="22"/>
    </row>
    <row r="46" spans="2:8" ht="16" thickBot="1" x14ac:dyDescent="0.4">
      <c r="B46" s="205" t="s">
        <v>118</v>
      </c>
      <c r="C46" s="206">
        <f t="shared" ref="C46:H46" si="27">C35-C39-C44</f>
        <v>4221</v>
      </c>
      <c r="D46" s="206">
        <f t="shared" si="27"/>
        <v>3646</v>
      </c>
      <c r="E46" s="206">
        <f t="shared" si="27"/>
        <v>-575</v>
      </c>
      <c r="F46" s="206">
        <f t="shared" si="27"/>
        <v>3412</v>
      </c>
      <c r="G46" s="206">
        <f t="shared" si="27"/>
        <v>3170</v>
      </c>
      <c r="H46" s="206">
        <f t="shared" si="27"/>
        <v>-242</v>
      </c>
    </row>
    <row r="47" spans="2:8" ht="15.5" x14ac:dyDescent="0.35">
      <c r="B47" s="11"/>
      <c r="C47" s="170"/>
      <c r="D47" s="170"/>
      <c r="E47" s="170"/>
      <c r="F47" s="170"/>
      <c r="G47" s="170"/>
      <c r="H47" s="22"/>
    </row>
    <row r="48" spans="2:8" ht="16" thickBot="1" x14ac:dyDescent="0.4">
      <c r="B48" s="219" t="s">
        <v>119</v>
      </c>
      <c r="C48" s="170"/>
      <c r="D48" s="170"/>
      <c r="E48" s="170"/>
      <c r="F48" s="170"/>
      <c r="G48" s="170"/>
      <c r="H48" s="22"/>
    </row>
    <row r="49" spans="2:8" ht="15.5" x14ac:dyDescent="0.35">
      <c r="B49" s="220" t="s">
        <v>120</v>
      </c>
      <c r="C49" s="202">
        <f>-C43</f>
        <v>-3603</v>
      </c>
      <c r="D49" s="202">
        <f>-D43</f>
        <v>-3603</v>
      </c>
      <c r="E49" s="66">
        <v>0</v>
      </c>
      <c r="F49" s="202">
        <f>-F43</f>
        <v>-4392</v>
      </c>
      <c r="G49" s="202">
        <f>-G43</f>
        <v>-4392</v>
      </c>
      <c r="H49" s="66">
        <f>G49-F49</f>
        <v>0</v>
      </c>
    </row>
    <row r="50" spans="2:8" ht="15.5" x14ac:dyDescent="0.35">
      <c r="B50" s="190" t="s">
        <v>121</v>
      </c>
      <c r="C50" s="187">
        <v>812</v>
      </c>
      <c r="D50" s="187">
        <v>812</v>
      </c>
      <c r="E50" s="67">
        <f>D50-C50</f>
        <v>0</v>
      </c>
      <c r="F50" s="187">
        <v>812</v>
      </c>
      <c r="G50" s="187">
        <v>812</v>
      </c>
      <c r="H50" s="67">
        <f>G50-F50</f>
        <v>0</v>
      </c>
    </row>
    <row r="51" spans="2:8" ht="16" thickBot="1" x14ac:dyDescent="0.4">
      <c r="B51" s="191" t="s">
        <v>122</v>
      </c>
      <c r="C51" s="203">
        <v>7012</v>
      </c>
      <c r="D51" s="203">
        <f>C51+'I&amp;E'!C67</f>
        <v>6437</v>
      </c>
      <c r="E51" s="203">
        <f>D51-C51</f>
        <v>-575</v>
      </c>
      <c r="F51" s="203">
        <f>C51+'I&amp;E'!H63</f>
        <v>6992</v>
      </c>
      <c r="G51" s="203">
        <f>C51+'I&amp;E'!G63</f>
        <v>6750</v>
      </c>
      <c r="H51" s="203">
        <f>G51-F51</f>
        <v>-242</v>
      </c>
    </row>
    <row r="52" spans="2:8" ht="16" thickBot="1" x14ac:dyDescent="0.4">
      <c r="B52" s="205" t="s">
        <v>123</v>
      </c>
      <c r="C52" s="206">
        <f t="shared" ref="C52:H52" si="28">SUM(C49:C51)</f>
        <v>4221</v>
      </c>
      <c r="D52" s="206">
        <f t="shared" si="28"/>
        <v>3646</v>
      </c>
      <c r="E52" s="206">
        <f t="shared" si="28"/>
        <v>-575</v>
      </c>
      <c r="F52" s="206">
        <f t="shared" si="28"/>
        <v>3412</v>
      </c>
      <c r="G52" s="206">
        <f t="shared" si="28"/>
        <v>3170</v>
      </c>
      <c r="H52" s="206">
        <f t="shared" si="28"/>
        <v>-242</v>
      </c>
    </row>
  </sheetData>
  <mergeCells count="2">
    <mergeCell ref="B1:H1"/>
    <mergeCell ref="B2:H2"/>
  </mergeCells>
  <pageMargins left="0.2" right="0.15" top="0.13" bottom="0.21" header="0.13" footer="0.13"/>
  <pageSetup paperSize="9" scale="64" fitToHeight="0" orientation="portrait" horizontalDpi="4294967293" verticalDpi="4294967293" r:id="rId1"/>
  <ignoredErrors>
    <ignoredError sqref="C32:D32 F32:G32"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6B455-8075-4549-8743-F3B6F7497BEA}">
  <sheetPr codeName="Sheet8"/>
  <dimension ref="A1:E23"/>
  <sheetViews>
    <sheetView showGridLines="0" workbookViewId="0">
      <selection activeCell="A3" sqref="A3"/>
    </sheetView>
  </sheetViews>
  <sheetFormatPr defaultRowHeight="14.5" x14ac:dyDescent="0.35"/>
  <cols>
    <col min="1" max="1" width="27.453125" customWidth="1"/>
    <col min="2" max="5" width="13.7265625" customWidth="1"/>
  </cols>
  <sheetData>
    <row r="1" spans="1:5" ht="21" customHeight="1" x14ac:dyDescent="0.35">
      <c r="A1" s="824" t="s">
        <v>367</v>
      </c>
      <c r="B1" s="825"/>
      <c r="C1" s="825"/>
      <c r="D1" s="825"/>
      <c r="E1" s="826"/>
    </row>
    <row r="2" spans="1:5" ht="15" thickBot="1" x14ac:dyDescent="0.4">
      <c r="A2" s="827"/>
      <c r="B2" s="828"/>
      <c r="C2" s="828"/>
      <c r="D2" s="828"/>
      <c r="E2" s="829"/>
    </row>
    <row r="3" spans="1:5" s="500" customFormat="1" ht="44.15" customHeight="1" thickBot="1" x14ac:dyDescent="0.4">
      <c r="A3" s="634" t="s">
        <v>368</v>
      </c>
      <c r="B3" s="635" t="s">
        <v>369</v>
      </c>
      <c r="C3" s="635" t="s">
        <v>131</v>
      </c>
      <c r="D3" s="636" t="s">
        <v>370</v>
      </c>
      <c r="E3" s="636" t="s">
        <v>371</v>
      </c>
    </row>
    <row r="4" spans="1:5" ht="15.5" x14ac:dyDescent="0.35">
      <c r="A4" s="637" t="s">
        <v>372</v>
      </c>
      <c r="B4" s="638">
        <v>634</v>
      </c>
      <c r="C4" s="638">
        <v>448</v>
      </c>
      <c r="D4" s="639">
        <f>C4-B4</f>
        <v>-186</v>
      </c>
      <c r="E4" s="640">
        <f>C4/$C$8</f>
        <v>0.68396946564885497</v>
      </c>
    </row>
    <row r="5" spans="1:5" ht="15.5" x14ac:dyDescent="0.35">
      <c r="A5" s="25" t="s">
        <v>373</v>
      </c>
      <c r="B5" s="641">
        <v>123</v>
      </c>
      <c r="C5" s="641">
        <v>141</v>
      </c>
      <c r="D5" s="642">
        <f t="shared" ref="D5:D7" si="0">C5-B5</f>
        <v>18</v>
      </c>
      <c r="E5" s="643">
        <f t="shared" ref="E5:E7" si="1">C5/$C$8</f>
        <v>0.21526717557251909</v>
      </c>
    </row>
    <row r="6" spans="1:5" ht="15.5" x14ac:dyDescent="0.35">
      <c r="A6" s="25" t="s">
        <v>374</v>
      </c>
      <c r="B6" s="641">
        <v>42</v>
      </c>
      <c r="C6" s="641">
        <v>44</v>
      </c>
      <c r="D6" s="642">
        <f t="shared" si="0"/>
        <v>2</v>
      </c>
      <c r="E6" s="643">
        <f t="shared" si="1"/>
        <v>6.7175572519083973E-2</v>
      </c>
    </row>
    <row r="7" spans="1:5" ht="16" thickBot="1" x14ac:dyDescent="0.4">
      <c r="A7" s="25" t="s">
        <v>375</v>
      </c>
      <c r="B7" s="641">
        <v>37</v>
      </c>
      <c r="C7" s="641">
        <v>22</v>
      </c>
      <c r="D7" s="642">
        <f t="shared" si="0"/>
        <v>-15</v>
      </c>
      <c r="E7" s="643">
        <f t="shared" si="1"/>
        <v>3.3587786259541987E-2</v>
      </c>
    </row>
    <row r="8" spans="1:5" ht="16" thickBot="1" x14ac:dyDescent="0.4">
      <c r="A8" s="644" t="s">
        <v>376</v>
      </c>
      <c r="B8" s="645">
        <f>SUM(B4:B7)</f>
        <v>836</v>
      </c>
      <c r="C8" s="645">
        <f t="shared" ref="C8:D8" si="2">SUM(C4:C7)</f>
        <v>655</v>
      </c>
      <c r="D8" s="646">
        <f t="shared" si="2"/>
        <v>-181</v>
      </c>
      <c r="E8" s="647"/>
    </row>
    <row r="9" spans="1:5" ht="16" thickBot="1" x14ac:dyDescent="0.4">
      <c r="A9" s="628"/>
      <c r="B9" s="648"/>
      <c r="C9" s="648"/>
      <c r="D9" s="648"/>
      <c r="E9" s="649"/>
    </row>
    <row r="10" spans="1:5" ht="15.5" x14ac:dyDescent="0.35">
      <c r="A10" s="644"/>
      <c r="B10" s="650"/>
      <c r="C10" s="650"/>
      <c r="D10" s="650"/>
      <c r="E10" s="651"/>
    </row>
    <row r="11" spans="1:5" ht="33" customHeight="1" x14ac:dyDescent="0.35">
      <c r="A11" s="830" t="s">
        <v>377</v>
      </c>
      <c r="B11" s="831"/>
      <c r="C11" s="831"/>
      <c r="D11" s="831"/>
      <c r="E11" s="832"/>
    </row>
    <row r="12" spans="1:5" ht="16" thickBot="1" x14ac:dyDescent="0.4">
      <c r="A12" s="624"/>
      <c r="B12" s="652"/>
      <c r="C12" s="652"/>
      <c r="D12" s="652"/>
      <c r="E12" s="653"/>
    </row>
    <row r="13" spans="1:5" ht="16" thickBot="1" x14ac:dyDescent="0.4">
      <c r="A13" s="25"/>
      <c r="B13" s="8"/>
      <c r="C13" s="8"/>
      <c r="D13" s="8"/>
      <c r="E13" s="654"/>
    </row>
    <row r="14" spans="1:5" s="500" customFormat="1" ht="44.15" customHeight="1" thickBot="1" x14ac:dyDescent="0.4">
      <c r="A14" s="655" t="s">
        <v>378</v>
      </c>
      <c r="B14" s="635" t="s">
        <v>369</v>
      </c>
      <c r="C14" s="635" t="s">
        <v>131</v>
      </c>
      <c r="D14" s="636" t="s">
        <v>370</v>
      </c>
      <c r="E14" s="636" t="s">
        <v>371</v>
      </c>
    </row>
    <row r="15" spans="1:5" ht="15.5" x14ac:dyDescent="0.35">
      <c r="A15" s="637" t="s">
        <v>372</v>
      </c>
      <c r="B15" s="638">
        <v>455</v>
      </c>
      <c r="C15" s="638">
        <v>461</v>
      </c>
      <c r="D15" s="639">
        <f>C15-B15</f>
        <v>6</v>
      </c>
      <c r="E15" s="640">
        <f>C15/$C$19</f>
        <v>0.80034722222222221</v>
      </c>
    </row>
    <row r="16" spans="1:5" ht="15.5" x14ac:dyDescent="0.35">
      <c r="A16" s="25" t="s">
        <v>373</v>
      </c>
      <c r="B16" s="641">
        <v>41</v>
      </c>
      <c r="C16" s="641">
        <v>50</v>
      </c>
      <c r="D16" s="642">
        <f t="shared" ref="D16:D18" si="3">C16-B16</f>
        <v>9</v>
      </c>
      <c r="E16" s="643">
        <f t="shared" ref="E16:E18" si="4">C16/$C$19</f>
        <v>8.6805555555555552E-2</v>
      </c>
    </row>
    <row r="17" spans="1:5" ht="15.5" x14ac:dyDescent="0.35">
      <c r="A17" s="25" t="s">
        <v>374</v>
      </c>
      <c r="B17" s="641">
        <v>20</v>
      </c>
      <c r="C17" s="641">
        <v>45</v>
      </c>
      <c r="D17" s="642">
        <f t="shared" si="3"/>
        <v>25</v>
      </c>
      <c r="E17" s="643">
        <f t="shared" si="4"/>
        <v>7.8125E-2</v>
      </c>
    </row>
    <row r="18" spans="1:5" ht="16" thickBot="1" x14ac:dyDescent="0.4">
      <c r="A18" s="25" t="s">
        <v>375</v>
      </c>
      <c r="B18" s="641">
        <v>4</v>
      </c>
      <c r="C18" s="641">
        <v>20</v>
      </c>
      <c r="D18" s="642">
        <f t="shared" si="3"/>
        <v>16</v>
      </c>
      <c r="E18" s="643">
        <f t="shared" si="4"/>
        <v>3.4722222222222224E-2</v>
      </c>
    </row>
    <row r="19" spans="1:5" ht="16" thickBot="1" x14ac:dyDescent="0.4">
      <c r="A19" s="644" t="s">
        <v>376</v>
      </c>
      <c r="B19" s="645">
        <f>SUM(B15:B18)</f>
        <v>520</v>
      </c>
      <c r="C19" s="645">
        <f t="shared" ref="C19:D19" si="5">SUM(C15:C18)</f>
        <v>576</v>
      </c>
      <c r="D19" s="646">
        <f t="shared" si="5"/>
        <v>56</v>
      </c>
      <c r="E19" s="647"/>
    </row>
    <row r="20" spans="1:5" ht="16" thickBot="1" x14ac:dyDescent="0.4">
      <c r="A20" s="624"/>
      <c r="B20" s="652"/>
      <c r="C20" s="652"/>
      <c r="D20" s="652"/>
      <c r="E20" s="653"/>
    </row>
    <row r="21" spans="1:5" ht="15.5" x14ac:dyDescent="0.35">
      <c r="A21" s="656"/>
      <c r="B21" s="657"/>
      <c r="C21" s="657"/>
      <c r="D21" s="657"/>
      <c r="E21" s="658"/>
    </row>
    <row r="22" spans="1:5" s="500" customFormat="1" ht="66.75" customHeight="1" x14ac:dyDescent="0.35">
      <c r="A22" s="833" t="s">
        <v>379</v>
      </c>
      <c r="B22" s="834"/>
      <c r="C22" s="834"/>
      <c r="D22" s="834"/>
      <c r="E22" s="835"/>
    </row>
    <row r="23" spans="1:5" ht="15" thickBot="1" x14ac:dyDescent="0.4">
      <c r="A23" s="659"/>
      <c r="B23" s="660"/>
      <c r="C23" s="660"/>
      <c r="D23" s="660"/>
      <c r="E23" s="661"/>
    </row>
  </sheetData>
  <mergeCells count="3">
    <mergeCell ref="A1:E2"/>
    <mergeCell ref="A11:E11"/>
    <mergeCell ref="A22:E22"/>
  </mergeCells>
  <pageMargins left="0.7" right="0.7" top="0.28999999999999998" bottom="0.31" header="0.3" footer="0.3"/>
  <pageSetup paperSize="9" orientation="landscape"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386F2-EEA5-4BB3-832D-EDDD6F99914D}">
  <sheetPr codeName="Sheet14"/>
  <dimension ref="A1:C22"/>
  <sheetViews>
    <sheetView workbookViewId="0">
      <selection activeCell="C9" sqref="C9"/>
    </sheetView>
  </sheetViews>
  <sheetFormatPr defaultRowHeight="14.5" x14ac:dyDescent="0.35"/>
  <cols>
    <col min="1" max="1" width="36.1796875" customWidth="1"/>
    <col min="2" max="3" width="20.7265625" customWidth="1"/>
  </cols>
  <sheetData>
    <row r="1" spans="1:3" ht="21" customHeight="1" x14ac:dyDescent="0.35">
      <c r="A1" s="836" t="s">
        <v>380</v>
      </c>
      <c r="B1" s="837"/>
      <c r="C1" s="838"/>
    </row>
    <row r="2" spans="1:3" ht="15" thickBot="1" x14ac:dyDescent="0.4">
      <c r="A2" s="839"/>
      <c r="B2" s="840"/>
      <c r="C2" s="841"/>
    </row>
    <row r="3" spans="1:3" ht="18.5" thickBot="1" x14ac:dyDescent="0.45">
      <c r="A3" s="662"/>
      <c r="B3" s="663" t="s">
        <v>5</v>
      </c>
      <c r="C3" s="664" t="s">
        <v>7</v>
      </c>
    </row>
    <row r="4" spans="1:3" ht="27.75" customHeight="1" thickBot="1" x14ac:dyDescent="0.4">
      <c r="A4" s="552" t="s">
        <v>381</v>
      </c>
      <c r="B4" s="665">
        <f>907</f>
        <v>907</v>
      </c>
      <c r="C4" s="665">
        <f>SUM(Cash!B29:M29)</f>
        <v>698.92207575757698</v>
      </c>
    </row>
    <row r="5" spans="1:3" ht="27.75" customHeight="1" thickBot="1" x14ac:dyDescent="0.4">
      <c r="A5" s="552" t="s">
        <v>382</v>
      </c>
      <c r="B5" s="665">
        <v>15</v>
      </c>
      <c r="C5" s="665">
        <v>12</v>
      </c>
    </row>
    <row r="6" spans="1:3" s="500" customFormat="1" ht="27.75" customHeight="1" thickBot="1" x14ac:dyDescent="0.4">
      <c r="A6" s="666" t="s">
        <v>383</v>
      </c>
      <c r="B6" s="667">
        <f>B4+B5</f>
        <v>922</v>
      </c>
      <c r="C6" s="667">
        <f>C4+C5</f>
        <v>710.92207575757698</v>
      </c>
    </row>
    <row r="7" spans="1:3" ht="20.65" customHeight="1" thickBot="1" x14ac:dyDescent="0.4">
      <c r="A7" s="552" t="s">
        <v>384</v>
      </c>
      <c r="B7" s="668">
        <v>-720</v>
      </c>
      <c r="C7" s="668">
        <f>-SUM(Cash!B37:M37)</f>
        <v>-720</v>
      </c>
    </row>
    <row r="8" spans="1:3" ht="21.4" customHeight="1" thickBot="1" x14ac:dyDescent="0.4">
      <c r="A8" s="552" t="s">
        <v>385</v>
      </c>
      <c r="B8" s="668">
        <v>-701</v>
      </c>
      <c r="C8" s="668">
        <f>-SUM(Cash!B32:M32)+1</f>
        <v>-690</v>
      </c>
    </row>
    <row r="9" spans="1:3" s="500" customFormat="1" ht="37.5" customHeight="1" thickBot="1" x14ac:dyDescent="0.4">
      <c r="A9" s="669" t="s">
        <v>386</v>
      </c>
      <c r="B9" s="670">
        <f>SUM(B6:B8)</f>
        <v>-499</v>
      </c>
      <c r="C9" s="670">
        <f>SUM(C6:C8)</f>
        <v>-699.07792424242302</v>
      </c>
    </row>
    <row r="10" spans="1:3" ht="36.75" customHeight="1" thickBot="1" x14ac:dyDescent="0.4">
      <c r="A10" s="552" t="s">
        <v>387</v>
      </c>
      <c r="B10" s="671">
        <v>0</v>
      </c>
      <c r="C10" s="671">
        <v>0</v>
      </c>
    </row>
    <row r="11" spans="1:3" s="500" customFormat="1" ht="24" customHeight="1" thickBot="1" x14ac:dyDescent="0.4">
      <c r="A11" s="672" t="s">
        <v>388</v>
      </c>
      <c r="B11" s="673">
        <f>Cash!M47-Cash!B42</f>
        <v>-499</v>
      </c>
      <c r="C11" s="673">
        <f>C9</f>
        <v>-699.07792424242302</v>
      </c>
    </row>
    <row r="12" spans="1:3" ht="15.5" x14ac:dyDescent="0.35">
      <c r="A12" s="662"/>
      <c r="B12" s="641"/>
      <c r="C12" s="654"/>
    </row>
    <row r="13" spans="1:3" ht="15.5" x14ac:dyDescent="0.35">
      <c r="A13" s="674" t="s">
        <v>389</v>
      </c>
      <c r="B13" s="675">
        <f>'Bal Sheet'!C19</f>
        <v>2780</v>
      </c>
      <c r="C13" s="676">
        <f>'Bal Sheet'!C19</f>
        <v>2780</v>
      </c>
    </row>
    <row r="14" spans="1:3" ht="15.5" x14ac:dyDescent="0.35">
      <c r="A14" s="674" t="s">
        <v>390</v>
      </c>
      <c r="B14" s="675">
        <f>Cash!M47</f>
        <v>2281</v>
      </c>
      <c r="C14" s="676">
        <f>Cash!M48</f>
        <v>2080.9220757575777</v>
      </c>
    </row>
    <row r="15" spans="1:3" ht="16" thickBot="1" x14ac:dyDescent="0.4">
      <c r="A15" s="674" t="s">
        <v>391</v>
      </c>
      <c r="B15" s="677">
        <f>B14-B13</f>
        <v>-499</v>
      </c>
      <c r="C15" s="678">
        <f>C14-C13</f>
        <v>-699.07792424242234</v>
      </c>
    </row>
    <row r="16" spans="1:3" ht="16" thickTop="1" x14ac:dyDescent="0.35">
      <c r="A16" s="662"/>
      <c r="B16" s="641"/>
      <c r="C16" s="654"/>
    </row>
    <row r="17" spans="1:3" ht="15.5" x14ac:dyDescent="0.35">
      <c r="A17" s="662"/>
      <c r="B17" s="641"/>
      <c r="C17" s="654"/>
    </row>
    <row r="18" spans="1:3" ht="15.5" x14ac:dyDescent="0.35">
      <c r="A18" s="679" t="s">
        <v>392</v>
      </c>
      <c r="B18" s="680">
        <f>-B7/B6</f>
        <v>0.78091106290672452</v>
      </c>
      <c r="C18" s="681">
        <f>-C7/C6</f>
        <v>1.0127692254214351</v>
      </c>
    </row>
    <row r="19" spans="1:3" ht="15.5" x14ac:dyDescent="0.35">
      <c r="A19" s="682" t="s">
        <v>393</v>
      </c>
      <c r="B19" s="683">
        <f>-B8/B6</f>
        <v>0.76030368763557488</v>
      </c>
      <c r="C19" s="684">
        <f>-C8/C6</f>
        <v>0.97057050769554187</v>
      </c>
    </row>
    <row r="20" spans="1:3" ht="16" thickBot="1" x14ac:dyDescent="0.4">
      <c r="A20" s="685" t="s">
        <v>394</v>
      </c>
      <c r="B20" s="686">
        <f>B19+B18</f>
        <v>1.5412147505422995</v>
      </c>
      <c r="C20" s="687">
        <f>C19+C18</f>
        <v>1.9833397331169769</v>
      </c>
    </row>
    <row r="21" spans="1:3" ht="16" thickBot="1" x14ac:dyDescent="0.4">
      <c r="A21" s="659"/>
      <c r="B21" s="688"/>
      <c r="C21" s="653"/>
    </row>
    <row r="22" spans="1:3" ht="70.900000000000006" customHeight="1" thickBot="1" x14ac:dyDescent="0.4">
      <c r="A22" s="842" t="s">
        <v>395</v>
      </c>
      <c r="B22" s="843"/>
      <c r="C22" s="844"/>
    </row>
  </sheetData>
  <mergeCells count="2">
    <mergeCell ref="A1:C2"/>
    <mergeCell ref="A22:C22"/>
  </mergeCells>
  <pageMargins left="0.7" right="0.7" top="0.75" bottom="0.75" header="0.3" footer="0.3"/>
  <pageSetup paperSize="9"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65AE8-16C1-4CC2-A309-BFF79FE26F17}">
  <sheetPr codeName="Sheet9">
    <pageSetUpPr fitToPage="1"/>
  </sheetPr>
  <dimension ref="A1:S48"/>
  <sheetViews>
    <sheetView workbookViewId="0">
      <pane xSplit="1" ySplit="4" topLeftCell="J11" activePane="bottomRight" state="frozen"/>
      <selection pane="topRight" activeCell="A3" sqref="A3:D18"/>
      <selection pane="bottomLeft" activeCell="A3" sqref="A3:D18"/>
      <selection pane="bottomRight" activeCell="K8" sqref="K8"/>
    </sheetView>
  </sheetViews>
  <sheetFormatPr defaultRowHeight="14.5" x14ac:dyDescent="0.35"/>
  <cols>
    <col min="1" max="1" width="38.7265625" customWidth="1"/>
    <col min="2" max="2" width="12.7265625" hidden="1" customWidth="1"/>
    <col min="3" max="3" width="12.453125" hidden="1" customWidth="1"/>
    <col min="4" max="4" width="12.81640625" hidden="1" customWidth="1"/>
    <col min="5" max="5" width="12" hidden="1" customWidth="1"/>
    <col min="6" max="6" width="12.1796875" hidden="1" customWidth="1"/>
    <col min="7" max="7" width="10.7265625" customWidth="1"/>
    <col min="8" max="8" width="11.453125" customWidth="1"/>
    <col min="9" max="9" width="11.1796875" customWidth="1"/>
    <col min="10" max="10" width="12.453125" customWidth="1"/>
    <col min="11" max="11" width="12.54296875" customWidth="1"/>
    <col min="12" max="12" width="13.81640625" customWidth="1"/>
    <col min="13" max="13" width="12.453125" customWidth="1"/>
    <col min="14" max="14" width="11.81640625" customWidth="1"/>
    <col min="15" max="15" width="12.1796875" customWidth="1"/>
    <col min="16" max="16" width="12.54296875" customWidth="1"/>
    <col min="17" max="18" width="12.7265625" customWidth="1"/>
    <col min="19" max="19" width="11.54296875" customWidth="1"/>
  </cols>
  <sheetData>
    <row r="1" spans="1:19" ht="20" x14ac:dyDescent="0.4">
      <c r="A1" s="226"/>
      <c r="B1" s="227"/>
      <c r="C1" s="227"/>
      <c r="D1" s="227"/>
      <c r="E1" s="227"/>
      <c r="F1" s="227"/>
      <c r="G1" s="845" t="s">
        <v>124</v>
      </c>
      <c r="H1" s="846"/>
      <c r="I1" s="846"/>
      <c r="J1" s="846"/>
      <c r="K1" s="846"/>
      <c r="L1" s="846"/>
      <c r="M1" s="846"/>
      <c r="N1" s="846"/>
      <c r="O1" s="846"/>
      <c r="P1" s="846"/>
      <c r="Q1" s="846"/>
      <c r="R1" s="846"/>
      <c r="S1" s="847"/>
    </row>
    <row r="2" spans="1:19" x14ac:dyDescent="0.35">
      <c r="A2" s="228"/>
      <c r="B2" s="229"/>
      <c r="C2" s="229"/>
      <c r="D2" s="229"/>
      <c r="E2" s="229"/>
      <c r="F2" s="229"/>
      <c r="G2" s="230"/>
      <c r="H2" s="231"/>
      <c r="I2" s="231"/>
      <c r="J2" s="231"/>
      <c r="K2" s="231"/>
      <c r="L2" s="231"/>
      <c r="M2" s="231"/>
      <c r="N2" s="231"/>
      <c r="O2" s="231"/>
      <c r="P2" s="231"/>
      <c r="Q2" s="231"/>
      <c r="R2" s="231"/>
      <c r="S2" s="232"/>
    </row>
    <row r="3" spans="1:19" x14ac:dyDescent="0.35">
      <c r="A3" s="228" t="s">
        <v>125</v>
      </c>
      <c r="B3" s="229" t="s">
        <v>4</v>
      </c>
      <c r="C3" s="229" t="s">
        <v>4</v>
      </c>
      <c r="D3" s="229" t="s">
        <v>4</v>
      </c>
      <c r="E3" s="229" t="s">
        <v>4</v>
      </c>
      <c r="F3" s="229" t="s">
        <v>4</v>
      </c>
      <c r="G3" s="233" t="s">
        <v>4</v>
      </c>
      <c r="H3" s="234" t="s">
        <v>7</v>
      </c>
      <c r="I3" s="234" t="s">
        <v>7</v>
      </c>
      <c r="J3" s="234" t="s">
        <v>7</v>
      </c>
      <c r="K3" s="234" t="s">
        <v>7</v>
      </c>
      <c r="L3" s="234" t="s">
        <v>7</v>
      </c>
      <c r="M3" s="234" t="s">
        <v>7</v>
      </c>
      <c r="N3" s="234" t="s">
        <v>7</v>
      </c>
      <c r="O3" s="234" t="s">
        <v>7</v>
      </c>
      <c r="P3" s="234" t="s">
        <v>7</v>
      </c>
      <c r="Q3" s="234" t="s">
        <v>7</v>
      </c>
      <c r="R3" s="234" t="s">
        <v>7</v>
      </c>
      <c r="S3" s="235" t="s">
        <v>7</v>
      </c>
    </row>
    <row r="4" spans="1:19" ht="15" thickBot="1" x14ac:dyDescent="0.4">
      <c r="A4" s="236"/>
      <c r="B4" s="237" t="s">
        <v>126</v>
      </c>
      <c r="C4" s="237" t="s">
        <v>127</v>
      </c>
      <c r="D4" s="237" t="s">
        <v>128</v>
      </c>
      <c r="E4" s="237" t="s">
        <v>129</v>
      </c>
      <c r="F4" s="237" t="s">
        <v>130</v>
      </c>
      <c r="G4" s="238" t="s">
        <v>131</v>
      </c>
      <c r="H4" s="237" t="s">
        <v>132</v>
      </c>
      <c r="I4" s="237" t="s">
        <v>133</v>
      </c>
      <c r="J4" s="237" t="s">
        <v>134</v>
      </c>
      <c r="K4" s="237" t="s">
        <v>135</v>
      </c>
      <c r="L4" s="237" t="s">
        <v>136</v>
      </c>
      <c r="M4" s="237" t="s">
        <v>137</v>
      </c>
      <c r="N4" s="237" t="s">
        <v>126</v>
      </c>
      <c r="O4" s="237" t="s">
        <v>127</v>
      </c>
      <c r="P4" s="237" t="s">
        <v>128</v>
      </c>
      <c r="Q4" s="237" t="s">
        <v>129</v>
      </c>
      <c r="R4" s="237" t="s">
        <v>130</v>
      </c>
      <c r="S4" s="239" t="s">
        <v>138</v>
      </c>
    </row>
    <row r="5" spans="1:19" x14ac:dyDescent="0.35">
      <c r="A5" s="240" t="s">
        <v>139</v>
      </c>
      <c r="B5" s="241"/>
      <c r="C5" s="241"/>
      <c r="D5" s="241"/>
      <c r="E5" s="241"/>
      <c r="F5" s="241"/>
      <c r="G5" s="242"/>
      <c r="H5" s="242"/>
      <c r="I5" s="242"/>
      <c r="J5" s="242"/>
      <c r="K5" s="242"/>
      <c r="L5" s="242"/>
      <c r="M5" s="242"/>
      <c r="N5" s="242"/>
      <c r="O5" s="242"/>
      <c r="P5" s="242"/>
      <c r="Q5" s="242"/>
      <c r="R5" s="242"/>
      <c r="S5" s="243"/>
    </row>
    <row r="6" spans="1:19" x14ac:dyDescent="0.35">
      <c r="A6" s="244" t="s">
        <v>140</v>
      </c>
      <c r="B6" s="221">
        <v>1085.1666666666667</v>
      </c>
      <c r="C6" s="221">
        <v>1085.1666666666667</v>
      </c>
      <c r="D6" s="221">
        <v>1085.1666666666667</v>
      </c>
      <c r="E6" s="221">
        <v>1085.1666666666667</v>
      </c>
      <c r="F6" s="221">
        <v>1085.1666666666667</v>
      </c>
      <c r="G6" s="221">
        <v>1085.1666666666667</v>
      </c>
      <c r="H6" s="221">
        <v>1085.1666666666667</v>
      </c>
      <c r="I6" s="221">
        <v>1085.1666666666667</v>
      </c>
      <c r="J6" s="221">
        <v>1085.1666666666667</v>
      </c>
      <c r="K6" s="221">
        <v>1085.1666666666667</v>
      </c>
      <c r="L6" s="221">
        <v>1085.1666666666667</v>
      </c>
      <c r="M6" s="221">
        <v>1084</v>
      </c>
      <c r="N6" s="242">
        <f>13400/12</f>
        <v>1116.6666666666667</v>
      </c>
      <c r="O6" s="242">
        <f t="shared" ref="O6:S6" si="0">13400/12</f>
        <v>1116.6666666666667</v>
      </c>
      <c r="P6" s="242">
        <f t="shared" si="0"/>
        <v>1116.6666666666667</v>
      </c>
      <c r="Q6" s="242">
        <f t="shared" si="0"/>
        <v>1116.6666666666667</v>
      </c>
      <c r="R6" s="242">
        <f t="shared" si="0"/>
        <v>1116.6666666666667</v>
      </c>
      <c r="S6" s="243">
        <f t="shared" si="0"/>
        <v>1116.6666666666667</v>
      </c>
    </row>
    <row r="7" spans="1:19" x14ac:dyDescent="0.35">
      <c r="A7" s="244" t="s">
        <v>20</v>
      </c>
      <c r="B7" s="221">
        <f>2987/12</f>
        <v>248.91666666666666</v>
      </c>
      <c r="C7" s="221">
        <f t="shared" ref="C7:S7" si="1">2987/12</f>
        <v>248.91666666666666</v>
      </c>
      <c r="D7" s="221">
        <f t="shared" si="1"/>
        <v>248.91666666666666</v>
      </c>
      <c r="E7" s="221">
        <f t="shared" si="1"/>
        <v>248.91666666666666</v>
      </c>
      <c r="F7" s="221">
        <f t="shared" si="1"/>
        <v>248.91666666666666</v>
      </c>
      <c r="G7" s="221">
        <f t="shared" si="1"/>
        <v>248.91666666666666</v>
      </c>
      <c r="H7" s="221">
        <f t="shared" si="1"/>
        <v>248.91666666666666</v>
      </c>
      <c r="I7" s="221">
        <f t="shared" si="1"/>
        <v>248.91666666666666</v>
      </c>
      <c r="J7" s="221">
        <f t="shared" si="1"/>
        <v>248.91666666666666</v>
      </c>
      <c r="K7" s="221">
        <f t="shared" si="1"/>
        <v>248.91666666666666</v>
      </c>
      <c r="L7" s="221">
        <f t="shared" si="1"/>
        <v>248.91666666666666</v>
      </c>
      <c r="M7" s="221">
        <f t="shared" si="1"/>
        <v>248.91666666666666</v>
      </c>
      <c r="N7" s="221">
        <f t="shared" si="1"/>
        <v>248.91666666666666</v>
      </c>
      <c r="O7" s="221">
        <f t="shared" si="1"/>
        <v>248.91666666666666</v>
      </c>
      <c r="P7" s="221">
        <f t="shared" si="1"/>
        <v>248.91666666666666</v>
      </c>
      <c r="Q7" s="221">
        <f t="shared" si="1"/>
        <v>248.91666666666666</v>
      </c>
      <c r="R7" s="221">
        <f t="shared" si="1"/>
        <v>248.91666666666666</v>
      </c>
      <c r="S7" s="222">
        <f t="shared" si="1"/>
        <v>248.91666666666666</v>
      </c>
    </row>
    <row r="8" spans="1:19" x14ac:dyDescent="0.35">
      <c r="A8" s="244" t="s">
        <v>18</v>
      </c>
      <c r="B8" s="221">
        <v>35</v>
      </c>
      <c r="C8" s="221">
        <v>69.441666666666677</v>
      </c>
      <c r="D8" s="221">
        <v>69.441666666666677</v>
      </c>
      <c r="E8" s="221">
        <v>69.441666666666677</v>
      </c>
      <c r="F8" s="221">
        <v>69.441666666666677</v>
      </c>
      <c r="G8" s="221">
        <v>69.441666666666677</v>
      </c>
      <c r="H8" s="221">
        <v>69.441666666666677</v>
      </c>
      <c r="I8" s="221">
        <v>69.441666666666677</v>
      </c>
      <c r="J8" s="221">
        <v>69.441666666666677</v>
      </c>
      <c r="K8" s="221">
        <v>69.441666666666677</v>
      </c>
      <c r="L8" s="221">
        <v>69.441666666666677</v>
      </c>
      <c r="M8" s="221">
        <v>69.441666666666677</v>
      </c>
      <c r="N8" s="242">
        <v>45</v>
      </c>
      <c r="O8" s="242">
        <v>74</v>
      </c>
      <c r="P8" s="242">
        <v>74</v>
      </c>
      <c r="Q8" s="242">
        <v>74</v>
      </c>
      <c r="R8" s="242">
        <v>74</v>
      </c>
      <c r="S8" s="243">
        <v>74</v>
      </c>
    </row>
    <row r="9" spans="1:19" x14ac:dyDescent="0.35">
      <c r="A9" s="244" t="s">
        <v>141</v>
      </c>
      <c r="B9" s="221">
        <v>10</v>
      </c>
      <c r="C9" s="221">
        <v>30</v>
      </c>
      <c r="D9" s="221">
        <v>529</v>
      </c>
      <c r="E9" s="221">
        <v>31</v>
      </c>
      <c r="F9" s="224">
        <v>31</v>
      </c>
      <c r="G9" s="221">
        <v>31</v>
      </c>
      <c r="H9" s="221">
        <f>31+475</f>
        <v>506</v>
      </c>
      <c r="I9" s="221">
        <v>29</v>
      </c>
      <c r="J9" s="221">
        <v>29</v>
      </c>
      <c r="K9" s="221">
        <f>29+950</f>
        <v>979</v>
      </c>
      <c r="L9" s="221">
        <v>29</v>
      </c>
      <c r="M9" s="221">
        <v>29</v>
      </c>
      <c r="N9" s="242">
        <v>8</v>
      </c>
      <c r="O9" s="242">
        <v>30</v>
      </c>
      <c r="P9" s="242">
        <v>30</v>
      </c>
      <c r="Q9" s="242">
        <v>475</v>
      </c>
      <c r="R9" s="242">
        <v>30</v>
      </c>
      <c r="S9" s="243">
        <v>30</v>
      </c>
    </row>
    <row r="10" spans="1:19" x14ac:dyDescent="0.35">
      <c r="A10" s="244" t="s">
        <v>142</v>
      </c>
      <c r="B10" s="221">
        <v>19</v>
      </c>
      <c r="C10" s="221">
        <v>19</v>
      </c>
      <c r="D10" s="221">
        <v>19</v>
      </c>
      <c r="E10" s="221">
        <v>19</v>
      </c>
      <c r="F10" s="221">
        <v>19</v>
      </c>
      <c r="G10" s="221">
        <v>19</v>
      </c>
      <c r="H10" s="221">
        <v>19</v>
      </c>
      <c r="I10" s="221">
        <v>19</v>
      </c>
      <c r="J10" s="221">
        <v>19</v>
      </c>
      <c r="K10" s="221">
        <v>19</v>
      </c>
      <c r="L10" s="221">
        <v>19</v>
      </c>
      <c r="M10" s="221">
        <v>19</v>
      </c>
      <c r="N10" s="242">
        <v>17</v>
      </c>
      <c r="O10" s="242">
        <v>17</v>
      </c>
      <c r="P10" s="242">
        <v>17</v>
      </c>
      <c r="Q10" s="242">
        <v>17</v>
      </c>
      <c r="R10" s="242">
        <v>17</v>
      </c>
      <c r="S10" s="243">
        <v>17</v>
      </c>
    </row>
    <row r="11" spans="1:19" x14ac:dyDescent="0.35">
      <c r="A11" s="244" t="s">
        <v>143</v>
      </c>
      <c r="B11" s="221">
        <v>44</v>
      </c>
      <c r="C11" s="221">
        <v>103</v>
      </c>
      <c r="D11" s="221">
        <v>97</v>
      </c>
      <c r="E11" s="221">
        <v>80.600000000000009</v>
      </c>
      <c r="F11" s="221">
        <v>63</v>
      </c>
      <c r="G11" s="221">
        <v>50</v>
      </c>
      <c r="H11" s="221">
        <v>30.800000000000004</v>
      </c>
      <c r="I11" s="221">
        <v>20.840000000000003</v>
      </c>
      <c r="J11" s="221">
        <v>110</v>
      </c>
      <c r="K11" s="221">
        <v>74</v>
      </c>
      <c r="L11" s="221">
        <v>62</v>
      </c>
      <c r="M11" s="221">
        <v>31</v>
      </c>
      <c r="N11" s="221">
        <v>35</v>
      </c>
      <c r="O11" s="221">
        <v>96</v>
      </c>
      <c r="P11" s="221">
        <v>90.56</v>
      </c>
      <c r="Q11" s="221">
        <v>84</v>
      </c>
      <c r="R11" s="221">
        <v>60</v>
      </c>
      <c r="S11" s="222">
        <v>50</v>
      </c>
    </row>
    <row r="12" spans="1:19" x14ac:dyDescent="0.35">
      <c r="A12" s="244" t="s">
        <v>144</v>
      </c>
      <c r="B12" s="221">
        <v>12</v>
      </c>
      <c r="C12" s="221">
        <v>75</v>
      </c>
      <c r="D12" s="221">
        <v>94.220833333333331</v>
      </c>
      <c r="E12" s="221">
        <v>59</v>
      </c>
      <c r="F12" s="221">
        <v>54.058333333333337</v>
      </c>
      <c r="G12" s="221">
        <v>54.058333333333337</v>
      </c>
      <c r="H12" s="221">
        <v>33.977083333333333</v>
      </c>
      <c r="I12" s="221">
        <v>38</v>
      </c>
      <c r="J12" s="221">
        <v>35</v>
      </c>
      <c r="K12" s="221">
        <v>33.977083333333333</v>
      </c>
      <c r="L12" s="221">
        <v>33.977083333333333</v>
      </c>
      <c r="M12" s="221">
        <v>12</v>
      </c>
      <c r="N12" s="221">
        <v>7</v>
      </c>
      <c r="O12" s="221">
        <v>70</v>
      </c>
      <c r="P12" s="221">
        <v>99</v>
      </c>
      <c r="Q12" s="221">
        <v>51</v>
      </c>
      <c r="R12" s="221">
        <v>60</v>
      </c>
      <c r="S12" s="222">
        <v>55</v>
      </c>
    </row>
    <row r="13" spans="1:19" ht="15" thickBot="1" x14ac:dyDescent="0.4">
      <c r="A13" s="245" t="s">
        <v>145</v>
      </c>
      <c r="B13" s="225">
        <v>18</v>
      </c>
      <c r="C13" s="221">
        <v>30.140011363636361</v>
      </c>
      <c r="D13" s="221">
        <v>30.140011363636361</v>
      </c>
      <c r="E13" s="221">
        <v>28</v>
      </c>
      <c r="F13" s="221">
        <v>202</v>
      </c>
      <c r="G13" s="221">
        <v>25</v>
      </c>
      <c r="H13" s="221">
        <v>24</v>
      </c>
      <c r="I13" s="221">
        <v>24</v>
      </c>
      <c r="J13" s="221">
        <v>24</v>
      </c>
      <c r="K13" s="221">
        <v>25.441636363636363</v>
      </c>
      <c r="L13" s="223">
        <v>24</v>
      </c>
      <c r="M13" s="223">
        <v>25</v>
      </c>
      <c r="N13" s="242">
        <v>0</v>
      </c>
      <c r="O13" s="242">
        <v>25</v>
      </c>
      <c r="P13" s="242">
        <v>25</v>
      </c>
      <c r="Q13" s="242">
        <v>25</v>
      </c>
      <c r="R13" s="242">
        <v>25</v>
      </c>
      <c r="S13" s="243">
        <v>25</v>
      </c>
    </row>
    <row r="14" spans="1:19" ht="15" thickBot="1" x14ac:dyDescent="0.4">
      <c r="A14" s="246" t="s">
        <v>146</v>
      </c>
      <c r="B14" s="247">
        <f t="shared" ref="B14:S14" si="2">SUM(B6:B13)</f>
        <v>1472.0833333333335</v>
      </c>
      <c r="C14" s="247">
        <f t="shared" si="2"/>
        <v>1660.6650113636365</v>
      </c>
      <c r="D14" s="247">
        <f t="shared" si="2"/>
        <v>2172.8858446969698</v>
      </c>
      <c r="E14" s="247">
        <f t="shared" si="2"/>
        <v>1621.125</v>
      </c>
      <c r="F14" s="247">
        <f t="shared" si="2"/>
        <v>1772.5833333333335</v>
      </c>
      <c r="G14" s="248">
        <f t="shared" si="2"/>
        <v>1582.5833333333335</v>
      </c>
      <c r="H14" s="249">
        <f t="shared" si="2"/>
        <v>2017.3020833333335</v>
      </c>
      <c r="I14" s="249">
        <f t="shared" si="2"/>
        <v>1534.365</v>
      </c>
      <c r="J14" s="249">
        <f t="shared" si="2"/>
        <v>1620.5250000000001</v>
      </c>
      <c r="K14" s="249">
        <f t="shared" si="2"/>
        <v>2534.9437196969698</v>
      </c>
      <c r="L14" s="249">
        <f t="shared" si="2"/>
        <v>1571.5020833333335</v>
      </c>
      <c r="M14" s="249">
        <f t="shared" si="2"/>
        <v>1518.3583333333333</v>
      </c>
      <c r="N14" s="249">
        <f t="shared" si="2"/>
        <v>1477.5833333333335</v>
      </c>
      <c r="O14" s="249">
        <f t="shared" si="2"/>
        <v>1677.5833333333335</v>
      </c>
      <c r="P14" s="249">
        <f t="shared" si="2"/>
        <v>1701.1433333333334</v>
      </c>
      <c r="Q14" s="249">
        <f t="shared" si="2"/>
        <v>2091.5833333333335</v>
      </c>
      <c r="R14" s="249">
        <f t="shared" si="2"/>
        <v>1631.5833333333335</v>
      </c>
      <c r="S14" s="250">
        <f t="shared" si="2"/>
        <v>1616.5833333333335</v>
      </c>
    </row>
    <row r="15" spans="1:19" x14ac:dyDescent="0.35">
      <c r="A15" s="244"/>
      <c r="B15" s="224"/>
      <c r="C15" s="224"/>
      <c r="D15" s="224"/>
      <c r="E15" s="224"/>
      <c r="F15" s="224"/>
      <c r="G15" s="242"/>
      <c r="H15" s="242"/>
      <c r="I15" s="242"/>
      <c r="J15" s="242"/>
      <c r="K15" s="242"/>
      <c r="L15" s="242"/>
      <c r="M15" s="242"/>
      <c r="N15" s="242"/>
      <c r="O15" s="242"/>
      <c r="P15" s="242"/>
      <c r="Q15" s="242"/>
      <c r="R15" s="242"/>
      <c r="S15" s="243"/>
    </row>
    <row r="16" spans="1:19" x14ac:dyDescent="0.35">
      <c r="A16" s="240" t="s">
        <v>147</v>
      </c>
      <c r="B16" s="241"/>
      <c r="C16" s="241"/>
      <c r="D16" s="241"/>
      <c r="E16" s="241"/>
      <c r="F16" s="241"/>
      <c r="G16" s="242"/>
      <c r="H16" s="242"/>
      <c r="I16" s="242"/>
      <c r="J16" s="242"/>
      <c r="K16" s="242"/>
      <c r="L16" s="242"/>
      <c r="M16" s="242"/>
      <c r="N16" s="242"/>
      <c r="O16" s="242"/>
      <c r="P16" s="242"/>
      <c r="Q16" s="242"/>
      <c r="R16" s="242"/>
      <c r="S16" s="243"/>
    </row>
    <row r="17" spans="1:19" x14ac:dyDescent="0.35">
      <c r="A17" s="244" t="s">
        <v>148</v>
      </c>
      <c r="B17" s="224">
        <v>646</v>
      </c>
      <c r="C17" s="224">
        <v>661</v>
      </c>
      <c r="D17" s="224">
        <v>688</v>
      </c>
      <c r="E17" s="224">
        <v>701</v>
      </c>
      <c r="F17" s="224">
        <v>676</v>
      </c>
      <c r="G17" s="242">
        <v>691</v>
      </c>
      <c r="H17" s="242">
        <v>688</v>
      </c>
      <c r="I17" s="242">
        <v>692</v>
      </c>
      <c r="J17" s="242">
        <v>688</v>
      </c>
      <c r="K17" s="242">
        <v>695</v>
      </c>
      <c r="L17" s="242">
        <v>701</v>
      </c>
      <c r="M17" s="242">
        <v>666</v>
      </c>
      <c r="N17" s="242">
        <f>B17*1.03</f>
        <v>665.38</v>
      </c>
      <c r="O17" s="242">
        <f t="shared" ref="O17:S19" si="3">C17*1.03</f>
        <v>680.83</v>
      </c>
      <c r="P17" s="242">
        <f t="shared" si="3"/>
        <v>708.64</v>
      </c>
      <c r="Q17" s="242">
        <f t="shared" si="3"/>
        <v>722.03</v>
      </c>
      <c r="R17" s="242">
        <f t="shared" si="3"/>
        <v>696.28</v>
      </c>
      <c r="S17" s="243">
        <f t="shared" si="3"/>
        <v>711.73</v>
      </c>
    </row>
    <row r="18" spans="1:19" x14ac:dyDescent="0.35">
      <c r="A18" s="244" t="s">
        <v>149</v>
      </c>
      <c r="B18" s="224">
        <v>161</v>
      </c>
      <c r="C18" s="224">
        <v>165</v>
      </c>
      <c r="D18" s="224">
        <v>172</v>
      </c>
      <c r="E18" s="224">
        <v>175</v>
      </c>
      <c r="F18" s="224">
        <v>170</v>
      </c>
      <c r="G18" s="242">
        <v>175</v>
      </c>
      <c r="H18" s="242">
        <v>170</v>
      </c>
      <c r="I18" s="242">
        <v>171</v>
      </c>
      <c r="J18" s="242">
        <v>170</v>
      </c>
      <c r="K18" s="242">
        <v>173</v>
      </c>
      <c r="L18" s="242">
        <v>176</v>
      </c>
      <c r="M18" s="242">
        <v>165</v>
      </c>
      <c r="N18" s="242">
        <f t="shared" ref="N18:N19" si="4">B18*1.03</f>
        <v>165.83</v>
      </c>
      <c r="O18" s="242">
        <f t="shared" si="3"/>
        <v>169.95000000000002</v>
      </c>
      <c r="P18" s="242">
        <f t="shared" si="3"/>
        <v>177.16</v>
      </c>
      <c r="Q18" s="242">
        <f t="shared" si="3"/>
        <v>180.25</v>
      </c>
      <c r="R18" s="242">
        <f t="shared" si="3"/>
        <v>175.1</v>
      </c>
      <c r="S18" s="243">
        <f t="shared" si="3"/>
        <v>180.25</v>
      </c>
    </row>
    <row r="19" spans="1:19" ht="15" thickBot="1" x14ac:dyDescent="0.4">
      <c r="A19" s="244" t="s">
        <v>150</v>
      </c>
      <c r="B19" s="224">
        <v>264</v>
      </c>
      <c r="C19" s="224">
        <v>276</v>
      </c>
      <c r="D19" s="224">
        <v>287</v>
      </c>
      <c r="E19" s="224">
        <v>295</v>
      </c>
      <c r="F19" s="224">
        <v>283</v>
      </c>
      <c r="G19" s="242">
        <v>288</v>
      </c>
      <c r="H19" s="242">
        <v>287</v>
      </c>
      <c r="I19" s="242">
        <v>288</v>
      </c>
      <c r="J19" s="242">
        <v>287</v>
      </c>
      <c r="K19" s="242">
        <v>290</v>
      </c>
      <c r="L19" s="242">
        <v>295</v>
      </c>
      <c r="M19" s="242">
        <v>278</v>
      </c>
      <c r="N19" s="242">
        <f t="shared" si="4"/>
        <v>271.92</v>
      </c>
      <c r="O19" s="242">
        <f t="shared" si="3"/>
        <v>284.28000000000003</v>
      </c>
      <c r="P19" s="242">
        <f t="shared" si="3"/>
        <v>295.61</v>
      </c>
      <c r="Q19" s="242">
        <f t="shared" si="3"/>
        <v>303.85000000000002</v>
      </c>
      <c r="R19" s="242">
        <f t="shared" si="3"/>
        <v>291.49</v>
      </c>
      <c r="S19" s="243">
        <f t="shared" si="3"/>
        <v>296.64</v>
      </c>
    </row>
    <row r="20" spans="1:19" ht="15" thickBot="1" x14ac:dyDescent="0.4">
      <c r="A20" s="246" t="s">
        <v>151</v>
      </c>
      <c r="B20" s="247">
        <f t="shared" ref="B20:S20" si="5">SUM(B17:B19)</f>
        <v>1071</v>
      </c>
      <c r="C20" s="247">
        <f t="shared" si="5"/>
        <v>1102</v>
      </c>
      <c r="D20" s="247">
        <f t="shared" si="5"/>
        <v>1147</v>
      </c>
      <c r="E20" s="247">
        <f t="shared" si="5"/>
        <v>1171</v>
      </c>
      <c r="F20" s="247">
        <f t="shared" si="5"/>
        <v>1129</v>
      </c>
      <c r="G20" s="248">
        <f t="shared" si="5"/>
        <v>1154</v>
      </c>
      <c r="H20" s="249">
        <f t="shared" si="5"/>
        <v>1145</v>
      </c>
      <c r="I20" s="249">
        <f t="shared" si="5"/>
        <v>1151</v>
      </c>
      <c r="J20" s="249">
        <f t="shared" si="5"/>
        <v>1145</v>
      </c>
      <c r="K20" s="249">
        <f t="shared" si="5"/>
        <v>1158</v>
      </c>
      <c r="L20" s="249">
        <f t="shared" si="5"/>
        <v>1172</v>
      </c>
      <c r="M20" s="249">
        <f t="shared" si="5"/>
        <v>1109</v>
      </c>
      <c r="N20" s="249">
        <f t="shared" si="5"/>
        <v>1103.1300000000001</v>
      </c>
      <c r="O20" s="249">
        <f t="shared" si="5"/>
        <v>1135.0600000000002</v>
      </c>
      <c r="P20" s="249">
        <f t="shared" si="5"/>
        <v>1181.4099999999999</v>
      </c>
      <c r="Q20" s="249">
        <f t="shared" si="5"/>
        <v>1206.1300000000001</v>
      </c>
      <c r="R20" s="249">
        <f t="shared" si="5"/>
        <v>1162.8699999999999</v>
      </c>
      <c r="S20" s="250">
        <f t="shared" si="5"/>
        <v>1188.6199999999999</v>
      </c>
    </row>
    <row r="21" spans="1:19" x14ac:dyDescent="0.35">
      <c r="A21" s="244"/>
      <c r="B21" s="224"/>
      <c r="C21" s="224"/>
      <c r="D21" s="224"/>
      <c r="E21" s="224"/>
      <c r="F21" s="224"/>
      <c r="G21" s="242"/>
      <c r="H21" s="242"/>
      <c r="I21" s="242"/>
      <c r="J21" s="242"/>
      <c r="K21" s="242"/>
      <c r="L21" s="242"/>
      <c r="M21" s="242"/>
      <c r="N21" s="242"/>
      <c r="O21" s="242"/>
      <c r="P21" s="242"/>
      <c r="Q21" s="242"/>
      <c r="R21" s="242"/>
      <c r="S21" s="243"/>
    </row>
    <row r="22" spans="1:19" x14ac:dyDescent="0.35">
      <c r="A22" s="240" t="s">
        <v>152</v>
      </c>
      <c r="B22" s="241"/>
      <c r="C22" s="241"/>
      <c r="D22" s="241"/>
      <c r="E22" s="241"/>
      <c r="F22" s="241"/>
      <c r="G22" s="242"/>
      <c r="H22" s="242"/>
      <c r="I22" s="242"/>
      <c r="J22" s="242"/>
      <c r="K22" s="242"/>
      <c r="L22" s="242"/>
      <c r="M22" s="242"/>
      <c r="N22" s="242"/>
      <c r="O22" s="242"/>
      <c r="P22" s="242"/>
      <c r="Q22" s="242"/>
      <c r="R22" s="242"/>
      <c r="S22" s="243"/>
    </row>
    <row r="23" spans="1:19" x14ac:dyDescent="0.35">
      <c r="A23" s="244" t="s">
        <v>153</v>
      </c>
      <c r="B23" s="224">
        <v>178</v>
      </c>
      <c r="C23" s="224">
        <v>805</v>
      </c>
      <c r="D23" s="224">
        <v>721</v>
      </c>
      <c r="E23" s="224">
        <v>696</v>
      </c>
      <c r="F23" s="224">
        <v>412</v>
      </c>
      <c r="G23" s="221">
        <v>544</v>
      </c>
      <c r="H23" s="221">
        <v>675</v>
      </c>
      <c r="I23" s="221">
        <v>561</v>
      </c>
      <c r="J23" s="221">
        <v>535</v>
      </c>
      <c r="K23" s="221">
        <v>456</v>
      </c>
      <c r="L23" s="221">
        <v>427</v>
      </c>
      <c r="M23" s="221">
        <v>356</v>
      </c>
      <c r="N23" s="221">
        <v>177.92</v>
      </c>
      <c r="O23" s="221">
        <v>800</v>
      </c>
      <c r="P23" s="221">
        <v>720</v>
      </c>
      <c r="Q23" s="221">
        <v>700</v>
      </c>
      <c r="R23" s="221">
        <v>400</v>
      </c>
      <c r="S23" s="222">
        <v>600</v>
      </c>
    </row>
    <row r="24" spans="1:19" x14ac:dyDescent="0.35">
      <c r="A24" s="244" t="s">
        <v>154</v>
      </c>
      <c r="B24" s="224">
        <v>0</v>
      </c>
      <c r="C24" s="224">
        <v>16</v>
      </c>
      <c r="D24" s="224">
        <v>18</v>
      </c>
      <c r="E24" s="224">
        <v>14</v>
      </c>
      <c r="F24" s="224">
        <v>10</v>
      </c>
      <c r="G24" s="242">
        <v>22</v>
      </c>
      <c r="H24" s="242">
        <v>24</v>
      </c>
      <c r="I24" s="242">
        <v>25</v>
      </c>
      <c r="J24" s="242">
        <v>25</v>
      </c>
      <c r="K24" s="242">
        <v>28</v>
      </c>
      <c r="L24" s="242">
        <v>28</v>
      </c>
      <c r="M24" s="242">
        <v>30</v>
      </c>
      <c r="N24" s="242">
        <v>0</v>
      </c>
      <c r="O24" s="242">
        <v>24</v>
      </c>
      <c r="P24" s="242">
        <v>24</v>
      </c>
      <c r="Q24" s="242">
        <v>24</v>
      </c>
      <c r="R24" s="242">
        <v>24</v>
      </c>
      <c r="S24" s="243">
        <v>24</v>
      </c>
    </row>
    <row r="25" spans="1:19" x14ac:dyDescent="0.35">
      <c r="A25" s="244" t="s">
        <v>155</v>
      </c>
      <c r="B25" s="224">
        <v>0</v>
      </c>
      <c r="C25" s="224">
        <v>0</v>
      </c>
      <c r="D25" s="224">
        <v>30</v>
      </c>
      <c r="E25" s="224">
        <v>0</v>
      </c>
      <c r="F25" s="224">
        <v>30</v>
      </c>
      <c r="G25" s="242">
        <v>0</v>
      </c>
      <c r="H25" s="242">
        <v>30</v>
      </c>
      <c r="I25" s="242">
        <v>0</v>
      </c>
      <c r="J25" s="242">
        <v>0</v>
      </c>
      <c r="K25" s="242">
        <v>30</v>
      </c>
      <c r="L25" s="242">
        <v>0</v>
      </c>
      <c r="M25" s="242">
        <v>0</v>
      </c>
      <c r="N25" s="242">
        <v>32</v>
      </c>
      <c r="O25" s="242">
        <v>0</v>
      </c>
      <c r="P25" s="242">
        <v>0</v>
      </c>
      <c r="Q25" s="242">
        <v>33</v>
      </c>
      <c r="R25" s="242">
        <v>0</v>
      </c>
      <c r="S25" s="243">
        <v>0</v>
      </c>
    </row>
    <row r="26" spans="1:19" ht="15" thickBot="1" x14ac:dyDescent="0.4">
      <c r="A26" s="244" t="s">
        <v>156</v>
      </c>
      <c r="B26" s="242">
        <v>0</v>
      </c>
      <c r="C26" s="242">
        <v>0</v>
      </c>
      <c r="D26" s="242">
        <v>0</v>
      </c>
      <c r="E26" s="242">
        <v>0</v>
      </c>
      <c r="F26" s="242">
        <v>0</v>
      </c>
      <c r="G26" s="242">
        <v>0</v>
      </c>
      <c r="H26" s="242">
        <v>0</v>
      </c>
      <c r="I26" s="242">
        <v>0</v>
      </c>
      <c r="J26" s="242">
        <v>0</v>
      </c>
      <c r="K26" s="242">
        <v>0</v>
      </c>
      <c r="L26" s="242">
        <v>0</v>
      </c>
      <c r="M26" s="242">
        <v>0</v>
      </c>
      <c r="N26" s="242">
        <v>0</v>
      </c>
      <c r="O26" s="242">
        <v>0</v>
      </c>
      <c r="P26" s="242">
        <v>0</v>
      </c>
      <c r="Q26" s="242">
        <v>0</v>
      </c>
      <c r="R26" s="242">
        <v>139</v>
      </c>
      <c r="S26" s="243">
        <v>0</v>
      </c>
    </row>
    <row r="27" spans="1:19" ht="15" thickBot="1" x14ac:dyDescent="0.4">
      <c r="A27" s="246" t="s">
        <v>157</v>
      </c>
      <c r="B27" s="249">
        <f t="shared" ref="B27:S27" si="6">SUM(B23:B26)</f>
        <v>178</v>
      </c>
      <c r="C27" s="249">
        <f t="shared" si="6"/>
        <v>821</v>
      </c>
      <c r="D27" s="249">
        <f t="shared" si="6"/>
        <v>769</v>
      </c>
      <c r="E27" s="249">
        <f t="shared" si="6"/>
        <v>710</v>
      </c>
      <c r="F27" s="249">
        <f t="shared" si="6"/>
        <v>452</v>
      </c>
      <c r="G27" s="249">
        <f t="shared" si="6"/>
        <v>566</v>
      </c>
      <c r="H27" s="249">
        <f t="shared" si="6"/>
        <v>729</v>
      </c>
      <c r="I27" s="249">
        <f t="shared" si="6"/>
        <v>586</v>
      </c>
      <c r="J27" s="249">
        <f t="shared" si="6"/>
        <v>560</v>
      </c>
      <c r="K27" s="249">
        <f t="shared" si="6"/>
        <v>514</v>
      </c>
      <c r="L27" s="249">
        <f t="shared" si="6"/>
        <v>455</v>
      </c>
      <c r="M27" s="249">
        <f t="shared" si="6"/>
        <v>386</v>
      </c>
      <c r="N27" s="249">
        <f t="shared" si="6"/>
        <v>209.92</v>
      </c>
      <c r="O27" s="249">
        <f t="shared" si="6"/>
        <v>824</v>
      </c>
      <c r="P27" s="249">
        <f t="shared" si="6"/>
        <v>744</v>
      </c>
      <c r="Q27" s="249">
        <f t="shared" si="6"/>
        <v>757</v>
      </c>
      <c r="R27" s="249">
        <f t="shared" si="6"/>
        <v>563</v>
      </c>
      <c r="S27" s="250">
        <f t="shared" si="6"/>
        <v>624</v>
      </c>
    </row>
    <row r="28" spans="1:19" x14ac:dyDescent="0.35">
      <c r="A28" s="244"/>
      <c r="B28" s="224"/>
      <c r="C28" s="224"/>
      <c r="D28" s="224"/>
      <c r="E28" s="224"/>
      <c r="F28" s="224"/>
      <c r="G28" s="242"/>
      <c r="H28" s="242"/>
      <c r="I28" s="242"/>
      <c r="J28" s="242"/>
      <c r="K28" s="242"/>
      <c r="L28" s="242"/>
      <c r="M28" s="242"/>
      <c r="N28" s="242"/>
      <c r="O28" s="242"/>
      <c r="P28" s="242"/>
      <c r="Q28" s="242"/>
      <c r="R28" s="242"/>
      <c r="S28" s="243"/>
    </row>
    <row r="29" spans="1:19" x14ac:dyDescent="0.35">
      <c r="A29" s="251" t="s">
        <v>158</v>
      </c>
      <c r="B29" s="252">
        <f t="shared" ref="B29:S29" si="7">B14-B20-B27</f>
        <v>223.08333333333348</v>
      </c>
      <c r="C29" s="252">
        <f t="shared" si="7"/>
        <v>-262.33498863636351</v>
      </c>
      <c r="D29" s="252">
        <f t="shared" si="7"/>
        <v>256.8858446969698</v>
      </c>
      <c r="E29" s="252">
        <f t="shared" si="7"/>
        <v>-259.875</v>
      </c>
      <c r="F29" s="252">
        <f t="shared" si="7"/>
        <v>191.58333333333348</v>
      </c>
      <c r="G29" s="252">
        <f t="shared" si="7"/>
        <v>-137.41666666666652</v>
      </c>
      <c r="H29" s="252">
        <f t="shared" si="7"/>
        <v>143.30208333333348</v>
      </c>
      <c r="I29" s="252">
        <f t="shared" si="7"/>
        <v>-202.63499999999999</v>
      </c>
      <c r="J29" s="252">
        <f t="shared" si="7"/>
        <v>-84.474999999999909</v>
      </c>
      <c r="K29" s="252">
        <f t="shared" si="7"/>
        <v>862.94371969696977</v>
      </c>
      <c r="L29" s="252">
        <f t="shared" si="7"/>
        <v>-55.49791666666647</v>
      </c>
      <c r="M29" s="252">
        <f t="shared" si="7"/>
        <v>23.358333333333348</v>
      </c>
      <c r="N29" s="252">
        <f t="shared" si="7"/>
        <v>164.53333333333339</v>
      </c>
      <c r="O29" s="252">
        <f t="shared" si="7"/>
        <v>-281.47666666666669</v>
      </c>
      <c r="P29" s="252">
        <f t="shared" si="7"/>
        <v>-224.26666666666642</v>
      </c>
      <c r="Q29" s="252">
        <f t="shared" si="7"/>
        <v>128.45333333333338</v>
      </c>
      <c r="R29" s="252">
        <f t="shared" si="7"/>
        <v>-94.286666666666406</v>
      </c>
      <c r="S29" s="253">
        <f t="shared" si="7"/>
        <v>-196.03666666666641</v>
      </c>
    </row>
    <row r="30" spans="1:19" x14ac:dyDescent="0.35">
      <c r="A30" s="244"/>
      <c r="B30" s="224"/>
      <c r="C30" s="224"/>
      <c r="D30" s="224"/>
      <c r="E30" s="224"/>
      <c r="F30" s="224"/>
      <c r="G30" s="242"/>
      <c r="H30" s="242"/>
      <c r="I30" s="242"/>
      <c r="J30" s="242"/>
      <c r="K30" s="242"/>
      <c r="L30" s="242"/>
      <c r="M30" s="242"/>
      <c r="N30" s="242"/>
      <c r="O30" s="242"/>
      <c r="P30" s="242"/>
      <c r="Q30" s="242"/>
      <c r="R30" s="242"/>
      <c r="S30" s="243"/>
    </row>
    <row r="31" spans="1:19" x14ac:dyDescent="0.35">
      <c r="A31" s="240" t="s">
        <v>159</v>
      </c>
      <c r="B31" s="241"/>
      <c r="C31" s="241"/>
      <c r="D31" s="241"/>
      <c r="E31" s="241"/>
      <c r="F31" s="241"/>
      <c r="G31" s="242"/>
      <c r="H31" s="242"/>
      <c r="I31" s="242"/>
      <c r="J31" s="242"/>
      <c r="K31" s="242"/>
      <c r="L31" s="242"/>
      <c r="M31" s="242"/>
      <c r="N31" s="242"/>
      <c r="O31" s="242"/>
      <c r="P31" s="242"/>
      <c r="Q31" s="242"/>
      <c r="R31" s="242"/>
      <c r="S31" s="243"/>
    </row>
    <row r="32" spans="1:19" ht="15" thickBot="1" x14ac:dyDescent="0.4">
      <c r="A32" s="244" t="s">
        <v>160</v>
      </c>
      <c r="B32" s="224">
        <v>150</v>
      </c>
      <c r="C32" s="224">
        <v>85</v>
      </c>
      <c r="D32" s="224">
        <v>42</v>
      </c>
      <c r="E32" s="224">
        <v>37</v>
      </c>
      <c r="F32" s="224">
        <v>11</v>
      </c>
      <c r="G32" s="242">
        <v>25</v>
      </c>
      <c r="H32" s="242">
        <v>76</v>
      </c>
      <c r="I32" s="242">
        <v>120</v>
      </c>
      <c r="J32" s="242">
        <v>70</v>
      </c>
      <c r="K32" s="242">
        <v>35</v>
      </c>
      <c r="L32" s="242">
        <v>40</v>
      </c>
      <c r="M32" s="242">
        <v>0</v>
      </c>
      <c r="N32" s="242">
        <v>175</v>
      </c>
      <c r="O32" s="242">
        <v>100</v>
      </c>
      <c r="P32" s="242">
        <v>60</v>
      </c>
      <c r="Q32" s="242">
        <v>40</v>
      </c>
      <c r="R32" s="242">
        <v>0</v>
      </c>
      <c r="S32" s="243">
        <v>0</v>
      </c>
    </row>
    <row r="33" spans="1:19" ht="15" thickBot="1" x14ac:dyDescent="0.4">
      <c r="A33" s="246" t="s">
        <v>161</v>
      </c>
      <c r="B33" s="254">
        <f>-B32</f>
        <v>-150</v>
      </c>
      <c r="C33" s="254">
        <f t="shared" ref="C33:E33" si="8">-C32</f>
        <v>-85</v>
      </c>
      <c r="D33" s="254">
        <f t="shared" si="8"/>
        <v>-42</v>
      </c>
      <c r="E33" s="254">
        <f t="shared" si="8"/>
        <v>-37</v>
      </c>
      <c r="F33" s="254">
        <f>-F32</f>
        <v>-11</v>
      </c>
      <c r="G33" s="254">
        <f>-G32</f>
        <v>-25</v>
      </c>
      <c r="H33" s="254">
        <f t="shared" ref="H33:S33" si="9">-H32</f>
        <v>-76</v>
      </c>
      <c r="I33" s="254">
        <f t="shared" si="9"/>
        <v>-120</v>
      </c>
      <c r="J33" s="254">
        <f t="shared" si="9"/>
        <v>-70</v>
      </c>
      <c r="K33" s="254">
        <f t="shared" si="9"/>
        <v>-35</v>
      </c>
      <c r="L33" s="254">
        <f t="shared" si="9"/>
        <v>-40</v>
      </c>
      <c r="M33" s="255">
        <f t="shared" si="9"/>
        <v>0</v>
      </c>
      <c r="N33" s="254">
        <f t="shared" si="9"/>
        <v>-175</v>
      </c>
      <c r="O33" s="254">
        <f t="shared" si="9"/>
        <v>-100</v>
      </c>
      <c r="P33" s="254">
        <f t="shared" si="9"/>
        <v>-60</v>
      </c>
      <c r="Q33" s="254">
        <f t="shared" si="9"/>
        <v>-40</v>
      </c>
      <c r="R33" s="255">
        <f t="shared" si="9"/>
        <v>0</v>
      </c>
      <c r="S33" s="256">
        <f t="shared" si="9"/>
        <v>0</v>
      </c>
    </row>
    <row r="34" spans="1:19" x14ac:dyDescent="0.35">
      <c r="A34" s="244"/>
      <c r="B34" s="224"/>
      <c r="C34" s="224"/>
      <c r="D34" s="224"/>
      <c r="E34" s="224"/>
      <c r="F34" s="224"/>
      <c r="G34" s="242"/>
      <c r="H34" s="242"/>
      <c r="I34" s="242"/>
      <c r="J34" s="242"/>
      <c r="K34" s="242"/>
      <c r="L34" s="242"/>
      <c r="M34" s="242"/>
      <c r="N34" s="242"/>
      <c r="O34" s="242"/>
      <c r="P34" s="242"/>
      <c r="Q34" s="242"/>
      <c r="R34" s="242"/>
      <c r="S34" s="243"/>
    </row>
    <row r="35" spans="1:19" x14ac:dyDescent="0.35">
      <c r="A35" s="240" t="s">
        <v>162</v>
      </c>
      <c r="B35" s="241"/>
      <c r="C35" s="241"/>
      <c r="D35" s="241"/>
      <c r="E35" s="241"/>
      <c r="F35" s="241"/>
      <c r="G35" s="242"/>
      <c r="H35" s="242"/>
      <c r="I35" s="242"/>
      <c r="J35" s="242"/>
      <c r="K35" s="242"/>
      <c r="L35" s="242"/>
      <c r="M35" s="242"/>
      <c r="N35" s="242"/>
      <c r="O35" s="242"/>
      <c r="P35" s="242"/>
      <c r="Q35" s="242"/>
      <c r="R35" s="242"/>
      <c r="S35" s="243"/>
    </row>
    <row r="36" spans="1:19" x14ac:dyDescent="0.35">
      <c r="A36" s="244" t="s">
        <v>163</v>
      </c>
      <c r="B36" s="224">
        <v>2</v>
      </c>
      <c r="C36" s="242">
        <v>0</v>
      </c>
      <c r="D36" s="224">
        <v>3</v>
      </c>
      <c r="E36" s="242">
        <v>0</v>
      </c>
      <c r="F36" s="242">
        <v>0</v>
      </c>
      <c r="G36" s="242">
        <v>3</v>
      </c>
      <c r="H36" s="242">
        <v>0</v>
      </c>
      <c r="I36" s="242">
        <v>0</v>
      </c>
      <c r="J36" s="242">
        <v>3</v>
      </c>
      <c r="K36" s="242">
        <v>0</v>
      </c>
      <c r="L36" s="242">
        <v>0</v>
      </c>
      <c r="M36" s="242">
        <v>2</v>
      </c>
      <c r="N36" s="242">
        <v>0</v>
      </c>
      <c r="O36" s="242">
        <v>0</v>
      </c>
      <c r="P36" s="242">
        <v>2</v>
      </c>
      <c r="Q36" s="242">
        <v>0</v>
      </c>
      <c r="R36" s="242">
        <v>0</v>
      </c>
      <c r="S36" s="243">
        <v>2</v>
      </c>
    </row>
    <row r="37" spans="1:19" ht="15" thickBot="1" x14ac:dyDescent="0.4">
      <c r="A37" s="244" t="s">
        <v>164</v>
      </c>
      <c r="B37" s="242">
        <v>0</v>
      </c>
      <c r="C37" s="242">
        <v>0</v>
      </c>
      <c r="D37" s="224">
        <v>180</v>
      </c>
      <c r="E37" s="242">
        <v>0</v>
      </c>
      <c r="F37" s="242">
        <v>0</v>
      </c>
      <c r="G37" s="242">
        <v>180</v>
      </c>
      <c r="H37" s="242">
        <v>0</v>
      </c>
      <c r="I37" s="242">
        <v>0</v>
      </c>
      <c r="J37" s="242">
        <v>180</v>
      </c>
      <c r="K37" s="242">
        <v>0</v>
      </c>
      <c r="L37" s="242">
        <v>0</v>
      </c>
      <c r="M37" s="242">
        <v>180</v>
      </c>
      <c r="N37" s="242">
        <v>0</v>
      </c>
      <c r="O37" s="242">
        <v>0</v>
      </c>
      <c r="P37" s="242">
        <v>180</v>
      </c>
      <c r="Q37" s="242">
        <v>0</v>
      </c>
      <c r="R37" s="242">
        <v>0</v>
      </c>
      <c r="S37" s="243">
        <v>180</v>
      </c>
    </row>
    <row r="38" spans="1:19" ht="15" thickBot="1" x14ac:dyDescent="0.4">
      <c r="A38" s="246" t="s">
        <v>165</v>
      </c>
      <c r="B38" s="254">
        <f>B36-B37</f>
        <v>2</v>
      </c>
      <c r="C38" s="254">
        <f t="shared" ref="C38:F38" si="10">C36-C37</f>
        <v>0</v>
      </c>
      <c r="D38" s="254">
        <f t="shared" si="10"/>
        <v>-177</v>
      </c>
      <c r="E38" s="254">
        <f t="shared" si="10"/>
        <v>0</v>
      </c>
      <c r="F38" s="254">
        <f t="shared" si="10"/>
        <v>0</v>
      </c>
      <c r="G38" s="254">
        <f>G36-G37</f>
        <v>-177</v>
      </c>
      <c r="H38" s="255">
        <f t="shared" ref="H38:S38" si="11">H36-H37</f>
        <v>0</v>
      </c>
      <c r="I38" s="255">
        <f t="shared" si="11"/>
        <v>0</v>
      </c>
      <c r="J38" s="254">
        <f t="shared" si="11"/>
        <v>-177</v>
      </c>
      <c r="K38" s="255">
        <f t="shared" si="11"/>
        <v>0</v>
      </c>
      <c r="L38" s="255">
        <f t="shared" si="11"/>
        <v>0</v>
      </c>
      <c r="M38" s="254">
        <f t="shared" si="11"/>
        <v>-178</v>
      </c>
      <c r="N38" s="255">
        <f t="shared" si="11"/>
        <v>0</v>
      </c>
      <c r="O38" s="255">
        <f t="shared" si="11"/>
        <v>0</v>
      </c>
      <c r="P38" s="254">
        <f t="shared" si="11"/>
        <v>-178</v>
      </c>
      <c r="Q38" s="255">
        <f t="shared" si="11"/>
        <v>0</v>
      </c>
      <c r="R38" s="255">
        <f t="shared" si="11"/>
        <v>0</v>
      </c>
      <c r="S38" s="257">
        <f t="shared" si="11"/>
        <v>-178</v>
      </c>
    </row>
    <row r="39" spans="1:19" x14ac:dyDescent="0.35">
      <c r="A39" s="244"/>
      <c r="B39" s="224"/>
      <c r="C39" s="224"/>
      <c r="D39" s="224"/>
      <c r="E39" s="224"/>
      <c r="F39" s="224"/>
      <c r="G39" s="242"/>
      <c r="H39" s="242"/>
      <c r="I39" s="242"/>
      <c r="J39" s="242"/>
      <c r="K39" s="242"/>
      <c r="L39" s="242"/>
      <c r="M39" s="242"/>
      <c r="N39" s="242"/>
      <c r="O39" s="242"/>
      <c r="P39" s="242"/>
      <c r="Q39" s="242"/>
      <c r="R39" s="242"/>
      <c r="S39" s="243"/>
    </row>
    <row r="40" spans="1:19" ht="15" thickBot="1" x14ac:dyDescent="0.4">
      <c r="A40" s="244"/>
      <c r="B40" s="224"/>
      <c r="C40" s="224"/>
      <c r="D40" s="224"/>
      <c r="E40" s="224"/>
      <c r="F40" s="224"/>
      <c r="G40" s="242"/>
      <c r="H40" s="242"/>
      <c r="I40" s="242"/>
      <c r="J40" s="242"/>
      <c r="K40" s="242"/>
      <c r="L40" s="242"/>
      <c r="M40" s="242"/>
      <c r="N40" s="242"/>
      <c r="O40" s="242"/>
      <c r="P40" s="242"/>
      <c r="Q40" s="242"/>
      <c r="R40" s="242"/>
      <c r="S40" s="243"/>
    </row>
    <row r="41" spans="1:19" ht="15" thickBot="1" x14ac:dyDescent="0.4">
      <c r="A41" s="246" t="s">
        <v>166</v>
      </c>
      <c r="B41" s="254">
        <f>B29+B33+B38</f>
        <v>75.083333333333485</v>
      </c>
      <c r="C41" s="254">
        <f t="shared" ref="C41:F41" si="12">C29+C33+C38</f>
        <v>-347.33498863636351</v>
      </c>
      <c r="D41" s="254">
        <f t="shared" si="12"/>
        <v>37.885844696969798</v>
      </c>
      <c r="E41" s="254">
        <f t="shared" si="12"/>
        <v>-296.875</v>
      </c>
      <c r="F41" s="254">
        <f t="shared" si="12"/>
        <v>180.58333333333348</v>
      </c>
      <c r="G41" s="254">
        <f>G29+G33+G38</f>
        <v>-339.41666666666652</v>
      </c>
      <c r="H41" s="254">
        <f>H29+H33+H38</f>
        <v>67.302083333333485</v>
      </c>
      <c r="I41" s="254">
        <f t="shared" ref="I41:S41" si="13">I29+I33+I38</f>
        <v>-322.63499999999999</v>
      </c>
      <c r="J41" s="254">
        <f t="shared" si="13"/>
        <v>-331.47499999999991</v>
      </c>
      <c r="K41" s="254">
        <f t="shared" si="13"/>
        <v>827.94371969696977</v>
      </c>
      <c r="L41" s="254">
        <f t="shared" si="13"/>
        <v>-95.49791666666647</v>
      </c>
      <c r="M41" s="254">
        <f t="shared" si="13"/>
        <v>-154.64166666666665</v>
      </c>
      <c r="N41" s="254">
        <f t="shared" si="13"/>
        <v>-10.466666666666612</v>
      </c>
      <c r="O41" s="254">
        <f t="shared" si="13"/>
        <v>-381.47666666666669</v>
      </c>
      <c r="P41" s="254">
        <f t="shared" si="13"/>
        <v>-462.26666666666642</v>
      </c>
      <c r="Q41" s="254">
        <f t="shared" si="13"/>
        <v>88.453333333333376</v>
      </c>
      <c r="R41" s="254">
        <f t="shared" si="13"/>
        <v>-94.286666666666406</v>
      </c>
      <c r="S41" s="257">
        <f t="shared" si="13"/>
        <v>-374.03666666666641</v>
      </c>
    </row>
    <row r="42" spans="1:19" x14ac:dyDescent="0.35">
      <c r="A42" s="240" t="s">
        <v>167</v>
      </c>
      <c r="B42" s="252">
        <f>'Bal Sheet'!C19</f>
        <v>2780</v>
      </c>
      <c r="C42" s="252">
        <f t="shared" ref="C42:F42" si="14">B43</f>
        <v>2855.0833333333335</v>
      </c>
      <c r="D42" s="252">
        <f t="shared" si="14"/>
        <v>2507.74834469697</v>
      </c>
      <c r="E42" s="252">
        <f t="shared" si="14"/>
        <v>2545.6341893939398</v>
      </c>
      <c r="F42" s="252">
        <f t="shared" si="14"/>
        <v>2248.7591893939398</v>
      </c>
      <c r="G42" s="258">
        <f>F48</f>
        <v>2429.3425227272733</v>
      </c>
      <c r="H42" s="252">
        <f>G43</f>
        <v>2089.9258560606067</v>
      </c>
      <c r="I42" s="252">
        <f t="shared" ref="I42:R42" si="15">H43</f>
        <v>2157.2279393939402</v>
      </c>
      <c r="J42" s="252">
        <f t="shared" si="15"/>
        <v>1834.5929393939402</v>
      </c>
      <c r="K42" s="252">
        <f t="shared" si="15"/>
        <v>1503.1179393939403</v>
      </c>
      <c r="L42" s="252">
        <f t="shared" si="15"/>
        <v>2331.0616590909103</v>
      </c>
      <c r="M42" s="252">
        <f t="shared" si="15"/>
        <v>2235.5637424242441</v>
      </c>
      <c r="N42" s="252">
        <f t="shared" si="15"/>
        <v>2080.9220757575777</v>
      </c>
      <c r="O42" s="252">
        <f t="shared" si="15"/>
        <v>2070.455409090911</v>
      </c>
      <c r="P42" s="252">
        <f t="shared" si="15"/>
        <v>1688.9787424242443</v>
      </c>
      <c r="Q42" s="252">
        <f t="shared" si="15"/>
        <v>1226.7120757575778</v>
      </c>
      <c r="R42" s="252">
        <f t="shared" si="15"/>
        <v>1315.1654090909112</v>
      </c>
      <c r="S42" s="253">
        <f>Q43</f>
        <v>1315.1654090909112</v>
      </c>
    </row>
    <row r="43" spans="1:19" x14ac:dyDescent="0.35">
      <c r="A43" s="240" t="s">
        <v>168</v>
      </c>
      <c r="B43" s="252">
        <f t="shared" ref="B43:E43" si="16">B42+B41</f>
        <v>2855.0833333333335</v>
      </c>
      <c r="C43" s="252">
        <f t="shared" si="16"/>
        <v>2507.74834469697</v>
      </c>
      <c r="D43" s="252">
        <f t="shared" si="16"/>
        <v>2545.6341893939398</v>
      </c>
      <c r="E43" s="252">
        <f t="shared" si="16"/>
        <v>2248.7591893939398</v>
      </c>
      <c r="F43" s="252">
        <f t="shared" ref="F43" si="17">F42+F41</f>
        <v>2429.3425227272733</v>
      </c>
      <c r="G43" s="252">
        <f>G42+G41</f>
        <v>2089.9258560606067</v>
      </c>
      <c r="H43" s="252">
        <f t="shared" ref="H43:S43" si="18">H42+H41</f>
        <v>2157.2279393939402</v>
      </c>
      <c r="I43" s="252">
        <f t="shared" si="18"/>
        <v>1834.5929393939402</v>
      </c>
      <c r="J43" s="252">
        <f t="shared" si="18"/>
        <v>1503.1179393939403</v>
      </c>
      <c r="K43" s="252">
        <f t="shared" si="18"/>
        <v>2331.0616590909103</v>
      </c>
      <c r="L43" s="252">
        <f t="shared" si="18"/>
        <v>2235.5637424242441</v>
      </c>
      <c r="M43" s="252">
        <f t="shared" si="18"/>
        <v>2080.9220757575777</v>
      </c>
      <c r="N43" s="252">
        <f t="shared" si="18"/>
        <v>2070.455409090911</v>
      </c>
      <c r="O43" s="252">
        <f t="shared" si="18"/>
        <v>1688.9787424242443</v>
      </c>
      <c r="P43" s="252">
        <f t="shared" si="18"/>
        <v>1226.7120757575778</v>
      </c>
      <c r="Q43" s="252">
        <f t="shared" si="18"/>
        <v>1315.1654090909112</v>
      </c>
      <c r="R43" s="252">
        <f t="shared" ref="R43" si="19">R42+R41</f>
        <v>1220.8787424242448</v>
      </c>
      <c r="S43" s="253">
        <f t="shared" si="18"/>
        <v>941.12874242424482</v>
      </c>
    </row>
    <row r="44" spans="1:19" x14ac:dyDescent="0.35">
      <c r="A44" s="244"/>
      <c r="B44" s="224"/>
      <c r="C44" s="224"/>
      <c r="D44" s="224"/>
      <c r="E44" s="224"/>
      <c r="F44" s="224"/>
      <c r="G44" s="242"/>
      <c r="H44" s="242"/>
      <c r="I44" s="242"/>
      <c r="J44" s="242"/>
      <c r="K44" s="242"/>
      <c r="L44" s="242"/>
      <c r="M44" s="242"/>
      <c r="N44" s="242"/>
      <c r="O44" s="242"/>
      <c r="P44" s="242"/>
      <c r="Q44" s="242"/>
      <c r="R44" s="242"/>
      <c r="S44" s="243"/>
    </row>
    <row r="45" spans="1:19" x14ac:dyDescent="0.35">
      <c r="A45" s="240" t="s">
        <v>169</v>
      </c>
      <c r="B45" s="242">
        <f>(B43/('I&amp;E'!$G$40+'I&amp;E'!$G$54))*365</f>
        <v>52.066221167457741</v>
      </c>
      <c r="C45" s="242">
        <f>(C43/('I&amp;E'!$G$40+'I&amp;E'!$G$54))*365</f>
        <v>45.732108209562533</v>
      </c>
      <c r="D45" s="242">
        <f>(D43/('I&amp;E'!$G$40+'I&amp;E'!$G$54))*365</f>
        <v>46.423006701413343</v>
      </c>
      <c r="E45" s="242">
        <f>(E43/('I&amp;E'!$G$40+'I&amp;E'!$G$54))*365</f>
        <v>41.009098382652411</v>
      </c>
      <c r="F45" s="242">
        <f>(F43/('I&amp;E'!$G$40+'I&amp;E'!$G$54))*365</f>
        <v>44.302274334022222</v>
      </c>
      <c r="G45" s="242">
        <f>(G43/('I&amp;E'!$G$40+'I&amp;E'!$G$54))*365</f>
        <v>38.112562451267621</v>
      </c>
      <c r="H45" s="242">
        <f>(H43/('I&amp;E'!$G$54+'I&amp;E'!$G$40))*365</f>
        <v>39.339904965215503</v>
      </c>
      <c r="I45" s="242">
        <f>(I43/('I&amp;E'!$G$54+'I&amp;E'!$G$40))*365</f>
        <v>33.456228972210248</v>
      </c>
      <c r="J45" s="242">
        <f>(J43/('I&amp;E'!$G$54+'I&amp;E'!$G$40))*365</f>
        <v>27.411343886024891</v>
      </c>
      <c r="K45" s="242">
        <f>(K43/('I&amp;E'!$G$54+'I&amp;E'!$G$40))*365</f>
        <v>42.509992783821247</v>
      </c>
      <c r="L45" s="242">
        <f>(L43/('I&amp;E'!$G$54+'I&amp;E'!$G$40))*365</f>
        <v>40.768461952777869</v>
      </c>
      <c r="M45" s="242">
        <f>(M43/('I&amp;E'!$G$54+'I&amp;E'!$G$40))*365</f>
        <v>37.948366607620081</v>
      </c>
      <c r="N45" s="242">
        <f>(N43/('I&amp;E'!$G$54+'I&amp;E'!$G$40))*365</f>
        <v>37.75749309608706</v>
      </c>
      <c r="O45" s="242">
        <f>(O43/('I&amp;E'!$G$54+'I&amp;E'!$G$40))*365</f>
        <v>30.800761478133861</v>
      </c>
      <c r="P45" s="242">
        <f>(P43/('I&amp;E'!$G$54+'I&amp;E'!$G$40))*365</f>
        <v>22.370717344567371</v>
      </c>
      <c r="Q45" s="242">
        <f>(Q43/('I&amp;E'!$G$54+'I&amp;E'!$G$40))*365</f>
        <v>23.983780880248943</v>
      </c>
      <c r="R45" s="242">
        <f>(R43/('I&amp;E'!$G$54+'I&amp;E'!$G$40))*365</f>
        <v>22.264338795146109</v>
      </c>
      <c r="S45" s="243">
        <f>(S43/('I&amp;E'!$G$54+'I&amp;E'!$G$40))*365</f>
        <v>17.162727503614757</v>
      </c>
    </row>
    <row r="46" spans="1:19" x14ac:dyDescent="0.35">
      <c r="A46" s="244"/>
      <c r="B46" s="224"/>
      <c r="C46" s="224"/>
      <c r="D46" s="224"/>
      <c r="E46" s="224"/>
      <c r="F46" s="224"/>
      <c r="G46" s="242"/>
      <c r="H46" s="242"/>
      <c r="I46" s="242"/>
      <c r="J46" s="242"/>
      <c r="K46" s="242"/>
      <c r="L46" s="242"/>
      <c r="M46" s="242"/>
      <c r="N46" s="242"/>
      <c r="O46" s="242"/>
      <c r="P46" s="242"/>
      <c r="Q46" s="242"/>
      <c r="R46" s="242"/>
      <c r="S46" s="243"/>
    </row>
    <row r="47" spans="1:19" x14ac:dyDescent="0.35">
      <c r="A47" s="244" t="s">
        <v>170</v>
      </c>
      <c r="B47" s="28">
        <v>2895</v>
      </c>
      <c r="C47" s="28">
        <f>B47-150</f>
        <v>2745</v>
      </c>
      <c r="D47" s="28">
        <f>C47-150</f>
        <v>2595</v>
      </c>
      <c r="E47" s="28">
        <f>D47-150</f>
        <v>2445</v>
      </c>
      <c r="F47" s="28">
        <f>E47-100</f>
        <v>2345</v>
      </c>
      <c r="G47" s="28">
        <f>F47-400</f>
        <v>1945</v>
      </c>
      <c r="H47" s="28">
        <f>G47+40</f>
        <v>1985</v>
      </c>
      <c r="I47" s="28">
        <f>H47-200</f>
        <v>1785</v>
      </c>
      <c r="J47" s="28">
        <f>I47-350</f>
        <v>1435</v>
      </c>
      <c r="K47" s="28">
        <f>J47+850</f>
        <v>2285</v>
      </c>
      <c r="L47" s="28">
        <f>K47</f>
        <v>2285</v>
      </c>
      <c r="M47" s="28">
        <v>2281</v>
      </c>
      <c r="N47" s="28">
        <f>N43</f>
        <v>2070.455409090911</v>
      </c>
      <c r="O47" s="28">
        <f t="shared" ref="O47:S47" si="20">O43</f>
        <v>1688.9787424242443</v>
      </c>
      <c r="P47" s="28">
        <f t="shared" si="20"/>
        <v>1226.7120757575778</v>
      </c>
      <c r="Q47" s="28">
        <f t="shared" si="20"/>
        <v>1315.1654090909112</v>
      </c>
      <c r="R47" s="28">
        <f t="shared" si="20"/>
        <v>1220.8787424242448</v>
      </c>
      <c r="S47" s="259">
        <f t="shared" si="20"/>
        <v>941.12874242424482</v>
      </c>
    </row>
    <row r="48" spans="1:19" ht="15" thickBot="1" x14ac:dyDescent="0.4">
      <c r="A48" s="260" t="s">
        <v>171</v>
      </c>
      <c r="B48" s="261">
        <f>B43</f>
        <v>2855.0833333333335</v>
      </c>
      <c r="C48" s="261">
        <f t="shared" ref="C48:M48" si="21">C43</f>
        <v>2507.74834469697</v>
      </c>
      <c r="D48" s="261">
        <f t="shared" si="21"/>
        <v>2545.6341893939398</v>
      </c>
      <c r="E48" s="261">
        <f t="shared" si="21"/>
        <v>2248.7591893939398</v>
      </c>
      <c r="F48" s="261">
        <f t="shared" si="21"/>
        <v>2429.3425227272733</v>
      </c>
      <c r="G48" s="261">
        <f t="shared" si="21"/>
        <v>2089.9258560606067</v>
      </c>
      <c r="H48" s="261">
        <f t="shared" si="21"/>
        <v>2157.2279393939402</v>
      </c>
      <c r="I48" s="261">
        <f t="shared" si="21"/>
        <v>1834.5929393939402</v>
      </c>
      <c r="J48" s="261">
        <f t="shared" si="21"/>
        <v>1503.1179393939403</v>
      </c>
      <c r="K48" s="261">
        <f t="shared" si="21"/>
        <v>2331.0616590909103</v>
      </c>
      <c r="L48" s="261">
        <f t="shared" si="21"/>
        <v>2235.5637424242441</v>
      </c>
      <c r="M48" s="261">
        <f t="shared" si="21"/>
        <v>2080.9220757575777</v>
      </c>
      <c r="N48" s="262"/>
      <c r="O48" s="262"/>
      <c r="P48" s="262"/>
      <c r="Q48" s="262"/>
      <c r="R48" s="262"/>
      <c r="S48" s="263"/>
    </row>
  </sheetData>
  <protectedRanges>
    <protectedRange sqref="G8:M8" name="Operating Receipts_1"/>
    <protectedRange sqref="G10:M10" name="Operating Receipts_2"/>
    <protectedRange sqref="G11:M11" name="Operating Receipts_3"/>
    <protectedRange sqref="G12:M12" name="Operating Receipts_5"/>
    <protectedRange sqref="G13:M13" name="Operating Receipts_6"/>
    <protectedRange sqref="G23:M23" name="Financing Receipts_1"/>
    <protectedRange sqref="N11:R11" name="Operating Receipts_7"/>
    <protectedRange sqref="N12:S12" name="Operating Receipts_8"/>
    <protectedRange sqref="N23:S23" name="Financing Receipts"/>
    <protectedRange sqref="B8:F8 B6:M6 B7:S7" name="Operating Receipts_9"/>
    <protectedRange sqref="B11:F11" name="Operating Receipts_10"/>
    <protectedRange sqref="B12:F12" name="Operating Receipts_11"/>
    <protectedRange sqref="C13:F13" name="Operating Receipts_12"/>
  </protectedRanges>
  <mergeCells count="1">
    <mergeCell ref="G1:S1"/>
  </mergeCells>
  <phoneticPr fontId="19" type="noConversion"/>
  <dataValidations count="1">
    <dataValidation type="decimal" operator="greaterThanOrEqual" allowBlank="1" showInputMessage="1" showErrorMessage="1" sqref="C13:F13 B8:M8 G10:L13 G23:S23 C6:M6 N11:R11 N12:S12 B11:F12 B6:B7 C7:S7" xr:uid="{88110630-0CB0-40A7-B4FD-61401227F38E}">
      <formula1>0</formula1>
    </dataValidation>
  </dataValidations>
  <pageMargins left="0.13" right="0.13" top="0.27" bottom="0.19" header="0.3" footer="0.3"/>
  <pageSetup paperSize="9" scale="77" fitToHeight="0" orientation="landscape"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718F9-8025-4F7A-9330-ACD9BF01E95C}">
  <sheetPr>
    <pageSetUpPr fitToPage="1"/>
  </sheetPr>
  <dimension ref="A1:P47"/>
  <sheetViews>
    <sheetView showGridLines="0" workbookViewId="0">
      <selection activeCell="Q8" sqref="Q8"/>
    </sheetView>
  </sheetViews>
  <sheetFormatPr defaultRowHeight="14.5" x14ac:dyDescent="0.35"/>
  <sheetData>
    <row r="1" spans="1:16" ht="21" customHeight="1" x14ac:dyDescent="0.35">
      <c r="A1" s="848" t="s">
        <v>489</v>
      </c>
      <c r="B1" s="849"/>
      <c r="C1" s="849"/>
      <c r="D1" s="849"/>
      <c r="E1" s="849"/>
      <c r="F1" s="849"/>
      <c r="G1" s="849"/>
      <c r="H1" s="849"/>
      <c r="I1" s="849"/>
      <c r="J1" s="849"/>
      <c r="K1" s="849"/>
      <c r="L1" s="849"/>
      <c r="M1" s="849"/>
      <c r="N1" s="849"/>
      <c r="O1" s="849"/>
      <c r="P1" s="850"/>
    </row>
    <row r="2" spans="1:16" ht="15" thickBot="1" x14ac:dyDescent="0.4">
      <c r="A2" s="851"/>
      <c r="B2" s="852"/>
      <c r="C2" s="852"/>
      <c r="D2" s="852"/>
      <c r="E2" s="852"/>
      <c r="F2" s="852"/>
      <c r="G2" s="852"/>
      <c r="H2" s="852"/>
      <c r="I2" s="852"/>
      <c r="J2" s="852"/>
      <c r="K2" s="852"/>
      <c r="L2" s="852"/>
      <c r="M2" s="852"/>
      <c r="N2" s="852"/>
      <c r="O2" s="852"/>
      <c r="P2" s="853"/>
    </row>
    <row r="3" spans="1:16" x14ac:dyDescent="0.35">
      <c r="A3" s="662"/>
      <c r="P3" s="791"/>
    </row>
    <row r="4" spans="1:16" x14ac:dyDescent="0.35">
      <c r="A4" s="662"/>
      <c r="P4" s="791"/>
    </row>
    <row r="5" spans="1:16" x14ac:dyDescent="0.35">
      <c r="A5" s="662"/>
      <c r="P5" s="791"/>
    </row>
    <row r="6" spans="1:16" x14ac:dyDescent="0.35">
      <c r="A6" s="662"/>
      <c r="P6" s="791"/>
    </row>
    <row r="7" spans="1:16" x14ac:dyDescent="0.35">
      <c r="A7" s="662"/>
      <c r="P7" s="791"/>
    </row>
    <row r="8" spans="1:16" x14ac:dyDescent="0.35">
      <c r="A8" s="662"/>
      <c r="P8" s="791"/>
    </row>
    <row r="9" spans="1:16" x14ac:dyDescent="0.35">
      <c r="A9" s="662"/>
      <c r="P9" s="791"/>
    </row>
    <row r="10" spans="1:16" x14ac:dyDescent="0.35">
      <c r="A10" s="662"/>
      <c r="P10" s="791"/>
    </row>
    <row r="11" spans="1:16" x14ac:dyDescent="0.35">
      <c r="A11" s="662"/>
      <c r="P11" s="791"/>
    </row>
    <row r="12" spans="1:16" x14ac:dyDescent="0.35">
      <c r="A12" s="662"/>
      <c r="P12" s="791"/>
    </row>
    <row r="13" spans="1:16" x14ac:dyDescent="0.35">
      <c r="A13" s="662"/>
      <c r="P13" s="791"/>
    </row>
    <row r="14" spans="1:16" x14ac:dyDescent="0.35">
      <c r="A14" s="662"/>
      <c r="P14" s="791"/>
    </row>
    <row r="15" spans="1:16" x14ac:dyDescent="0.35">
      <c r="A15" s="662"/>
      <c r="P15" s="791"/>
    </row>
    <row r="16" spans="1:16" x14ac:dyDescent="0.35">
      <c r="A16" s="662"/>
      <c r="P16" s="791"/>
    </row>
    <row r="17" spans="1:16" x14ac:dyDescent="0.35">
      <c r="A17" s="662"/>
      <c r="P17" s="791"/>
    </row>
    <row r="18" spans="1:16" x14ac:dyDescent="0.35">
      <c r="A18" s="662"/>
      <c r="P18" s="791"/>
    </row>
    <row r="19" spans="1:16" x14ac:dyDescent="0.35">
      <c r="A19" s="662"/>
      <c r="P19" s="791"/>
    </row>
    <row r="20" spans="1:16" x14ac:dyDescent="0.35">
      <c r="A20" s="662"/>
      <c r="P20" s="791"/>
    </row>
    <row r="21" spans="1:16" x14ac:dyDescent="0.35">
      <c r="A21" s="662"/>
      <c r="P21" s="791"/>
    </row>
    <row r="22" spans="1:16" x14ac:dyDescent="0.35">
      <c r="A22" s="662"/>
      <c r="P22" s="791"/>
    </row>
    <row r="23" spans="1:16" x14ac:dyDescent="0.35">
      <c r="A23" s="662"/>
      <c r="P23" s="791"/>
    </row>
    <row r="24" spans="1:16" x14ac:dyDescent="0.35">
      <c r="A24" s="662"/>
      <c r="P24" s="791"/>
    </row>
    <row r="25" spans="1:16" x14ac:dyDescent="0.35">
      <c r="A25" s="662"/>
      <c r="P25" s="791"/>
    </row>
    <row r="26" spans="1:16" x14ac:dyDescent="0.35">
      <c r="A26" s="662"/>
      <c r="P26" s="791"/>
    </row>
    <row r="27" spans="1:16" x14ac:dyDescent="0.35">
      <c r="A27" s="662"/>
      <c r="P27" s="791"/>
    </row>
    <row r="28" spans="1:16" ht="15" thickBot="1" x14ac:dyDescent="0.4">
      <c r="A28" s="659"/>
      <c r="B28" s="660"/>
      <c r="C28" s="660"/>
      <c r="D28" s="660"/>
      <c r="E28" s="660"/>
      <c r="F28" s="660"/>
      <c r="G28" s="660"/>
      <c r="H28" s="660"/>
      <c r="I28" s="660"/>
      <c r="J28" s="660"/>
      <c r="K28" s="660"/>
      <c r="L28" s="660"/>
      <c r="M28" s="660"/>
      <c r="N28" s="660"/>
      <c r="O28" s="660"/>
      <c r="P28" s="661"/>
    </row>
    <row r="36" spans="1:16" ht="15" thickBot="1" x14ac:dyDescent="0.4"/>
    <row r="37" spans="1:16" x14ac:dyDescent="0.35">
      <c r="A37" s="792"/>
      <c r="B37" s="793"/>
      <c r="C37" s="793"/>
      <c r="D37" s="793"/>
      <c r="E37" s="793"/>
      <c r="F37" s="793"/>
      <c r="G37" s="793"/>
      <c r="H37" s="793"/>
      <c r="I37" s="793"/>
      <c r="J37" s="793"/>
      <c r="K37" s="793"/>
      <c r="L37" s="793"/>
      <c r="M37" s="793"/>
      <c r="N37" s="793"/>
      <c r="O37" s="793"/>
      <c r="P37" s="794"/>
    </row>
    <row r="38" spans="1:16" x14ac:dyDescent="0.35">
      <c r="A38" s="662"/>
      <c r="P38" s="791"/>
    </row>
    <row r="39" spans="1:16" x14ac:dyDescent="0.35">
      <c r="A39" s="662"/>
      <c r="P39" s="791"/>
    </row>
    <row r="40" spans="1:16" x14ac:dyDescent="0.35">
      <c r="A40" s="662"/>
      <c r="P40" s="791"/>
    </row>
    <row r="41" spans="1:16" x14ac:dyDescent="0.35">
      <c r="A41" s="662"/>
      <c r="P41" s="791"/>
    </row>
    <row r="42" spans="1:16" x14ac:dyDescent="0.35">
      <c r="A42" s="662"/>
      <c r="P42" s="791"/>
    </row>
    <row r="43" spans="1:16" x14ac:dyDescent="0.35">
      <c r="A43" s="662"/>
      <c r="P43" s="791"/>
    </row>
    <row r="44" spans="1:16" x14ac:dyDescent="0.35">
      <c r="A44" s="662"/>
      <c r="P44" s="791"/>
    </row>
    <row r="45" spans="1:16" x14ac:dyDescent="0.35">
      <c r="A45" s="662"/>
      <c r="P45" s="791"/>
    </row>
    <row r="46" spans="1:16" x14ac:dyDescent="0.35">
      <c r="A46" s="662"/>
      <c r="P46" s="791"/>
    </row>
    <row r="47" spans="1:16" ht="15" thickBot="1" x14ac:dyDescent="0.4">
      <c r="A47" s="659"/>
      <c r="B47" s="660"/>
      <c r="C47" s="660"/>
      <c r="D47" s="660"/>
      <c r="E47" s="660"/>
      <c r="F47" s="660"/>
      <c r="G47" s="660"/>
      <c r="H47" s="660"/>
      <c r="I47" s="660"/>
      <c r="J47" s="660"/>
      <c r="K47" s="660"/>
      <c r="L47" s="660"/>
      <c r="M47" s="660"/>
      <c r="N47" s="660"/>
      <c r="O47" s="660"/>
      <c r="P47" s="661"/>
    </row>
  </sheetData>
  <mergeCells count="1">
    <mergeCell ref="A1:P2"/>
  </mergeCells>
  <pageMargins left="0.7" right="0.7" top="0.75" bottom="0.75" header="0.3" footer="0.3"/>
  <pageSetup paperSize="9" scale="76" orientation="landscape" horizontalDpi="4294967293" verticalDpi="4294967293"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CCC3C-67B6-435C-A4F2-65CFA9FF85DD}">
  <sheetPr codeName="Sheet15">
    <pageSetUpPr fitToPage="1"/>
  </sheetPr>
  <dimension ref="A1:U13"/>
  <sheetViews>
    <sheetView topLeftCell="A3" workbookViewId="0">
      <selection activeCell="D11" sqref="D11"/>
    </sheetView>
  </sheetViews>
  <sheetFormatPr defaultRowHeight="14.5" x14ac:dyDescent="0.35"/>
  <cols>
    <col min="1" max="1" width="42" customWidth="1"/>
    <col min="2" max="2" width="15.26953125" customWidth="1"/>
    <col min="3" max="3" width="18.81640625" customWidth="1"/>
    <col min="4" max="4" width="17.54296875" customWidth="1"/>
    <col min="5" max="5" width="21.453125" customWidth="1"/>
    <col min="6" max="6" width="13.81640625" customWidth="1"/>
    <col min="7" max="7" width="20.453125" customWidth="1"/>
    <col min="15" max="15" width="21.81640625" style="691" bestFit="1" customWidth="1"/>
  </cols>
  <sheetData>
    <row r="1" spans="1:21" ht="21" customHeight="1" x14ac:dyDescent="0.35">
      <c r="A1" s="848" t="s">
        <v>396</v>
      </c>
      <c r="B1" s="849"/>
      <c r="C1" s="849"/>
      <c r="D1" s="849"/>
      <c r="E1" s="849"/>
      <c r="F1" s="849"/>
      <c r="G1" s="850"/>
    </row>
    <row r="2" spans="1:21" ht="15" thickBot="1" x14ac:dyDescent="0.4">
      <c r="A2" s="851"/>
      <c r="B2" s="852"/>
      <c r="C2" s="852"/>
      <c r="D2" s="852"/>
      <c r="E2" s="852"/>
      <c r="F2" s="852"/>
      <c r="G2" s="853"/>
    </row>
    <row r="3" spans="1:21" ht="52.9" customHeight="1" thickBot="1" x14ac:dyDescent="0.4">
      <c r="A3" s="563" t="s">
        <v>397</v>
      </c>
      <c r="B3" s="563" t="s">
        <v>398</v>
      </c>
      <c r="C3" s="563" t="s">
        <v>294</v>
      </c>
      <c r="D3" s="563" t="s">
        <v>399</v>
      </c>
      <c r="E3" s="563" t="s">
        <v>6</v>
      </c>
      <c r="F3" s="563" t="s">
        <v>295</v>
      </c>
      <c r="G3" s="563" t="s">
        <v>80</v>
      </c>
    </row>
    <row r="4" spans="1:21" s="500" customFormat="1" ht="40" customHeight="1" thickBot="1" x14ac:dyDescent="0.4">
      <c r="A4" s="692" t="s">
        <v>400</v>
      </c>
      <c r="B4" s="693">
        <f>'I&amp;E'!C63/'I&amp;E'!C27</f>
        <v>-5.6666995170986501E-2</v>
      </c>
      <c r="C4" s="693">
        <f>'I&amp;E'!G63/'I&amp;E'!G27</f>
        <v>-1.2675374939525882E-2</v>
      </c>
      <c r="D4" s="693">
        <f>'I&amp;E'!H63/'I&amp;E'!H27</f>
        <v>-9.5120327213925619E-4</v>
      </c>
      <c r="E4" s="693">
        <f>C4-D4</f>
        <v>-1.1724171667386625E-2</v>
      </c>
      <c r="F4" s="694" t="s">
        <v>325</v>
      </c>
      <c r="G4" s="694" t="s">
        <v>401</v>
      </c>
      <c r="O4" s="695"/>
      <c r="P4" s="695"/>
      <c r="Q4" s="695"/>
      <c r="R4" s="695"/>
      <c r="S4" s="695"/>
      <c r="T4" s="695"/>
      <c r="U4" s="695"/>
    </row>
    <row r="5" spans="1:21" s="500" customFormat="1" ht="40" customHeight="1" thickBot="1" x14ac:dyDescent="0.4">
      <c r="A5" s="692" t="s">
        <v>402</v>
      </c>
      <c r="B5" s="696">
        <f>Cash!G45</f>
        <v>38.112562451267621</v>
      </c>
      <c r="C5" s="696">
        <f>'Bal Sheet'!G19/('I&amp;E'!G54+'I&amp;E'!G40)*365</f>
        <v>37.968023982013491</v>
      </c>
      <c r="D5" s="696">
        <f>'Bal Sheet'!F19/('I&amp;E'!H54+'I&amp;E'!H40)*365</f>
        <v>41.377913622583371</v>
      </c>
      <c r="E5" s="696">
        <f>C5-D5</f>
        <v>-3.4098896405698795</v>
      </c>
      <c r="F5" s="694" t="s">
        <v>324</v>
      </c>
      <c r="G5" s="697"/>
      <c r="O5" s="695"/>
      <c r="P5" s="695"/>
      <c r="Q5" s="695"/>
      <c r="R5" s="695"/>
      <c r="S5" s="695"/>
      <c r="T5" s="695"/>
      <c r="U5" s="695"/>
    </row>
    <row r="6" spans="1:21" s="500" customFormat="1" ht="40" customHeight="1" thickBot="1" x14ac:dyDescent="0.4">
      <c r="A6" s="692" t="s">
        <v>403</v>
      </c>
      <c r="B6" s="548">
        <f>'I&amp;E'!C40/('I&amp;E'!C27-'I&amp;E'!C28)</f>
        <v>0.69720759216933315</v>
      </c>
      <c r="C6" s="548">
        <f>'I&amp;E'!G40/('I&amp;E'!G27-'I&amp;E'!G28)</f>
        <v>0.682179675994109</v>
      </c>
      <c r="D6" s="548">
        <f>'I&amp;E'!H40/('I&amp;E'!H27-'I&amp;E'!H28)</f>
        <v>0.67116902882145912</v>
      </c>
      <c r="E6" s="693">
        <f>D6-C6</f>
        <v>-1.1010647172649879E-2</v>
      </c>
      <c r="F6" s="694" t="s">
        <v>404</v>
      </c>
      <c r="G6" s="694" t="s">
        <v>405</v>
      </c>
      <c r="O6" s="695"/>
      <c r="P6" s="695"/>
      <c r="Q6" s="695"/>
      <c r="R6" s="695"/>
      <c r="S6" s="695"/>
      <c r="T6" s="695"/>
      <c r="U6" s="695"/>
    </row>
    <row r="7" spans="1:21" s="500" customFormat="1" ht="40" customHeight="1" thickBot="1" x14ac:dyDescent="0.4">
      <c r="A7" s="692" t="s">
        <v>406</v>
      </c>
      <c r="B7" s="698">
        <f>'I&amp;E'!C56</f>
        <v>-37</v>
      </c>
      <c r="C7" s="698">
        <f>'I&amp;E'!G56</f>
        <v>655</v>
      </c>
      <c r="D7" s="698">
        <f>'I&amp;E'!H56</f>
        <v>905</v>
      </c>
      <c r="E7" s="696">
        <f>C7-D7</f>
        <v>-250</v>
      </c>
      <c r="F7" s="694" t="s">
        <v>325</v>
      </c>
      <c r="G7" s="694" t="s">
        <v>401</v>
      </c>
      <c r="O7" s="695"/>
      <c r="P7" s="695"/>
      <c r="Q7" s="695"/>
      <c r="R7" s="695"/>
      <c r="S7" s="695"/>
      <c r="T7" s="695"/>
      <c r="U7" s="695"/>
    </row>
    <row r="8" spans="1:21" s="500" customFormat="1" ht="40" customHeight="1" thickBot="1" x14ac:dyDescent="0.4">
      <c r="A8" s="692" t="s">
        <v>407</v>
      </c>
      <c r="B8" s="696">
        <f>'Bal Sheet'!D19</f>
        <v>2090</v>
      </c>
      <c r="C8" s="696">
        <f>'Bal Sheet'!G19</f>
        <v>2082</v>
      </c>
      <c r="D8" s="696">
        <f>'Bal Sheet'!F19</f>
        <v>2281</v>
      </c>
      <c r="E8" s="696">
        <f>C8-D8</f>
        <v>-199</v>
      </c>
      <c r="F8" s="694" t="s">
        <v>325</v>
      </c>
      <c r="G8" s="694" t="s">
        <v>405</v>
      </c>
      <c r="O8" s="695"/>
      <c r="P8" s="695"/>
      <c r="Q8" s="695"/>
      <c r="R8" s="695"/>
      <c r="S8" s="695"/>
      <c r="T8" s="695"/>
      <c r="U8" s="695"/>
    </row>
    <row r="9" spans="1:21" s="500" customFormat="1" ht="40" customHeight="1" thickBot="1" x14ac:dyDescent="0.4">
      <c r="A9" s="692" t="s">
        <v>408</v>
      </c>
      <c r="B9" s="696">
        <f>'Bal Sheet'!C16/'I&amp;E'!G27*365</f>
        <v>14.762457668118046</v>
      </c>
      <c r="C9" s="696">
        <f>'Bal Sheet'!G16/'I&amp;E'!G27*365</f>
        <v>13.243831640058055</v>
      </c>
      <c r="D9" s="696">
        <f>'Bal Sheet'!F16/'I&amp;E'!H27*365</f>
        <v>13.88756777323314</v>
      </c>
      <c r="E9" s="696">
        <f>D9-C9</f>
        <v>0.64373613317508571</v>
      </c>
      <c r="F9" s="694" t="s">
        <v>404</v>
      </c>
      <c r="G9" s="694" t="s">
        <v>405</v>
      </c>
      <c r="O9" s="695"/>
      <c r="P9" s="695"/>
      <c r="Q9" s="695"/>
      <c r="R9" s="695"/>
      <c r="S9" s="695"/>
      <c r="T9" s="695"/>
      <c r="U9" s="695"/>
    </row>
    <row r="10" spans="1:21" s="500" customFormat="1" ht="40" customHeight="1" thickBot="1" x14ac:dyDescent="0.4">
      <c r="A10" s="692" t="s">
        <v>409</v>
      </c>
      <c r="B10" s="696">
        <f>'Bal Sheet'!C24/'I&amp;E'!G54*365</f>
        <v>6.0843275044941993</v>
      </c>
      <c r="C10" s="696">
        <f>'Bal Sheet'!G24/'I&amp;E'!G54*365</f>
        <v>6.0843275044941993</v>
      </c>
      <c r="D10" s="696">
        <f>'Bal Sheet'!F24/'I&amp;E'!H54*365</f>
        <v>6.1957064403394915</v>
      </c>
      <c r="E10" s="699" t="s">
        <v>410</v>
      </c>
      <c r="F10" s="694" t="s">
        <v>404</v>
      </c>
      <c r="G10" s="694" t="s">
        <v>405</v>
      </c>
      <c r="O10" s="695"/>
      <c r="P10" s="695"/>
      <c r="Q10" s="695"/>
      <c r="R10" s="695"/>
      <c r="S10" s="695"/>
      <c r="T10" s="695"/>
      <c r="U10" s="695"/>
    </row>
    <row r="11" spans="1:21" s="500" customFormat="1" ht="40" customHeight="1" thickBot="1" x14ac:dyDescent="0.4">
      <c r="A11" s="692" t="s">
        <v>411</v>
      </c>
      <c r="B11" s="696">
        <f>'Staff numbers'!H24</f>
        <v>316.79999999999995</v>
      </c>
      <c r="C11" s="700"/>
      <c r="D11" s="696">
        <f>'Staff numbers'!B24</f>
        <v>325.76800000000003</v>
      </c>
      <c r="E11" s="696">
        <f>D11-B11</f>
        <v>8.9680000000000746</v>
      </c>
      <c r="F11" s="694" t="s">
        <v>404</v>
      </c>
      <c r="G11" s="694" t="s">
        <v>405</v>
      </c>
      <c r="O11" s="695"/>
      <c r="P11" s="695"/>
      <c r="Q11" s="695"/>
      <c r="R11" s="695"/>
      <c r="S11" s="695"/>
      <c r="T11" s="695"/>
      <c r="U11" s="695"/>
    </row>
    <row r="12" spans="1:21" s="500" customFormat="1" ht="40" customHeight="1" thickBot="1" x14ac:dyDescent="0.4">
      <c r="A12" s="692" t="s">
        <v>412</v>
      </c>
      <c r="B12" s="701">
        <v>0.94299999999999995</v>
      </c>
      <c r="C12" s="701">
        <v>0.95</v>
      </c>
      <c r="D12" s="701">
        <v>0.95</v>
      </c>
      <c r="E12" s="693">
        <f>B12-D12</f>
        <v>-7.0000000000000062E-3</v>
      </c>
      <c r="F12" s="694" t="s">
        <v>404</v>
      </c>
      <c r="G12" s="694" t="s">
        <v>405</v>
      </c>
      <c r="O12" s="695"/>
      <c r="P12" s="695"/>
      <c r="Q12" s="695"/>
      <c r="R12" s="695"/>
      <c r="S12" s="695"/>
      <c r="T12" s="695"/>
      <c r="U12" s="695"/>
    </row>
    <row r="13" spans="1:21" s="500" customFormat="1" ht="40" customHeight="1" thickBot="1" x14ac:dyDescent="0.4">
      <c r="A13" s="692" t="s">
        <v>413</v>
      </c>
      <c r="B13" s="551">
        <v>12.7</v>
      </c>
      <c r="C13" s="551">
        <v>12.5</v>
      </c>
      <c r="D13" s="551">
        <v>15</v>
      </c>
      <c r="E13" s="702">
        <f>B13-D13</f>
        <v>-2.3000000000000007</v>
      </c>
      <c r="F13" s="694" t="s">
        <v>325</v>
      </c>
      <c r="G13" s="694" t="s">
        <v>405</v>
      </c>
      <c r="O13" s="695"/>
      <c r="P13" s="695"/>
      <c r="Q13" s="695"/>
      <c r="R13" s="695"/>
      <c r="S13" s="695"/>
      <c r="T13" s="695"/>
      <c r="U13" s="695"/>
    </row>
  </sheetData>
  <mergeCells count="1">
    <mergeCell ref="A1:G2"/>
  </mergeCells>
  <pageMargins left="0.14000000000000001" right="0.14000000000000001" top="0.28999999999999998" bottom="0.28999999999999998" header="0.3" footer="0.3"/>
  <pageSetup paperSize="9" scale="94" orientation="landscape" horizontalDpi="4294967293" verticalDpi="4294967293"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355C6-C1F7-4DD6-A33C-34C9C3676F40}">
  <sheetPr codeName="Sheet16"/>
  <dimension ref="A1:G12"/>
  <sheetViews>
    <sheetView workbookViewId="0">
      <selection activeCell="F17" sqref="F17"/>
    </sheetView>
  </sheetViews>
  <sheetFormatPr defaultRowHeight="14.5" x14ac:dyDescent="0.35"/>
  <cols>
    <col min="1" max="1" width="23.26953125" customWidth="1"/>
    <col min="2" max="2" width="20.7265625" customWidth="1"/>
    <col min="3" max="3" width="19.81640625" customWidth="1"/>
    <col min="4" max="4" width="20.453125" customWidth="1"/>
    <col min="5" max="5" width="18.54296875" customWidth="1"/>
    <col min="6" max="6" width="21.1796875" customWidth="1"/>
    <col min="7" max="7" width="21.453125" customWidth="1"/>
  </cols>
  <sheetData>
    <row r="1" spans="1:7" ht="20.65" customHeight="1" x14ac:dyDescent="0.35">
      <c r="A1" s="782"/>
      <c r="B1" s="783"/>
      <c r="C1" s="783" t="s">
        <v>173</v>
      </c>
      <c r="D1" s="783"/>
      <c r="E1" s="783"/>
      <c r="F1" s="783"/>
      <c r="G1" s="784"/>
    </row>
    <row r="2" spans="1:7" ht="21" customHeight="1" thickBot="1" x14ac:dyDescent="0.4">
      <c r="A2" s="785"/>
      <c r="B2" s="786"/>
      <c r="C2" s="786"/>
      <c r="D2" s="786"/>
      <c r="E2" s="786"/>
      <c r="F2" s="786"/>
      <c r="G2" s="787"/>
    </row>
    <row r="3" spans="1:7" ht="52.15" customHeight="1" thickBot="1" x14ac:dyDescent="0.4">
      <c r="A3" s="854" t="s">
        <v>414</v>
      </c>
      <c r="B3" s="703" t="s">
        <v>415</v>
      </c>
      <c r="C3" s="703" t="s">
        <v>416</v>
      </c>
      <c r="D3" s="703" t="s">
        <v>417</v>
      </c>
      <c r="E3" s="703" t="s">
        <v>418</v>
      </c>
      <c r="F3" s="703" t="s">
        <v>419</v>
      </c>
      <c r="G3" s="703" t="s">
        <v>420</v>
      </c>
    </row>
    <row r="4" spans="1:7" ht="18.5" thickBot="1" x14ac:dyDescent="0.4">
      <c r="A4" s="854"/>
      <c r="B4" s="703" t="s">
        <v>421</v>
      </c>
      <c r="C4" s="703" t="s">
        <v>421</v>
      </c>
      <c r="D4" s="703" t="s">
        <v>421</v>
      </c>
      <c r="E4" s="703" t="s">
        <v>421</v>
      </c>
      <c r="F4" s="703" t="s">
        <v>421</v>
      </c>
      <c r="G4" s="703" t="s">
        <v>421</v>
      </c>
    </row>
    <row r="5" spans="1:7" ht="18" thickBot="1" x14ac:dyDescent="0.4">
      <c r="A5" s="704" t="s">
        <v>422</v>
      </c>
      <c r="B5" s="705">
        <v>34</v>
      </c>
      <c r="C5" s="705">
        <v>15</v>
      </c>
      <c r="D5" s="706">
        <f>C5+B5</f>
        <v>49</v>
      </c>
      <c r="E5" s="705">
        <v>60</v>
      </c>
      <c r="F5" s="706">
        <v>60</v>
      </c>
      <c r="G5" s="707">
        <f t="shared" ref="G5:G9" si="0">E5-F5</f>
        <v>0</v>
      </c>
    </row>
    <row r="6" spans="1:7" ht="18" thickBot="1" x14ac:dyDescent="0.4">
      <c r="A6" s="704" t="s">
        <v>423</v>
      </c>
      <c r="B6" s="705">
        <v>10</v>
      </c>
      <c r="C6" s="705">
        <v>34</v>
      </c>
      <c r="D6" s="706">
        <f t="shared" ref="D6:D10" si="1">C6+B6</f>
        <v>44</v>
      </c>
      <c r="E6" s="705">
        <v>40</v>
      </c>
      <c r="F6" s="706">
        <v>45</v>
      </c>
      <c r="G6" s="708">
        <f t="shared" si="0"/>
        <v>-5</v>
      </c>
    </row>
    <row r="7" spans="1:7" ht="18" thickBot="1" x14ac:dyDescent="0.4">
      <c r="A7" s="704" t="s">
        <v>424</v>
      </c>
      <c r="B7" s="705">
        <v>141</v>
      </c>
      <c r="C7" s="705">
        <v>22</v>
      </c>
      <c r="D7" s="706">
        <f t="shared" si="1"/>
        <v>163</v>
      </c>
      <c r="E7" s="705">
        <v>250</v>
      </c>
      <c r="F7" s="706">
        <v>237</v>
      </c>
      <c r="G7" s="708">
        <f t="shared" si="0"/>
        <v>13</v>
      </c>
    </row>
    <row r="8" spans="1:7" ht="35.5" thickBot="1" x14ac:dyDescent="0.4">
      <c r="A8" s="704" t="s">
        <v>425</v>
      </c>
      <c r="B8" s="705">
        <v>32</v>
      </c>
      <c r="C8" s="709">
        <v>28</v>
      </c>
      <c r="D8" s="706">
        <f t="shared" si="1"/>
        <v>60</v>
      </c>
      <c r="E8" s="709">
        <v>60</v>
      </c>
      <c r="F8" s="706">
        <v>67</v>
      </c>
      <c r="G8" s="708">
        <f t="shared" si="0"/>
        <v>-7</v>
      </c>
    </row>
    <row r="9" spans="1:7" ht="35.5" thickBot="1" x14ac:dyDescent="0.4">
      <c r="A9" s="704" t="s">
        <v>426</v>
      </c>
      <c r="B9" s="705">
        <v>20</v>
      </c>
      <c r="C9" s="705">
        <v>0</v>
      </c>
      <c r="D9" s="706">
        <f t="shared" si="1"/>
        <v>20</v>
      </c>
      <c r="E9" s="705">
        <v>160</v>
      </c>
      <c r="F9" s="706">
        <f t="shared" ref="F9" si="2">E9-D9</f>
        <v>140</v>
      </c>
      <c r="G9" s="708">
        <f t="shared" si="0"/>
        <v>20</v>
      </c>
    </row>
    <row r="10" spans="1:7" ht="18" thickBot="1" x14ac:dyDescent="0.4">
      <c r="A10" s="704" t="s">
        <v>427</v>
      </c>
      <c r="B10" s="705">
        <v>88</v>
      </c>
      <c r="C10" s="705">
        <v>29</v>
      </c>
      <c r="D10" s="706">
        <f t="shared" si="1"/>
        <v>117</v>
      </c>
      <c r="E10" s="705">
        <v>131</v>
      </c>
      <c r="F10" s="706">
        <v>142</v>
      </c>
      <c r="G10" s="708">
        <f>E10-F10</f>
        <v>-11</v>
      </c>
    </row>
    <row r="11" spans="1:7" ht="18.5" thickBot="1" x14ac:dyDescent="0.4">
      <c r="A11" s="710" t="s">
        <v>376</v>
      </c>
      <c r="B11" s="711">
        <f>SUM(B5:B10)</f>
        <v>325</v>
      </c>
      <c r="C11" s="711">
        <f t="shared" ref="C11:G11" si="3">SUM(C5:C10)</f>
        <v>128</v>
      </c>
      <c r="D11" s="711">
        <f t="shared" si="3"/>
        <v>453</v>
      </c>
      <c r="E11" s="711">
        <f t="shared" si="3"/>
        <v>701</v>
      </c>
      <c r="F11" s="711">
        <f t="shared" si="3"/>
        <v>691</v>
      </c>
      <c r="G11" s="711">
        <f t="shared" si="3"/>
        <v>10</v>
      </c>
    </row>
    <row r="12" spans="1:7" ht="41.65" customHeight="1" thickBot="1" x14ac:dyDescent="0.4">
      <c r="A12" s="779" t="s">
        <v>428</v>
      </c>
      <c r="B12" s="780"/>
      <c r="C12" s="780"/>
      <c r="D12" s="780"/>
      <c r="E12" s="780"/>
      <c r="F12" s="780"/>
      <c r="G12" s="781"/>
    </row>
  </sheetData>
  <mergeCells count="1">
    <mergeCell ref="A3:A4"/>
  </mergeCells>
  <pageMargins left="0.13" right="0.13" top="0.75" bottom="0.75" header="0.3" footer="0.3"/>
  <pageSetup paperSize="9" orientation="landscape" horizontalDpi="4294967293" vertic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9D5D-A2E9-4228-948A-8C146C2A0FE0}">
  <sheetPr codeName="Sheet17">
    <pageSetUpPr fitToPage="1"/>
  </sheetPr>
  <dimension ref="A1:G25"/>
  <sheetViews>
    <sheetView showGridLines="0" topLeftCell="B9" zoomScaleNormal="100" workbookViewId="0">
      <selection activeCell="G2" sqref="G2"/>
    </sheetView>
  </sheetViews>
  <sheetFormatPr defaultRowHeight="14.5" x14ac:dyDescent="0.35"/>
  <cols>
    <col min="1" max="1" width="47.7265625" customWidth="1"/>
    <col min="2" max="4" width="25.7265625" customWidth="1"/>
    <col min="5" max="5" width="66.26953125" customWidth="1"/>
  </cols>
  <sheetData>
    <row r="1" spans="1:7" ht="21" customHeight="1" x14ac:dyDescent="0.35">
      <c r="A1" s="855" t="s">
        <v>429</v>
      </c>
      <c r="B1" s="856"/>
      <c r="C1" s="856"/>
      <c r="D1" s="856"/>
      <c r="E1" s="857"/>
    </row>
    <row r="2" spans="1:7" ht="24" thickBot="1" x14ac:dyDescent="0.4">
      <c r="A2" s="858"/>
      <c r="B2" s="852"/>
      <c r="C2" s="852"/>
      <c r="D2" s="852"/>
      <c r="E2" s="859"/>
      <c r="G2" s="712"/>
    </row>
    <row r="3" spans="1:7" s="500" customFormat="1" ht="23" thickBot="1" x14ac:dyDescent="0.4">
      <c r="A3" s="713" t="s">
        <v>430</v>
      </c>
      <c r="B3" s="714" t="s">
        <v>431</v>
      </c>
      <c r="C3" s="714" t="s">
        <v>432</v>
      </c>
      <c r="D3" s="714" t="s">
        <v>433</v>
      </c>
      <c r="E3" s="715" t="s">
        <v>216</v>
      </c>
      <c r="G3" s="716"/>
    </row>
    <row r="4" spans="1:7" ht="27.5" customHeight="1" thickBot="1" x14ac:dyDescent="0.55000000000000004">
      <c r="A4" s="717" t="s">
        <v>434</v>
      </c>
      <c r="B4" s="718">
        <v>13022</v>
      </c>
      <c r="C4" s="719">
        <v>13022</v>
      </c>
      <c r="D4" s="719">
        <v>13022</v>
      </c>
      <c r="E4" s="789" t="s">
        <v>473</v>
      </c>
      <c r="G4" s="720"/>
    </row>
    <row r="5" spans="1:7" ht="27.5" customHeight="1" thickTop="1" thickBot="1" x14ac:dyDescent="0.4">
      <c r="A5" s="721" t="s">
        <v>20</v>
      </c>
      <c r="B5" s="722">
        <v>2848</v>
      </c>
      <c r="C5" s="723">
        <v>2987</v>
      </c>
      <c r="D5" s="723">
        <v>2688</v>
      </c>
      <c r="E5" s="790" t="s">
        <v>474</v>
      </c>
      <c r="G5" s="720"/>
    </row>
    <row r="6" spans="1:7" ht="27.5" customHeight="1" thickBot="1" x14ac:dyDescent="0.55000000000000004">
      <c r="A6" s="717" t="s">
        <v>435</v>
      </c>
      <c r="B6" s="718">
        <v>653</v>
      </c>
      <c r="C6" s="719">
        <v>653</v>
      </c>
      <c r="D6" s="719">
        <v>653</v>
      </c>
      <c r="E6" s="790" t="s">
        <v>477</v>
      </c>
      <c r="G6" s="712"/>
    </row>
    <row r="7" spans="1:7" ht="27.5" customHeight="1" thickBot="1" x14ac:dyDescent="0.4">
      <c r="A7" s="721" t="s">
        <v>18</v>
      </c>
      <c r="B7" s="724">
        <v>855</v>
      </c>
      <c r="C7" s="724">
        <v>855</v>
      </c>
      <c r="D7" s="724">
        <v>855</v>
      </c>
      <c r="E7" s="790" t="s">
        <v>476</v>
      </c>
      <c r="G7" s="712"/>
    </row>
    <row r="8" spans="1:7" ht="27.5" customHeight="1" thickBot="1" x14ac:dyDescent="0.55000000000000004">
      <c r="A8" s="717" t="s">
        <v>436</v>
      </c>
      <c r="B8" s="718">
        <v>2126</v>
      </c>
      <c r="C8" s="718">
        <v>2126</v>
      </c>
      <c r="D8" s="725">
        <v>2126</v>
      </c>
      <c r="E8" s="790" t="s">
        <v>475</v>
      </c>
      <c r="G8" s="712"/>
    </row>
    <row r="9" spans="1:7" ht="27.5" customHeight="1" thickBot="1" x14ac:dyDescent="0.55000000000000004">
      <c r="A9" s="726" t="s">
        <v>437</v>
      </c>
      <c r="B9" s="724">
        <v>849</v>
      </c>
      <c r="C9" s="724">
        <v>849</v>
      </c>
      <c r="D9" s="723">
        <v>799</v>
      </c>
      <c r="E9" s="790" t="s">
        <v>478</v>
      </c>
    </row>
    <row r="10" spans="1:7" ht="27.5" customHeight="1" thickBot="1" x14ac:dyDescent="0.55000000000000004">
      <c r="A10" s="717" t="s">
        <v>37</v>
      </c>
      <c r="B10" s="718">
        <v>317</v>
      </c>
      <c r="C10" s="725">
        <v>317</v>
      </c>
      <c r="D10" s="727">
        <v>317</v>
      </c>
      <c r="E10" s="790" t="s">
        <v>476</v>
      </c>
    </row>
    <row r="11" spans="1:7" ht="27.5" customHeight="1" thickBot="1" x14ac:dyDescent="0.55000000000000004">
      <c r="A11" s="728" t="s">
        <v>438</v>
      </c>
      <c r="B11" s="729">
        <v>20670</v>
      </c>
      <c r="C11" s="730">
        <v>20809</v>
      </c>
      <c r="D11" s="730">
        <v>20460</v>
      </c>
      <c r="E11" s="790" t="s">
        <v>480</v>
      </c>
    </row>
    <row r="12" spans="1:7" ht="27.5" customHeight="1" thickBot="1" x14ac:dyDescent="0.55000000000000004">
      <c r="A12" s="717" t="s">
        <v>439</v>
      </c>
      <c r="B12" s="718">
        <v>13896</v>
      </c>
      <c r="C12" s="723">
        <v>13814</v>
      </c>
      <c r="D12" s="727">
        <v>13896</v>
      </c>
      <c r="E12" s="790" t="s">
        <v>479</v>
      </c>
    </row>
    <row r="13" spans="1:7" ht="27.5" customHeight="1" thickBot="1" x14ac:dyDescent="0.55000000000000004">
      <c r="A13" s="726" t="s">
        <v>440</v>
      </c>
      <c r="B13" s="731">
        <v>0</v>
      </c>
      <c r="C13" s="732">
        <v>0</v>
      </c>
      <c r="D13" s="733">
        <v>0</v>
      </c>
      <c r="E13" s="790" t="s">
        <v>482</v>
      </c>
    </row>
    <row r="14" spans="1:7" ht="27.5" customHeight="1" thickBot="1" x14ac:dyDescent="0.55000000000000004">
      <c r="A14" s="717" t="s">
        <v>441</v>
      </c>
      <c r="B14" s="718">
        <v>6119</v>
      </c>
      <c r="C14" s="723">
        <v>5959</v>
      </c>
      <c r="D14" s="725">
        <v>6119</v>
      </c>
      <c r="E14" s="790" t="s">
        <v>481</v>
      </c>
    </row>
    <row r="15" spans="1:7" ht="27.5" customHeight="1" thickBot="1" x14ac:dyDescent="0.55000000000000004">
      <c r="A15" s="728" t="s">
        <v>442</v>
      </c>
      <c r="B15" s="729">
        <v>20015</v>
      </c>
      <c r="C15" s="730">
        <v>19773</v>
      </c>
      <c r="D15" s="730">
        <v>20015</v>
      </c>
      <c r="E15" s="790" t="s">
        <v>483</v>
      </c>
    </row>
    <row r="16" spans="1:7" ht="27.5" customHeight="1" thickBot="1" x14ac:dyDescent="0.55000000000000004">
      <c r="A16" s="734" t="s">
        <v>443</v>
      </c>
      <c r="B16" s="735">
        <v>655</v>
      </c>
      <c r="C16" s="736">
        <v>1036</v>
      </c>
      <c r="D16" s="736">
        <v>445</v>
      </c>
      <c r="E16" s="790" t="s">
        <v>484</v>
      </c>
    </row>
    <row r="17" spans="1:5" ht="27.5" customHeight="1" thickBot="1" x14ac:dyDescent="0.55000000000000004">
      <c r="A17" s="726" t="s">
        <v>274</v>
      </c>
      <c r="B17" s="724">
        <v>102</v>
      </c>
      <c r="C17" s="737">
        <v>102</v>
      </c>
      <c r="D17" s="737">
        <v>102</v>
      </c>
      <c r="E17" s="790" t="s">
        <v>485</v>
      </c>
    </row>
    <row r="18" spans="1:5" ht="27.5" customHeight="1" thickBot="1" x14ac:dyDescent="0.55000000000000004">
      <c r="A18" s="717" t="s">
        <v>444</v>
      </c>
      <c r="B18" s="718">
        <v>12</v>
      </c>
      <c r="C18" s="727">
        <v>12</v>
      </c>
      <c r="D18" s="727">
        <v>12</v>
      </c>
      <c r="E18" s="790" t="s">
        <v>486</v>
      </c>
    </row>
    <row r="19" spans="1:5" ht="27.5" customHeight="1" thickBot="1" x14ac:dyDescent="0.55000000000000004">
      <c r="A19" s="726" t="s">
        <v>275</v>
      </c>
      <c r="B19" s="724">
        <v>-715</v>
      </c>
      <c r="C19" s="737">
        <v>-715</v>
      </c>
      <c r="D19" s="737">
        <v>-715</v>
      </c>
      <c r="E19" s="790" t="s">
        <v>488</v>
      </c>
    </row>
    <row r="20" spans="1:5" ht="27.5" customHeight="1" thickBot="1" x14ac:dyDescent="0.55000000000000004">
      <c r="A20" s="738" t="s">
        <v>445</v>
      </c>
      <c r="B20" s="725">
        <v>-316</v>
      </c>
      <c r="C20" s="727">
        <v>-316</v>
      </c>
      <c r="D20" s="727">
        <v>-316</v>
      </c>
      <c r="E20" s="790" t="s">
        <v>487</v>
      </c>
    </row>
    <row r="21" spans="1:5" ht="51" customHeight="1" x14ac:dyDescent="0.35">
      <c r="A21" s="739" t="s">
        <v>446</v>
      </c>
      <c r="B21" s="740">
        <v>-262</v>
      </c>
      <c r="C21" s="740">
        <v>119</v>
      </c>
      <c r="D21" s="740">
        <v>-472</v>
      </c>
      <c r="E21" s="788"/>
    </row>
    <row r="23" spans="1:5" ht="20" x14ac:dyDescent="0.4">
      <c r="E23" s="741"/>
    </row>
    <row r="24" spans="1:5" ht="20" x14ac:dyDescent="0.4">
      <c r="E24" s="741"/>
    </row>
    <row r="25" spans="1:5" ht="20" x14ac:dyDescent="0.4">
      <c r="E25" s="741"/>
    </row>
  </sheetData>
  <mergeCells count="1">
    <mergeCell ref="A1:E2"/>
  </mergeCells>
  <pageMargins left="0.16" right="0.21" top="0.28999999999999998" bottom="0.27" header="0.3" footer="0.3"/>
  <pageSetup paperSize="9" scale="80" fitToHeight="0" orientation="landscape" horizontalDpi="4294967293" vertic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8FA7-81BA-49BD-8841-3108C6CBD9F2}">
  <sheetPr codeName="Sheet18"/>
  <dimension ref="A1:G6"/>
  <sheetViews>
    <sheetView workbookViewId="0">
      <selection activeCell="B6" sqref="B6"/>
    </sheetView>
  </sheetViews>
  <sheetFormatPr defaultRowHeight="14.5" x14ac:dyDescent="0.35"/>
  <cols>
    <col min="1" max="1" width="8.7265625" style="523"/>
    <col min="2" max="2" width="45.7265625" customWidth="1"/>
    <col min="3" max="3" width="12.7265625" customWidth="1"/>
    <col min="4" max="4" width="2.1796875" customWidth="1"/>
    <col min="5" max="5" width="9" style="523" customWidth="1"/>
    <col min="6" max="6" width="45.7265625" customWidth="1"/>
    <col min="7" max="7" width="28" style="633" customWidth="1"/>
  </cols>
  <sheetData>
    <row r="1" spans="1:7" ht="19" thickBot="1" x14ac:dyDescent="0.5">
      <c r="A1" s="795" t="s">
        <v>447</v>
      </c>
      <c r="B1" s="796"/>
      <c r="C1" s="797"/>
      <c r="D1" s="744"/>
      <c r="E1" s="795" t="s">
        <v>448</v>
      </c>
      <c r="F1" s="796"/>
      <c r="G1" s="797"/>
    </row>
    <row r="2" spans="1:7" ht="18.5" thickBot="1" x14ac:dyDescent="0.45">
      <c r="A2" s="742" t="s">
        <v>449</v>
      </c>
      <c r="B2" s="745" t="s">
        <v>450</v>
      </c>
      <c r="C2" s="743" t="s">
        <v>295</v>
      </c>
      <c r="D2" s="746"/>
      <c r="E2" s="745" t="s">
        <v>449</v>
      </c>
      <c r="F2" s="742" t="s">
        <v>451</v>
      </c>
      <c r="G2" s="747" t="s">
        <v>452</v>
      </c>
    </row>
    <row r="3" spans="1:7" s="500" customFormat="1" ht="110.15" customHeight="1" thickBot="1" x14ac:dyDescent="0.5">
      <c r="A3" s="748">
        <v>1</v>
      </c>
      <c r="B3" s="692" t="s">
        <v>453</v>
      </c>
      <c r="C3" s="754" t="s">
        <v>325</v>
      </c>
      <c r="E3" s="748">
        <v>1</v>
      </c>
      <c r="F3" s="555" t="s">
        <v>454</v>
      </c>
      <c r="G3" s="749" t="s">
        <v>455</v>
      </c>
    </row>
    <row r="4" spans="1:7" s="500" customFormat="1" ht="110.15" customHeight="1" thickBot="1" x14ac:dyDescent="0.5">
      <c r="A4" s="748">
        <v>2</v>
      </c>
      <c r="B4" s="692" t="s">
        <v>456</v>
      </c>
      <c r="C4" s="754" t="s">
        <v>325</v>
      </c>
      <c r="E4" s="748">
        <v>2</v>
      </c>
      <c r="F4" s="692" t="s">
        <v>457</v>
      </c>
      <c r="G4" s="749" t="s">
        <v>455</v>
      </c>
    </row>
    <row r="5" spans="1:7" s="500" customFormat="1" ht="110.15" customHeight="1" thickBot="1" x14ac:dyDescent="0.5">
      <c r="A5" s="748">
        <v>3</v>
      </c>
      <c r="B5" s="692" t="s">
        <v>458</v>
      </c>
      <c r="C5" s="754" t="s">
        <v>325</v>
      </c>
      <c r="E5" s="748">
        <v>3</v>
      </c>
      <c r="F5" s="692" t="s">
        <v>459</v>
      </c>
      <c r="G5" s="750" t="s">
        <v>460</v>
      </c>
    </row>
    <row r="6" spans="1:7" s="500" customFormat="1" ht="110.15" customHeight="1" thickBot="1" x14ac:dyDescent="0.5">
      <c r="A6" s="748">
        <v>4</v>
      </c>
      <c r="B6" s="692" t="s">
        <v>490</v>
      </c>
      <c r="C6" s="754" t="s">
        <v>324</v>
      </c>
      <c r="D6" s="751"/>
      <c r="E6" s="752">
        <v>4</v>
      </c>
      <c r="F6" s="753" t="s">
        <v>461</v>
      </c>
      <c r="G6" s="750" t="s">
        <v>460</v>
      </c>
    </row>
  </sheetData>
  <mergeCells count="2">
    <mergeCell ref="A1:C1"/>
    <mergeCell ref="E1:G1"/>
  </mergeCells>
  <pageMargins left="0.21" right="0.22" top="0.75" bottom="0.75" header="0.3" footer="0.3"/>
  <pageSetup paperSize="9" orientation="landscape" horizontalDpi="4294967293" verticalDpi="4294967293"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17608-A312-47A6-A286-71C9E6EC65D3}">
  <sheetPr codeName="Sheet10">
    <pageSetUpPr fitToPage="1"/>
  </sheetPr>
  <dimension ref="A1:N26"/>
  <sheetViews>
    <sheetView workbookViewId="0">
      <selection sqref="A1:N1"/>
    </sheetView>
  </sheetViews>
  <sheetFormatPr defaultRowHeight="14.5" x14ac:dyDescent="0.35"/>
  <cols>
    <col min="1" max="1" width="43.453125" style="265" customWidth="1"/>
    <col min="2" max="2" width="12" style="265" customWidth="1"/>
    <col min="3" max="16384" width="8.7265625" style="265"/>
  </cols>
  <sheetData>
    <row r="1" spans="1:14" ht="20.5" thickBot="1" x14ac:dyDescent="0.45">
      <c r="A1" s="860" t="s">
        <v>173</v>
      </c>
      <c r="B1" s="860"/>
      <c r="C1" s="860"/>
      <c r="D1" s="860"/>
      <c r="E1" s="860"/>
      <c r="F1" s="860"/>
      <c r="G1" s="860"/>
      <c r="H1" s="860"/>
      <c r="I1" s="860"/>
      <c r="J1" s="860"/>
      <c r="K1" s="860"/>
      <c r="L1" s="860"/>
      <c r="M1" s="860"/>
      <c r="N1" s="860"/>
    </row>
    <row r="2" spans="1:14" ht="20" x14ac:dyDescent="0.4">
      <c r="A2" s="266" t="s">
        <v>174</v>
      </c>
      <c r="B2" s="267"/>
      <c r="C2" s="268"/>
      <c r="D2" s="269"/>
      <c r="E2" s="269"/>
      <c r="F2" s="269"/>
      <c r="G2" s="269"/>
      <c r="H2" s="269"/>
      <c r="I2" s="269"/>
      <c r="J2" s="269"/>
      <c r="K2" s="269"/>
      <c r="L2" s="269"/>
      <c r="M2" s="269"/>
      <c r="N2" s="270"/>
    </row>
    <row r="3" spans="1:14" x14ac:dyDescent="0.35">
      <c r="A3" s="267"/>
      <c r="B3" s="267"/>
      <c r="C3" s="271"/>
      <c r="D3" s="272"/>
      <c r="E3" s="272"/>
      <c r="F3" s="272"/>
      <c r="G3" s="272"/>
      <c r="H3" s="272"/>
      <c r="I3" s="272"/>
      <c r="J3" s="272"/>
      <c r="K3" s="272"/>
      <c r="L3" s="272"/>
      <c r="M3" s="272"/>
      <c r="N3" s="273"/>
    </row>
    <row r="4" spans="1:14" ht="18" x14ac:dyDescent="0.4">
      <c r="A4" s="274"/>
      <c r="B4" s="275" t="s">
        <v>5</v>
      </c>
      <c r="C4" s="276" t="s">
        <v>126</v>
      </c>
      <c r="D4" s="277" t="s">
        <v>127</v>
      </c>
      <c r="E4" s="277" t="s">
        <v>128</v>
      </c>
      <c r="F4" s="277" t="s">
        <v>129</v>
      </c>
      <c r="G4" s="277" t="s">
        <v>130</v>
      </c>
      <c r="H4" s="277" t="s">
        <v>138</v>
      </c>
      <c r="I4" s="277" t="s">
        <v>132</v>
      </c>
      <c r="J4" s="277" t="s">
        <v>133</v>
      </c>
      <c r="K4" s="277" t="s">
        <v>134</v>
      </c>
      <c r="L4" s="277" t="s">
        <v>135</v>
      </c>
      <c r="M4" s="277" t="s">
        <v>175</v>
      </c>
      <c r="N4" s="278" t="s">
        <v>176</v>
      </c>
    </row>
    <row r="5" spans="1:14" ht="15.5" x14ac:dyDescent="0.35">
      <c r="A5" s="279" t="s">
        <v>177</v>
      </c>
      <c r="B5" s="280"/>
      <c r="C5" s="281"/>
      <c r="N5" s="282"/>
    </row>
    <row r="6" spans="1:14" ht="15.5" x14ac:dyDescent="0.35">
      <c r="A6" s="283" t="s">
        <v>178</v>
      </c>
      <c r="B6" s="284">
        <v>11</v>
      </c>
      <c r="C6" s="285">
        <v>10.199999999999999</v>
      </c>
      <c r="D6" s="286">
        <v>11.1</v>
      </c>
      <c r="E6" s="286">
        <v>10.7</v>
      </c>
      <c r="F6" s="286">
        <v>10.7</v>
      </c>
      <c r="G6" s="286">
        <v>10.7</v>
      </c>
      <c r="H6" s="286">
        <v>10.7</v>
      </c>
      <c r="I6" s="286"/>
      <c r="J6" s="286"/>
      <c r="K6" s="286"/>
      <c r="L6" s="286"/>
      <c r="M6" s="286"/>
      <c r="N6" s="287"/>
    </row>
    <row r="7" spans="1:14" ht="15.5" x14ac:dyDescent="0.35">
      <c r="A7" s="283" t="s">
        <v>179</v>
      </c>
      <c r="B7" s="284">
        <v>13.6</v>
      </c>
      <c r="C7" s="285">
        <v>14.6</v>
      </c>
      <c r="D7" s="286">
        <v>13.6</v>
      </c>
      <c r="E7" s="286">
        <v>13.6</v>
      </c>
      <c r="F7" s="286">
        <v>13.6</v>
      </c>
      <c r="G7" s="286">
        <v>13.6</v>
      </c>
      <c r="H7" s="286">
        <v>13.6</v>
      </c>
      <c r="I7" s="286"/>
      <c r="J7" s="286"/>
      <c r="K7" s="286"/>
      <c r="L7" s="286"/>
      <c r="M7" s="286"/>
      <c r="N7" s="287"/>
    </row>
    <row r="8" spans="1:14" ht="15.5" x14ac:dyDescent="0.35">
      <c r="A8" s="283" t="s">
        <v>180</v>
      </c>
      <c r="B8" s="284">
        <v>26</v>
      </c>
      <c r="C8" s="285">
        <v>25.2</v>
      </c>
      <c r="D8" s="286">
        <v>27.5</v>
      </c>
      <c r="E8" s="286">
        <v>27</v>
      </c>
      <c r="F8" s="286">
        <v>28</v>
      </c>
      <c r="G8" s="286">
        <v>28</v>
      </c>
      <c r="H8" s="286">
        <v>27</v>
      </c>
      <c r="I8" s="286"/>
      <c r="J8" s="286"/>
      <c r="K8" s="286"/>
      <c r="L8" s="286"/>
      <c r="M8" s="286"/>
      <c r="N8" s="287"/>
    </row>
    <row r="9" spans="1:14" ht="15.5" x14ac:dyDescent="0.35">
      <c r="A9" s="283" t="s">
        <v>181</v>
      </c>
      <c r="B9" s="284">
        <v>21.4</v>
      </c>
      <c r="C9" s="285">
        <v>22.1</v>
      </c>
      <c r="D9" s="286">
        <v>21.5</v>
      </c>
      <c r="E9" s="286">
        <v>22</v>
      </c>
      <c r="F9" s="286">
        <v>22.8</v>
      </c>
      <c r="G9" s="286">
        <v>21.8</v>
      </c>
      <c r="H9" s="286">
        <v>21.8</v>
      </c>
      <c r="I9" s="286"/>
      <c r="J9" s="286"/>
      <c r="K9" s="286"/>
      <c r="L9" s="286"/>
      <c r="M9" s="286"/>
      <c r="N9" s="287"/>
    </row>
    <row r="10" spans="1:14" ht="15.5" x14ac:dyDescent="0.35">
      <c r="A10" s="283" t="s">
        <v>182</v>
      </c>
      <c r="B10" s="284">
        <v>15</v>
      </c>
      <c r="C10" s="285">
        <v>13.5</v>
      </c>
      <c r="D10" s="286">
        <v>14.5</v>
      </c>
      <c r="E10" s="286">
        <v>14.5</v>
      </c>
      <c r="F10" s="286">
        <v>14.5</v>
      </c>
      <c r="G10" s="286">
        <v>14.5</v>
      </c>
      <c r="H10" s="286">
        <v>14.5</v>
      </c>
      <c r="I10" s="286"/>
      <c r="J10" s="286"/>
      <c r="K10" s="286"/>
      <c r="L10" s="286"/>
      <c r="M10" s="286"/>
      <c r="N10" s="287"/>
    </row>
    <row r="11" spans="1:14" ht="15.5" x14ac:dyDescent="0.35">
      <c r="A11" s="283" t="s">
        <v>183</v>
      </c>
      <c r="B11" s="284">
        <v>18.399999999999999</v>
      </c>
      <c r="C11" s="285">
        <v>18.8</v>
      </c>
      <c r="D11" s="286">
        <v>18</v>
      </c>
      <c r="E11" s="286">
        <v>18</v>
      </c>
      <c r="F11" s="286">
        <v>18</v>
      </c>
      <c r="G11" s="286">
        <v>18</v>
      </c>
      <c r="H11" s="286">
        <v>18</v>
      </c>
      <c r="I11" s="286"/>
      <c r="J11" s="286"/>
      <c r="K11" s="286"/>
      <c r="L11" s="286"/>
      <c r="M11" s="286"/>
      <c r="N11" s="287"/>
    </row>
    <row r="12" spans="1:14" ht="15.5" x14ac:dyDescent="0.35">
      <c r="A12" s="283" t="s">
        <v>184</v>
      </c>
      <c r="B12" s="284">
        <v>19.2</v>
      </c>
      <c r="C12" s="285">
        <v>17</v>
      </c>
      <c r="D12" s="286">
        <v>17</v>
      </c>
      <c r="E12" s="286">
        <v>17</v>
      </c>
      <c r="F12" s="286">
        <v>17</v>
      </c>
      <c r="G12" s="286">
        <v>17</v>
      </c>
      <c r="H12" s="286">
        <v>17</v>
      </c>
      <c r="I12" s="286"/>
      <c r="J12" s="286"/>
      <c r="K12" s="286"/>
      <c r="L12" s="286"/>
      <c r="M12" s="286"/>
      <c r="N12" s="287"/>
    </row>
    <row r="13" spans="1:14" ht="15.5" x14ac:dyDescent="0.35">
      <c r="A13" s="283" t="s">
        <v>185</v>
      </c>
      <c r="B13" s="284">
        <v>20.5</v>
      </c>
      <c r="C13" s="285">
        <v>22.7</v>
      </c>
      <c r="D13" s="286">
        <v>22.3</v>
      </c>
      <c r="E13" s="286">
        <v>21.9</v>
      </c>
      <c r="F13" s="286">
        <v>21.9</v>
      </c>
      <c r="G13" s="286">
        <v>21.2</v>
      </c>
      <c r="H13" s="286">
        <v>21</v>
      </c>
      <c r="I13" s="286"/>
      <c r="J13" s="286"/>
      <c r="K13" s="286"/>
      <c r="L13" s="286"/>
      <c r="M13" s="286"/>
      <c r="N13" s="287"/>
    </row>
    <row r="14" spans="1:14" ht="15.5" x14ac:dyDescent="0.35">
      <c r="A14" s="283" t="s">
        <v>186</v>
      </c>
      <c r="B14" s="284">
        <f>8%*184.6</f>
        <v>14.768000000000001</v>
      </c>
      <c r="C14" s="285">
        <v>15</v>
      </c>
      <c r="D14" s="286">
        <v>15</v>
      </c>
      <c r="E14" s="286">
        <v>15</v>
      </c>
      <c r="F14" s="286">
        <v>15</v>
      </c>
      <c r="G14" s="286">
        <v>15</v>
      </c>
      <c r="H14" s="286">
        <v>15</v>
      </c>
      <c r="I14" s="286"/>
      <c r="J14" s="286"/>
      <c r="K14" s="286"/>
      <c r="L14" s="286"/>
      <c r="M14" s="286"/>
      <c r="N14" s="287"/>
    </row>
    <row r="15" spans="1:14" ht="15.5" x14ac:dyDescent="0.35">
      <c r="A15" s="283" t="s">
        <v>18</v>
      </c>
      <c r="B15" s="284">
        <v>11.7</v>
      </c>
      <c r="C15" s="285">
        <v>10.5</v>
      </c>
      <c r="D15" s="286">
        <v>10.5</v>
      </c>
      <c r="E15" s="286">
        <v>10.5</v>
      </c>
      <c r="F15" s="286">
        <v>10.5</v>
      </c>
      <c r="G15" s="286">
        <v>10.5</v>
      </c>
      <c r="H15" s="286">
        <v>10.5</v>
      </c>
      <c r="I15" s="286"/>
      <c r="J15" s="286"/>
      <c r="K15" s="286"/>
      <c r="L15" s="286"/>
      <c r="M15" s="286"/>
      <c r="N15" s="287"/>
    </row>
    <row r="16" spans="1:14" ht="15.5" x14ac:dyDescent="0.35">
      <c r="A16" s="283" t="s">
        <v>187</v>
      </c>
      <c r="B16" s="284">
        <v>13</v>
      </c>
      <c r="C16" s="285">
        <v>13</v>
      </c>
      <c r="D16" s="286">
        <v>13</v>
      </c>
      <c r="E16" s="286">
        <v>13</v>
      </c>
      <c r="F16" s="286">
        <v>13</v>
      </c>
      <c r="G16" s="286">
        <v>13</v>
      </c>
      <c r="H16" s="286">
        <v>13</v>
      </c>
      <c r="I16" s="286"/>
      <c r="J16" s="286"/>
      <c r="K16" s="286"/>
      <c r="L16" s="286"/>
      <c r="M16" s="286"/>
      <c r="N16" s="287"/>
    </row>
    <row r="17" spans="1:14" ht="16" thickBot="1" x14ac:dyDescent="0.4">
      <c r="A17" s="279" t="s">
        <v>188</v>
      </c>
      <c r="B17" s="288">
        <f t="shared" ref="B17:N17" si="0">SUM(B6:B16)</f>
        <v>184.56800000000001</v>
      </c>
      <c r="C17" s="289">
        <f t="shared" si="0"/>
        <v>182.6</v>
      </c>
      <c r="D17" s="290">
        <f t="shared" si="0"/>
        <v>184</v>
      </c>
      <c r="E17" s="290">
        <f t="shared" si="0"/>
        <v>183.2</v>
      </c>
      <c r="F17" s="290">
        <f t="shared" si="0"/>
        <v>185</v>
      </c>
      <c r="G17" s="290">
        <f t="shared" si="0"/>
        <v>183.29999999999998</v>
      </c>
      <c r="H17" s="290">
        <f t="shared" si="0"/>
        <v>182.1</v>
      </c>
      <c r="I17" s="290">
        <f t="shared" si="0"/>
        <v>0</v>
      </c>
      <c r="J17" s="290">
        <f t="shared" si="0"/>
        <v>0</v>
      </c>
      <c r="K17" s="290">
        <f t="shared" si="0"/>
        <v>0</v>
      </c>
      <c r="L17" s="290">
        <f t="shared" si="0"/>
        <v>0</v>
      </c>
      <c r="M17" s="290">
        <f t="shared" si="0"/>
        <v>0</v>
      </c>
      <c r="N17" s="291">
        <f t="shared" si="0"/>
        <v>0</v>
      </c>
    </row>
    <row r="18" spans="1:14" ht="16" thickTop="1" x14ac:dyDescent="0.35">
      <c r="A18" s="279" t="s">
        <v>189</v>
      </c>
      <c r="B18" s="292"/>
      <c r="C18" s="285"/>
      <c r="D18" s="286"/>
      <c r="E18" s="286"/>
      <c r="F18" s="286"/>
      <c r="G18" s="286"/>
      <c r="H18" s="286"/>
      <c r="I18" s="286"/>
      <c r="J18" s="286"/>
      <c r="K18" s="286"/>
      <c r="L18" s="286"/>
      <c r="M18" s="286"/>
      <c r="N18" s="287"/>
    </row>
    <row r="19" spans="1:14" ht="15.5" x14ac:dyDescent="0.35">
      <c r="A19" s="283" t="s">
        <v>33</v>
      </c>
      <c r="B19" s="284">
        <v>16.7</v>
      </c>
      <c r="C19" s="285">
        <v>15.6</v>
      </c>
      <c r="D19" s="286">
        <v>15</v>
      </c>
      <c r="E19" s="286">
        <v>15.5</v>
      </c>
      <c r="F19" s="286">
        <v>15.5</v>
      </c>
      <c r="G19" s="286">
        <v>15.5</v>
      </c>
      <c r="H19" s="286">
        <v>16.3</v>
      </c>
      <c r="I19" s="286"/>
      <c r="J19" s="286"/>
      <c r="K19" s="286"/>
      <c r="L19" s="286"/>
      <c r="M19" s="286"/>
      <c r="N19" s="287"/>
    </row>
    <row r="20" spans="1:14" ht="15.5" x14ac:dyDescent="0.35">
      <c r="A20" s="283" t="s">
        <v>34</v>
      </c>
      <c r="B20" s="284">
        <v>4.8</v>
      </c>
      <c r="C20" s="285">
        <v>4.4000000000000004</v>
      </c>
      <c r="D20" s="286">
        <v>4.4000000000000004</v>
      </c>
      <c r="E20" s="286">
        <v>4.4000000000000004</v>
      </c>
      <c r="F20" s="286">
        <v>4.4000000000000004</v>
      </c>
      <c r="G20" s="286">
        <v>4.4000000000000004</v>
      </c>
      <c r="H20" s="286">
        <v>4.4000000000000004</v>
      </c>
      <c r="I20" s="286"/>
      <c r="J20" s="286"/>
      <c r="K20" s="286"/>
      <c r="L20" s="286"/>
      <c r="M20" s="286"/>
      <c r="N20" s="287"/>
    </row>
    <row r="21" spans="1:14" ht="15.5" x14ac:dyDescent="0.35">
      <c r="A21" s="283" t="s">
        <v>190</v>
      </c>
      <c r="B21" s="284">
        <v>119.7</v>
      </c>
      <c r="C21" s="285">
        <v>112.3</v>
      </c>
      <c r="D21" s="286">
        <v>110.9</v>
      </c>
      <c r="E21" s="286">
        <v>114.1</v>
      </c>
      <c r="F21" s="286">
        <v>116.7</v>
      </c>
      <c r="G21" s="286">
        <v>116.2</v>
      </c>
      <c r="H21" s="286">
        <v>114</v>
      </c>
      <c r="I21" s="286"/>
      <c r="J21" s="286"/>
      <c r="K21" s="286"/>
      <c r="L21" s="286"/>
      <c r="M21" s="286"/>
      <c r="N21" s="287"/>
    </row>
    <row r="22" spans="1:14" ht="16" thickBot="1" x14ac:dyDescent="0.4">
      <c r="A22" s="283"/>
      <c r="B22" s="288">
        <f t="shared" ref="B22:N22" si="1">SUM(B19:B21)</f>
        <v>141.19999999999999</v>
      </c>
      <c r="C22" s="289">
        <f t="shared" si="1"/>
        <v>132.30000000000001</v>
      </c>
      <c r="D22" s="290">
        <f t="shared" si="1"/>
        <v>130.30000000000001</v>
      </c>
      <c r="E22" s="290">
        <f t="shared" si="1"/>
        <v>134</v>
      </c>
      <c r="F22" s="290">
        <f t="shared" si="1"/>
        <v>136.6</v>
      </c>
      <c r="G22" s="290">
        <f t="shared" si="1"/>
        <v>136.1</v>
      </c>
      <c r="H22" s="290">
        <f t="shared" si="1"/>
        <v>134.69999999999999</v>
      </c>
      <c r="I22" s="290">
        <f t="shared" si="1"/>
        <v>0</v>
      </c>
      <c r="J22" s="290">
        <f t="shared" si="1"/>
        <v>0</v>
      </c>
      <c r="K22" s="290">
        <f t="shared" si="1"/>
        <v>0</v>
      </c>
      <c r="L22" s="290">
        <f t="shared" si="1"/>
        <v>0</v>
      </c>
      <c r="M22" s="290">
        <f t="shared" si="1"/>
        <v>0</v>
      </c>
      <c r="N22" s="291">
        <f t="shared" si="1"/>
        <v>0</v>
      </c>
    </row>
    <row r="23" spans="1:14" ht="16" thickTop="1" x14ac:dyDescent="0.35">
      <c r="A23" s="283"/>
      <c r="B23" s="284"/>
      <c r="C23" s="285"/>
      <c r="D23" s="286"/>
      <c r="E23" s="286"/>
      <c r="F23" s="286"/>
      <c r="G23" s="286"/>
      <c r="H23" s="286"/>
      <c r="I23" s="286"/>
      <c r="J23" s="286"/>
      <c r="K23" s="286"/>
      <c r="L23" s="286"/>
      <c r="M23" s="286"/>
      <c r="N23" s="287"/>
    </row>
    <row r="24" spans="1:14" ht="16" thickBot="1" x14ac:dyDescent="0.4">
      <c r="A24" s="283" t="s">
        <v>191</v>
      </c>
      <c r="B24" s="288">
        <f t="shared" ref="B24:N24" si="2">B22+B17</f>
        <v>325.76800000000003</v>
      </c>
      <c r="C24" s="289">
        <f t="shared" si="2"/>
        <v>314.89999999999998</v>
      </c>
      <c r="D24" s="290">
        <f t="shared" si="2"/>
        <v>314.3</v>
      </c>
      <c r="E24" s="290">
        <f t="shared" si="2"/>
        <v>317.2</v>
      </c>
      <c r="F24" s="290">
        <f t="shared" si="2"/>
        <v>321.60000000000002</v>
      </c>
      <c r="G24" s="290">
        <f t="shared" si="2"/>
        <v>319.39999999999998</v>
      </c>
      <c r="H24" s="290">
        <f t="shared" si="2"/>
        <v>316.79999999999995</v>
      </c>
      <c r="I24" s="290">
        <f t="shared" si="2"/>
        <v>0</v>
      </c>
      <c r="J24" s="290">
        <f t="shared" si="2"/>
        <v>0</v>
      </c>
      <c r="K24" s="290">
        <f t="shared" si="2"/>
        <v>0</v>
      </c>
      <c r="L24" s="290">
        <f t="shared" si="2"/>
        <v>0</v>
      </c>
      <c r="M24" s="290">
        <f t="shared" si="2"/>
        <v>0</v>
      </c>
      <c r="N24" s="291">
        <f t="shared" si="2"/>
        <v>0</v>
      </c>
    </row>
    <row r="25" spans="1:14" ht="16" thickTop="1" x14ac:dyDescent="0.35">
      <c r="A25" s="293" t="s">
        <v>192</v>
      </c>
      <c r="B25" s="294"/>
      <c r="C25" s="295">
        <f t="shared" ref="C25:H25" si="3">C24-$B$24</f>
        <v>-10.868000000000052</v>
      </c>
      <c r="D25" s="296">
        <f t="shared" si="3"/>
        <v>-11.468000000000018</v>
      </c>
      <c r="E25" s="296">
        <f t="shared" si="3"/>
        <v>-8.5680000000000405</v>
      </c>
      <c r="F25" s="296">
        <f t="shared" si="3"/>
        <v>-4.1680000000000064</v>
      </c>
      <c r="G25" s="296">
        <f t="shared" si="3"/>
        <v>-6.3680000000000518</v>
      </c>
      <c r="H25" s="296">
        <f t="shared" si="3"/>
        <v>-8.9680000000000746</v>
      </c>
      <c r="I25" s="296"/>
      <c r="J25" s="296"/>
      <c r="K25" s="296"/>
      <c r="L25" s="296"/>
      <c r="M25" s="296"/>
      <c r="N25" s="297"/>
    </row>
    <row r="26" spans="1:14" ht="35.65" customHeight="1" x14ac:dyDescent="0.35">
      <c r="A26" s="298" t="s">
        <v>193</v>
      </c>
      <c r="B26" s="299"/>
      <c r="C26" s="299"/>
      <c r="D26" s="299"/>
      <c r="E26" s="299"/>
      <c r="F26" s="299"/>
      <c r="G26" s="299"/>
      <c r="H26" s="299"/>
      <c r="I26" s="299"/>
      <c r="J26" s="299"/>
      <c r="K26" s="299"/>
      <c r="L26" s="299"/>
      <c r="M26" s="299"/>
      <c r="N26" s="300"/>
    </row>
  </sheetData>
  <mergeCells count="1">
    <mergeCell ref="A1:N1"/>
  </mergeCells>
  <pageMargins left="0.14000000000000001" right="0.17" top="0.75" bottom="0.75" header="0.30000000000000004" footer="0.30000000000000004"/>
  <pageSetup paperSize="0" fitToHeight="0" orientation="landscape"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211BB-E790-42E9-BCB5-7EC149D6217B}">
  <sheetPr codeName="Sheet11">
    <pageSetUpPr fitToPage="1"/>
  </sheetPr>
  <dimension ref="A1:P26"/>
  <sheetViews>
    <sheetView topLeftCell="A5" workbookViewId="0">
      <selection activeCell="C18" sqref="C18"/>
    </sheetView>
  </sheetViews>
  <sheetFormatPr defaultRowHeight="14.5" x14ac:dyDescent="0.35"/>
  <cols>
    <col min="1" max="1" width="29" style="265" customWidth="1"/>
    <col min="2" max="3" width="8.7265625" style="265" customWidth="1"/>
    <col min="4" max="4" width="13.7265625" style="265" customWidth="1"/>
    <col min="5" max="5" width="8.7265625" style="265" customWidth="1"/>
    <col min="6" max="6" width="2" style="265" customWidth="1"/>
    <col min="7" max="8" width="8.7265625" style="265" customWidth="1"/>
    <col min="9" max="9" width="15.81640625" style="265" customWidth="1"/>
    <col min="10" max="10" width="8.7265625" style="265" customWidth="1"/>
    <col min="11" max="11" width="1.7265625" style="265" customWidth="1"/>
    <col min="12" max="13" width="8.7265625" style="265" customWidth="1"/>
    <col min="14" max="14" width="15.453125" style="265" customWidth="1"/>
    <col min="15" max="15" width="8.7265625" style="265" customWidth="1"/>
    <col min="16" max="16" width="11.1796875" style="265" customWidth="1"/>
    <col min="17" max="17" width="8.7265625" style="265" customWidth="1"/>
    <col min="18" max="16384" width="8.7265625" style="265"/>
  </cols>
  <sheetData>
    <row r="1" spans="1:16" ht="20" x14ac:dyDescent="0.4">
      <c r="A1" s="861" t="s">
        <v>173</v>
      </c>
      <c r="B1" s="862"/>
      <c r="C1" s="862"/>
      <c r="D1" s="862"/>
      <c r="E1" s="862"/>
      <c r="F1" s="862"/>
      <c r="G1" s="862"/>
      <c r="H1" s="862"/>
      <c r="I1" s="862"/>
      <c r="J1" s="862"/>
      <c r="K1" s="862"/>
      <c r="L1" s="862"/>
      <c r="M1" s="862"/>
      <c r="N1" s="862"/>
      <c r="O1" s="862"/>
      <c r="P1" s="863"/>
    </row>
    <row r="2" spans="1:16" ht="30" customHeight="1" x14ac:dyDescent="0.4">
      <c r="A2" s="864" t="s">
        <v>194</v>
      </c>
      <c r="B2" s="865"/>
      <c r="C2" s="865"/>
      <c r="D2" s="865"/>
      <c r="E2" s="865"/>
      <c r="F2" s="865"/>
      <c r="G2" s="865"/>
      <c r="H2" s="865"/>
      <c r="I2" s="865"/>
      <c r="J2" s="865"/>
      <c r="K2" s="865"/>
      <c r="L2" s="865"/>
      <c r="M2" s="865"/>
      <c r="N2" s="865"/>
      <c r="O2" s="865"/>
      <c r="P2" s="866"/>
    </row>
    <row r="3" spans="1:16" ht="23.65" customHeight="1" x14ac:dyDescent="0.35">
      <c r="A3" s="301"/>
      <c r="B3" s="867" t="s">
        <v>195</v>
      </c>
      <c r="C3" s="868"/>
      <c r="D3" s="868"/>
      <c r="E3" s="869"/>
      <c r="F3" s="302"/>
      <c r="G3" s="867" t="s">
        <v>196</v>
      </c>
      <c r="H3" s="868"/>
      <c r="I3" s="868"/>
      <c r="J3" s="869"/>
      <c r="K3" s="302"/>
      <c r="L3" s="867" t="s">
        <v>197</v>
      </c>
      <c r="M3" s="868"/>
      <c r="N3" s="868"/>
      <c r="O3" s="869"/>
      <c r="P3" s="303"/>
    </row>
    <row r="4" spans="1:16" ht="46.5" x14ac:dyDescent="0.35">
      <c r="A4" s="304"/>
      <c r="B4" s="305" t="s">
        <v>198</v>
      </c>
      <c r="C4" s="306" t="s">
        <v>199</v>
      </c>
      <c r="D4" s="306" t="s">
        <v>200</v>
      </c>
      <c r="E4" s="307" t="s">
        <v>201</v>
      </c>
      <c r="F4" s="308"/>
      <c r="G4" s="305" t="s">
        <v>198</v>
      </c>
      <c r="H4" s="306" t="s">
        <v>199</v>
      </c>
      <c r="I4" s="306" t="s">
        <v>200</v>
      </c>
      <c r="J4" s="307" t="s">
        <v>201</v>
      </c>
      <c r="K4" s="308"/>
      <c r="L4" s="305" t="s">
        <v>198</v>
      </c>
      <c r="M4" s="306" t="s">
        <v>199</v>
      </c>
      <c r="N4" s="306" t="s">
        <v>200</v>
      </c>
      <c r="O4" s="306" t="s">
        <v>201</v>
      </c>
      <c r="P4" s="309" t="s">
        <v>202</v>
      </c>
    </row>
    <row r="5" spans="1:16" ht="15.5" x14ac:dyDescent="0.35">
      <c r="A5" s="310" t="s">
        <v>203</v>
      </c>
      <c r="B5" s="311"/>
      <c r="C5" s="283"/>
      <c r="D5" s="283"/>
      <c r="E5" s="312"/>
      <c r="F5" s="283"/>
      <c r="G5" s="311"/>
      <c r="H5" s="283"/>
      <c r="I5" s="283"/>
      <c r="J5" s="312"/>
      <c r="K5" s="283"/>
      <c r="L5" s="311"/>
      <c r="M5" s="283"/>
      <c r="N5" s="283"/>
      <c r="O5" s="283"/>
      <c r="P5" s="313"/>
    </row>
    <row r="6" spans="1:16" ht="15.5" x14ac:dyDescent="0.35">
      <c r="A6" s="304" t="s">
        <v>204</v>
      </c>
      <c r="B6" s="311">
        <v>220</v>
      </c>
      <c r="C6" s="283">
        <v>176</v>
      </c>
      <c r="D6" s="283">
        <f>B6-C6</f>
        <v>44</v>
      </c>
      <c r="E6" s="314">
        <f>C6/B6</f>
        <v>0.8</v>
      </c>
      <c r="F6" s="283"/>
      <c r="G6" s="311">
        <v>61</v>
      </c>
      <c r="H6" s="283">
        <v>48</v>
      </c>
      <c r="I6" s="283">
        <f>G6-H6</f>
        <v>13</v>
      </c>
      <c r="J6" s="314">
        <f>H6/G6</f>
        <v>0.78688524590163933</v>
      </c>
      <c r="K6" s="283"/>
      <c r="L6" s="311">
        <v>150</v>
      </c>
      <c r="M6" s="283">
        <v>120</v>
      </c>
      <c r="N6" s="283">
        <f>L6-M6</f>
        <v>30</v>
      </c>
      <c r="O6" s="315">
        <f>M6/L6</f>
        <v>0.8</v>
      </c>
      <c r="P6" s="313">
        <f>N6-D6</f>
        <v>-14</v>
      </c>
    </row>
    <row r="7" spans="1:16" ht="15.5" x14ac:dyDescent="0.35">
      <c r="A7" s="304" t="s">
        <v>205</v>
      </c>
      <c r="B7" s="311">
        <v>0</v>
      </c>
      <c r="C7" s="283">
        <v>0</v>
      </c>
      <c r="D7" s="283">
        <f>B7-C7</f>
        <v>0</v>
      </c>
      <c r="E7" s="314" t="str">
        <f>IFERROR(C7/B7,"")</f>
        <v/>
      </c>
      <c r="F7" s="283"/>
      <c r="G7" s="311">
        <v>0</v>
      </c>
      <c r="H7" s="283">
        <v>0</v>
      </c>
      <c r="I7" s="283">
        <f>G7-H7</f>
        <v>0</v>
      </c>
      <c r="J7" s="314" t="str">
        <f>IFERROR(H7/G7,"")</f>
        <v/>
      </c>
      <c r="K7" s="283"/>
      <c r="L7" s="311">
        <v>70</v>
      </c>
      <c r="M7" s="283">
        <v>60</v>
      </c>
      <c r="N7" s="283">
        <f>L7-M7</f>
        <v>10</v>
      </c>
      <c r="O7" s="315">
        <f>M7/L7</f>
        <v>0.8571428571428571</v>
      </c>
      <c r="P7" s="313">
        <f>N7-D7</f>
        <v>10</v>
      </c>
    </row>
    <row r="8" spans="1:16" ht="15.5" x14ac:dyDescent="0.35">
      <c r="A8" s="304" t="s">
        <v>206</v>
      </c>
      <c r="B8" s="311">
        <v>0</v>
      </c>
      <c r="C8" s="283">
        <v>0</v>
      </c>
      <c r="D8" s="283">
        <f>B8-C8</f>
        <v>0</v>
      </c>
      <c r="E8" s="314" t="str">
        <f>IFERROR(C8/B8,"")</f>
        <v/>
      </c>
      <c r="F8" s="283"/>
      <c r="G8" s="311">
        <v>0</v>
      </c>
      <c r="H8" s="283">
        <v>0</v>
      </c>
      <c r="I8" s="283">
        <f>G8-H8</f>
        <v>0</v>
      </c>
      <c r="J8" s="314" t="str">
        <f>IFERROR(H8/G8,"")</f>
        <v/>
      </c>
      <c r="K8" s="283"/>
      <c r="L8" s="316">
        <v>0</v>
      </c>
      <c r="M8" s="317">
        <v>0</v>
      </c>
      <c r="N8" s="317">
        <f>L8-M8</f>
        <v>0</v>
      </c>
      <c r="O8" s="318" t="str">
        <f>IFERROR(M8/L8,"")</f>
        <v/>
      </c>
      <c r="P8" s="319">
        <f>N8-D8</f>
        <v>0</v>
      </c>
    </row>
    <row r="9" spans="1:16" ht="16" thickBot="1" x14ac:dyDescent="0.4">
      <c r="A9" s="310" t="s">
        <v>207</v>
      </c>
      <c r="B9" s="320">
        <f>SUM(B6:B8)</f>
        <v>220</v>
      </c>
      <c r="C9" s="321">
        <f>SUM(C6:C8)</f>
        <v>176</v>
      </c>
      <c r="D9" s="321">
        <f>SUM(D6:D8)</f>
        <v>44</v>
      </c>
      <c r="E9" s="322">
        <f>C9/B9</f>
        <v>0.8</v>
      </c>
      <c r="F9" s="283"/>
      <c r="G9" s="320">
        <f>SUM(G6:G8)</f>
        <v>61</v>
      </c>
      <c r="H9" s="321">
        <f>SUM(H6:H8)</f>
        <v>48</v>
      </c>
      <c r="I9" s="321">
        <f>SUM(I6:I8)</f>
        <v>13</v>
      </c>
      <c r="J9" s="322">
        <f>H9/G9</f>
        <v>0.78688524590163933</v>
      </c>
      <c r="K9" s="283"/>
      <c r="L9" s="323">
        <f>SUM(L6:L8)</f>
        <v>220</v>
      </c>
      <c r="M9" s="324">
        <f>SUM(M6:M8)</f>
        <v>180</v>
      </c>
      <c r="N9" s="324">
        <f>SUM(N6:N8)</f>
        <v>40</v>
      </c>
      <c r="O9" s="325">
        <f>M9/L9</f>
        <v>0.81818181818181823</v>
      </c>
      <c r="P9" s="326">
        <f>SUM(P6:P8)</f>
        <v>-4</v>
      </c>
    </row>
    <row r="10" spans="1:16" ht="16" thickTop="1" x14ac:dyDescent="0.35">
      <c r="A10" s="310" t="s">
        <v>208</v>
      </c>
      <c r="B10" s="327">
        <v>2987</v>
      </c>
      <c r="C10" s="328"/>
      <c r="D10" s="328"/>
      <c r="E10" s="329"/>
      <c r="F10" s="283"/>
      <c r="G10" s="327">
        <v>1270</v>
      </c>
      <c r="H10" s="328"/>
      <c r="I10" s="328"/>
      <c r="J10" s="329"/>
      <c r="K10" s="283"/>
      <c r="L10" s="327">
        <v>2848</v>
      </c>
      <c r="M10" s="328"/>
      <c r="N10" s="328"/>
      <c r="O10" s="328"/>
      <c r="P10" s="330"/>
    </row>
    <row r="11" spans="1:16" ht="16" thickBot="1" x14ac:dyDescent="0.4">
      <c r="A11" s="310" t="s">
        <v>209</v>
      </c>
      <c r="B11" s="331">
        <v>7.3652494141278876E-2</v>
      </c>
      <c r="C11" s="328"/>
      <c r="D11" s="328"/>
      <c r="E11" s="329"/>
      <c r="F11" s="283"/>
      <c r="G11" s="331">
        <v>4.8031496062992125E-2</v>
      </c>
      <c r="H11" s="328"/>
      <c r="I11" s="328"/>
      <c r="J11" s="329"/>
      <c r="K11" s="283"/>
      <c r="L11" s="331">
        <v>7.7247191011235949E-2</v>
      </c>
      <c r="M11" s="328"/>
      <c r="N11" s="328"/>
      <c r="O11" s="328"/>
      <c r="P11" s="330"/>
    </row>
    <row r="12" spans="1:16" ht="15.5" x14ac:dyDescent="0.35">
      <c r="A12" s="304"/>
      <c r="B12" s="311"/>
      <c r="C12" s="283"/>
      <c r="D12" s="283"/>
      <c r="E12" s="312"/>
      <c r="F12" s="283"/>
      <c r="G12" s="311"/>
      <c r="H12" s="283"/>
      <c r="I12" s="283"/>
      <c r="J12" s="312"/>
      <c r="K12" s="283"/>
      <c r="L12" s="311"/>
      <c r="M12" s="283"/>
      <c r="N12" s="283"/>
      <c r="O12" s="283"/>
      <c r="P12" s="313"/>
    </row>
    <row r="13" spans="1:16" ht="15.5" x14ac:dyDescent="0.35">
      <c r="A13" s="310" t="s">
        <v>18</v>
      </c>
      <c r="B13" s="311"/>
      <c r="C13" s="283"/>
      <c r="D13" s="283"/>
      <c r="E13" s="312"/>
      <c r="F13" s="283"/>
      <c r="G13" s="311"/>
      <c r="H13" s="283"/>
      <c r="I13" s="283"/>
      <c r="J13" s="312"/>
      <c r="K13" s="283"/>
      <c r="L13" s="311"/>
      <c r="M13" s="283"/>
      <c r="N13" s="283"/>
      <c r="O13" s="283"/>
      <c r="P13" s="313"/>
    </row>
    <row r="14" spans="1:16" ht="15.5" x14ac:dyDescent="0.35">
      <c r="A14" s="304" t="s">
        <v>204</v>
      </c>
      <c r="B14" s="311">
        <v>80</v>
      </c>
      <c r="C14" s="283">
        <v>64</v>
      </c>
      <c r="D14" s="283">
        <f>B14-C14</f>
        <v>16</v>
      </c>
      <c r="E14" s="314">
        <f>C14/B14</f>
        <v>0.8</v>
      </c>
      <c r="F14" s="283"/>
      <c r="G14" s="311">
        <v>23</v>
      </c>
      <c r="H14" s="283">
        <v>17</v>
      </c>
      <c r="I14" s="283">
        <f>G14-H14</f>
        <v>6</v>
      </c>
      <c r="J14" s="314">
        <f>H14/G14</f>
        <v>0.73913043478260865</v>
      </c>
      <c r="K14" s="283"/>
      <c r="L14" s="311">
        <v>80</v>
      </c>
      <c r="M14" s="283">
        <v>64</v>
      </c>
      <c r="N14" s="283">
        <f>L14-M14</f>
        <v>16</v>
      </c>
      <c r="O14" s="315">
        <f>IFERROR(M14/L14,"")</f>
        <v>0.8</v>
      </c>
      <c r="P14" s="313">
        <f>N14-D14</f>
        <v>0</v>
      </c>
    </row>
    <row r="15" spans="1:16" ht="15.5" x14ac:dyDescent="0.35">
      <c r="A15" s="304" t="s">
        <v>205</v>
      </c>
      <c r="B15" s="311">
        <v>0</v>
      </c>
      <c r="C15" s="283">
        <v>0</v>
      </c>
      <c r="D15" s="283">
        <f>B15-C15</f>
        <v>0</v>
      </c>
      <c r="E15" s="314" t="str">
        <f>IFERROR(C15/B15,"")</f>
        <v/>
      </c>
      <c r="F15" s="283"/>
      <c r="G15" s="311">
        <v>0</v>
      </c>
      <c r="H15" s="283">
        <v>0</v>
      </c>
      <c r="I15" s="283">
        <f>G15-H15</f>
        <v>0</v>
      </c>
      <c r="J15" s="314" t="str">
        <f>IFERROR(H15/G15,"")</f>
        <v/>
      </c>
      <c r="K15" s="283"/>
      <c r="L15" s="311">
        <v>0</v>
      </c>
      <c r="M15" s="283">
        <v>0</v>
      </c>
      <c r="N15" s="283">
        <f>L15-M15</f>
        <v>0</v>
      </c>
      <c r="O15" s="315" t="str">
        <f t="shared" ref="O15:O16" si="0">IFERROR(M15/L15,"")</f>
        <v/>
      </c>
      <c r="P15" s="313">
        <f>N15-D15</f>
        <v>0</v>
      </c>
    </row>
    <row r="16" spans="1:16" ht="15.5" x14ac:dyDescent="0.35">
      <c r="A16" s="304" t="s">
        <v>206</v>
      </c>
      <c r="B16" s="311">
        <v>0</v>
      </c>
      <c r="C16" s="283">
        <v>0</v>
      </c>
      <c r="D16" s="283">
        <f>B16-C16</f>
        <v>0</v>
      </c>
      <c r="E16" s="314" t="str">
        <f>IFERROR(C16/B16,"")</f>
        <v/>
      </c>
      <c r="F16" s="283"/>
      <c r="G16" s="311">
        <v>0</v>
      </c>
      <c r="H16" s="283">
        <v>0</v>
      </c>
      <c r="I16" s="283">
        <f>G16-H16</f>
        <v>0</v>
      </c>
      <c r="J16" s="314" t="str">
        <f>IFERROR(H16/G16,"")</f>
        <v/>
      </c>
      <c r="K16" s="283"/>
      <c r="L16" s="311">
        <v>0</v>
      </c>
      <c r="M16" s="283">
        <v>0</v>
      </c>
      <c r="N16" s="283">
        <f>L16-M16</f>
        <v>0</v>
      </c>
      <c r="O16" s="318" t="str">
        <f t="shared" si="0"/>
        <v/>
      </c>
      <c r="P16" s="313">
        <f>N16-D16</f>
        <v>0</v>
      </c>
    </row>
    <row r="17" spans="1:16" ht="16" thickBot="1" x14ac:dyDescent="0.4">
      <c r="A17" s="310" t="s">
        <v>210</v>
      </c>
      <c r="B17" s="320">
        <f>SUM(B14:B16)</f>
        <v>80</v>
      </c>
      <c r="C17" s="321">
        <f>SUM(C14:C16)</f>
        <v>64</v>
      </c>
      <c r="D17" s="321">
        <f>SUM(D14:D16)</f>
        <v>16</v>
      </c>
      <c r="E17" s="322">
        <f>C17/B17</f>
        <v>0.8</v>
      </c>
      <c r="F17" s="283"/>
      <c r="G17" s="320">
        <f>SUM(G14:G16)</f>
        <v>23</v>
      </c>
      <c r="H17" s="321">
        <f>SUM(H14:H16)</f>
        <v>17</v>
      </c>
      <c r="I17" s="321">
        <f>SUM(I14:I16)</f>
        <v>6</v>
      </c>
      <c r="J17" s="322">
        <f>H17/G17</f>
        <v>0.73913043478260865</v>
      </c>
      <c r="K17" s="283"/>
      <c r="L17" s="320">
        <f>SUM(L14:L16)</f>
        <v>80</v>
      </c>
      <c r="M17" s="321">
        <f>SUM(M14:M16)</f>
        <v>64</v>
      </c>
      <c r="N17" s="321">
        <f>SUM(N14:N16)</f>
        <v>16</v>
      </c>
      <c r="O17" s="332">
        <f>M17/L17</f>
        <v>0.8</v>
      </c>
      <c r="P17" s="333">
        <f>SUM(P14:P16)</f>
        <v>0</v>
      </c>
    </row>
    <row r="18" spans="1:16" ht="16" thickTop="1" x14ac:dyDescent="0.35">
      <c r="A18" s="310" t="s">
        <v>211</v>
      </c>
      <c r="B18" s="334">
        <v>911</v>
      </c>
      <c r="C18" s="328"/>
      <c r="D18" s="328"/>
      <c r="E18" s="329"/>
      <c r="F18" s="283"/>
      <c r="G18" s="334">
        <v>428</v>
      </c>
      <c r="H18" s="328"/>
      <c r="I18" s="328"/>
      <c r="J18" s="329"/>
      <c r="K18" s="283"/>
      <c r="L18" s="334">
        <v>855</v>
      </c>
      <c r="M18" s="328"/>
      <c r="N18" s="328"/>
      <c r="O18" s="328"/>
      <c r="P18" s="330"/>
    </row>
    <row r="19" spans="1:16" ht="16" thickBot="1" x14ac:dyDescent="0.4">
      <c r="A19" s="310" t="s">
        <v>212</v>
      </c>
      <c r="B19" s="331">
        <v>8.7815587266739853E-2</v>
      </c>
      <c r="C19" s="335"/>
      <c r="D19" s="335"/>
      <c r="E19" s="336"/>
      <c r="F19" s="283"/>
      <c r="G19" s="331">
        <v>5.3738317757009345E-2</v>
      </c>
      <c r="H19" s="335"/>
      <c r="I19" s="335"/>
      <c r="J19" s="336"/>
      <c r="K19" s="283"/>
      <c r="L19" s="331">
        <v>9.3567251461988299E-2</v>
      </c>
      <c r="M19" s="335"/>
      <c r="N19" s="335"/>
      <c r="O19" s="335"/>
      <c r="P19" s="337"/>
    </row>
    <row r="20" spans="1:16" ht="15.5" x14ac:dyDescent="0.35">
      <c r="A20" s="304"/>
      <c r="B20" s="283"/>
      <c r="C20" s="283"/>
      <c r="D20" s="283"/>
      <c r="E20" s="283"/>
      <c r="F20" s="283"/>
      <c r="G20" s="283"/>
      <c r="H20" s="283"/>
      <c r="I20" s="283"/>
      <c r="J20" s="283"/>
      <c r="K20" s="283"/>
      <c r="L20" s="283"/>
      <c r="M20" s="283"/>
      <c r="N20" s="283"/>
      <c r="O20" s="283"/>
      <c r="P20" s="313"/>
    </row>
    <row r="21" spans="1:16" ht="16" thickBot="1" x14ac:dyDescent="0.4">
      <c r="A21" s="338" t="s">
        <v>213</v>
      </c>
      <c r="B21" s="339">
        <f>B17+B9</f>
        <v>300</v>
      </c>
      <c r="C21" s="339">
        <f>C17+C9</f>
        <v>240</v>
      </c>
      <c r="D21" s="339">
        <f>D17+D9</f>
        <v>60</v>
      </c>
      <c r="E21" s="340">
        <f>C21/B21</f>
        <v>0.8</v>
      </c>
      <c r="F21" s="341"/>
      <c r="G21" s="339">
        <f>G17+G9</f>
        <v>84</v>
      </c>
      <c r="H21" s="339">
        <f>H17+H9</f>
        <v>65</v>
      </c>
      <c r="I21" s="339">
        <f>I17+I9</f>
        <v>19</v>
      </c>
      <c r="J21" s="340">
        <f>H21/G21</f>
        <v>0.77380952380952384</v>
      </c>
      <c r="K21" s="341"/>
      <c r="L21" s="339">
        <f>L17+L9</f>
        <v>300</v>
      </c>
      <c r="M21" s="339">
        <f>M17+M9</f>
        <v>244</v>
      </c>
      <c r="N21" s="339">
        <f>N17+N9</f>
        <v>56</v>
      </c>
      <c r="O21" s="342">
        <f>M21/L21</f>
        <v>0.81333333333333335</v>
      </c>
      <c r="P21" s="343">
        <f>P17+P9</f>
        <v>-4</v>
      </c>
    </row>
    <row r="22" spans="1:16" ht="15.5" x14ac:dyDescent="0.35">
      <c r="A22" s="344" t="s">
        <v>214</v>
      </c>
      <c r="B22" s="327">
        <v>21026</v>
      </c>
      <c r="C22" s="345"/>
      <c r="D22" s="345"/>
      <c r="E22" s="346"/>
      <c r="F22" s="347"/>
      <c r="G22" s="327">
        <v>10147</v>
      </c>
      <c r="H22" s="345"/>
      <c r="I22" s="345"/>
      <c r="J22" s="346"/>
      <c r="K22" s="347"/>
      <c r="L22" s="327">
        <v>20670</v>
      </c>
      <c r="M22" s="345"/>
      <c r="N22" s="345"/>
      <c r="O22" s="345"/>
      <c r="P22" s="348"/>
    </row>
    <row r="23" spans="1:16" ht="16" thickBot="1" x14ac:dyDescent="0.4">
      <c r="A23" s="310" t="s">
        <v>215</v>
      </c>
      <c r="B23" s="349">
        <v>1.4268049082088842E-2</v>
      </c>
      <c r="C23" s="328"/>
      <c r="D23" s="328"/>
      <c r="E23" s="350"/>
      <c r="F23" s="283"/>
      <c r="G23" s="351">
        <v>8.2783088597615066E-3</v>
      </c>
      <c r="H23" s="328"/>
      <c r="I23" s="328"/>
      <c r="J23" s="350"/>
      <c r="K23" s="283"/>
      <c r="L23" s="351">
        <v>1.4513788098693759E-2</v>
      </c>
      <c r="M23" s="328"/>
      <c r="N23" s="328"/>
      <c r="O23" s="328"/>
      <c r="P23" s="330"/>
    </row>
    <row r="24" spans="1:16" ht="27" customHeight="1" x14ac:dyDescent="0.35">
      <c r="A24" s="352" t="s">
        <v>216</v>
      </c>
      <c r="B24" s="353" t="s">
        <v>217</v>
      </c>
      <c r="C24" s="354"/>
      <c r="D24" s="354"/>
      <c r="E24" s="354"/>
      <c r="F24" s="353"/>
      <c r="G24" s="355" t="s">
        <v>218</v>
      </c>
      <c r="H24" s="355"/>
      <c r="I24" s="355"/>
      <c r="J24" s="355"/>
      <c r="K24" s="353"/>
      <c r="L24" s="355" t="s">
        <v>219</v>
      </c>
      <c r="M24" s="355"/>
      <c r="N24" s="355"/>
      <c r="O24" s="355"/>
      <c r="P24" s="356"/>
    </row>
    <row r="25" spans="1:16" ht="15.5" x14ac:dyDescent="0.35">
      <c r="A25" s="304"/>
      <c r="B25" s="283" t="s">
        <v>220</v>
      </c>
      <c r="C25" s="283"/>
      <c r="D25" s="283"/>
      <c r="E25" s="283"/>
      <c r="F25" s="283"/>
      <c r="G25" s="283" t="s">
        <v>221</v>
      </c>
      <c r="H25" s="283"/>
      <c r="I25" s="283"/>
      <c r="J25" s="283"/>
      <c r="K25" s="283"/>
      <c r="L25" s="283" t="s">
        <v>222</v>
      </c>
      <c r="M25" s="283"/>
      <c r="N25" s="283"/>
      <c r="O25" s="283"/>
      <c r="P25" s="313"/>
    </row>
    <row r="26" spans="1:16" ht="20.149999999999999" customHeight="1" x14ac:dyDescent="0.35">
      <c r="A26" s="357"/>
      <c r="B26" s="358" t="s">
        <v>223</v>
      </c>
      <c r="C26" s="359"/>
      <c r="D26" s="359"/>
      <c r="E26" s="359"/>
      <c r="F26" s="359"/>
      <c r="G26" s="359" t="s">
        <v>224</v>
      </c>
      <c r="H26" s="359"/>
      <c r="I26" s="359"/>
      <c r="J26" s="359"/>
      <c r="K26" s="359"/>
      <c r="L26" s="359" t="s">
        <v>225</v>
      </c>
      <c r="M26" s="359"/>
      <c r="N26" s="359"/>
      <c r="O26" s="359"/>
      <c r="P26" s="360"/>
    </row>
  </sheetData>
  <mergeCells count="5">
    <mergeCell ref="A1:P1"/>
    <mergeCell ref="A2:P2"/>
    <mergeCell ref="B3:E3"/>
    <mergeCell ref="G3:J3"/>
    <mergeCell ref="L3:O3"/>
  </mergeCells>
  <pageMargins left="0.18000000000000002" right="0.13" top="0.75" bottom="0.75" header="0.30000000000000004" footer="0.30000000000000004"/>
  <pageSetup paperSize="0" orientation="landscape" horizontalDpi="0" verticalDpi="0" copie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6654B-7B2B-43B6-839C-EEF87BAB7CE0}">
  <sheetPr codeName="Sheet12">
    <pageSetUpPr fitToPage="1"/>
  </sheetPr>
  <dimension ref="A1:O31"/>
  <sheetViews>
    <sheetView topLeftCell="A4" workbookViewId="0">
      <selection sqref="A1:O1"/>
    </sheetView>
  </sheetViews>
  <sheetFormatPr defaultColWidth="9.1796875" defaultRowHeight="14.5" x14ac:dyDescent="0.35"/>
  <cols>
    <col min="1" max="1" width="53.26953125" style="265" customWidth="1"/>
    <col min="2" max="3" width="12.54296875" style="265" customWidth="1"/>
    <col min="4" max="4" width="14.1796875" style="265" customWidth="1"/>
    <col min="5" max="5" width="15.1796875" style="265" customWidth="1"/>
    <col min="6" max="6" width="1.1796875" style="265" customWidth="1"/>
    <col min="7" max="8" width="12.54296875" style="265" customWidth="1"/>
    <col min="9" max="10" width="14.453125" style="265" customWidth="1"/>
    <col min="11" max="11" width="1.1796875" style="265" customWidth="1"/>
    <col min="12" max="13" width="12.7265625" style="265" customWidth="1"/>
    <col min="14" max="14" width="14.7265625" style="265" customWidth="1"/>
    <col min="15" max="15" width="15.54296875" style="265" customWidth="1"/>
    <col min="16" max="16" width="8.7265625" style="265" customWidth="1"/>
    <col min="17" max="16384" width="9.1796875" style="265"/>
  </cols>
  <sheetData>
    <row r="1" spans="1:15" ht="20" x14ac:dyDescent="0.4">
      <c r="A1" s="870" t="s">
        <v>173</v>
      </c>
      <c r="B1" s="870"/>
      <c r="C1" s="870"/>
      <c r="D1" s="870"/>
      <c r="E1" s="870"/>
      <c r="F1" s="870"/>
      <c r="G1" s="870"/>
      <c r="H1" s="870"/>
      <c r="I1" s="870"/>
      <c r="J1" s="870"/>
      <c r="K1" s="870"/>
      <c r="L1" s="870"/>
      <c r="M1" s="870"/>
      <c r="N1" s="870"/>
      <c r="O1" s="870"/>
    </row>
    <row r="2" spans="1:15" ht="30" customHeight="1" x14ac:dyDescent="0.4">
      <c r="A2" s="865" t="s">
        <v>226</v>
      </c>
      <c r="B2" s="865"/>
      <c r="C2" s="865"/>
      <c r="D2" s="865"/>
      <c r="E2" s="865"/>
      <c r="F2" s="865"/>
      <c r="G2" s="865"/>
      <c r="H2" s="865"/>
      <c r="I2" s="865"/>
      <c r="J2" s="865"/>
      <c r="K2" s="865"/>
      <c r="L2" s="865"/>
      <c r="M2" s="865"/>
      <c r="N2" s="865"/>
      <c r="O2" s="865"/>
    </row>
    <row r="3" spans="1:15" ht="23.65" customHeight="1" x14ac:dyDescent="0.35">
      <c r="A3" s="302"/>
      <c r="B3" s="871" t="s">
        <v>195</v>
      </c>
      <c r="C3" s="872"/>
      <c r="D3" s="872"/>
      <c r="E3" s="873"/>
      <c r="F3" s="302"/>
      <c r="G3" s="874" t="s">
        <v>197</v>
      </c>
      <c r="H3" s="874"/>
      <c r="I3" s="874"/>
      <c r="J3" s="874"/>
      <c r="K3" s="302"/>
      <c r="L3" s="871" t="s">
        <v>6</v>
      </c>
      <c r="M3" s="872"/>
      <c r="N3" s="872"/>
      <c r="O3" s="873"/>
    </row>
    <row r="4" spans="1:15" ht="46.5" x14ac:dyDescent="0.35">
      <c r="A4" s="283"/>
      <c r="B4" s="305" t="s">
        <v>198</v>
      </c>
      <c r="C4" s="306" t="s">
        <v>227</v>
      </c>
      <c r="D4" s="361" t="s">
        <v>200</v>
      </c>
      <c r="E4" s="307" t="s">
        <v>228</v>
      </c>
      <c r="F4" s="362"/>
      <c r="G4" s="305" t="s">
        <v>198</v>
      </c>
      <c r="H4" s="306" t="s">
        <v>227</v>
      </c>
      <c r="I4" s="361" t="s">
        <v>200</v>
      </c>
      <c r="J4" s="307" t="s">
        <v>228</v>
      </c>
      <c r="K4" s="362"/>
      <c r="L4" s="305" t="s">
        <v>198</v>
      </c>
      <c r="M4" s="306" t="s">
        <v>227</v>
      </c>
      <c r="N4" s="361" t="s">
        <v>200</v>
      </c>
      <c r="O4" s="307" t="s">
        <v>229</v>
      </c>
    </row>
    <row r="5" spans="1:15" ht="15.5" x14ac:dyDescent="0.35">
      <c r="A5" s="279" t="s">
        <v>177</v>
      </c>
      <c r="B5" s="363"/>
      <c r="C5" s="364"/>
      <c r="D5" s="365"/>
      <c r="E5" s="366"/>
      <c r="F5" s="364"/>
      <c r="G5" s="363"/>
      <c r="H5" s="364"/>
      <c r="I5" s="365"/>
      <c r="J5" s="366"/>
      <c r="K5" s="364"/>
      <c r="L5" s="363"/>
      <c r="M5" s="364"/>
      <c r="N5" s="365"/>
      <c r="O5" s="366"/>
    </row>
    <row r="6" spans="1:15" ht="15.5" x14ac:dyDescent="0.35">
      <c r="A6" s="283" t="s">
        <v>230</v>
      </c>
      <c r="B6" s="367">
        <v>1430.3933091229228</v>
      </c>
      <c r="C6" s="368">
        <v>748.25612052730696</v>
      </c>
      <c r="D6" s="369">
        <v>682.13718859561584</v>
      </c>
      <c r="E6" s="370">
        <v>0.47688784912863114</v>
      </c>
      <c r="F6" s="283"/>
      <c r="G6" s="367">
        <v>1498.098338187425</v>
      </c>
      <c r="H6" s="368">
        <v>740.06968641114986</v>
      </c>
      <c r="I6" s="369">
        <v>758.02865177627518</v>
      </c>
      <c r="J6" s="370">
        <v>0.50599392072847971</v>
      </c>
      <c r="K6" s="283"/>
      <c r="L6" s="371">
        <v>67.705029064502241</v>
      </c>
      <c r="M6" s="372">
        <v>8.1864341161571019</v>
      </c>
      <c r="N6" s="373">
        <v>75.891463180659343</v>
      </c>
      <c r="O6" s="370">
        <v>2.9106071599848571E-2</v>
      </c>
    </row>
    <row r="7" spans="1:15" ht="15.5" x14ac:dyDescent="0.35">
      <c r="A7" s="283" t="s">
        <v>231</v>
      </c>
      <c r="B7" s="367">
        <v>1548.1390998129195</v>
      </c>
      <c r="C7" s="368">
        <v>925.3643619406331</v>
      </c>
      <c r="D7" s="369">
        <v>622.77473787228644</v>
      </c>
      <c r="E7" s="370">
        <v>0.40227311483027839</v>
      </c>
      <c r="F7" s="283"/>
      <c r="G7" s="367">
        <v>1522.5117925875165</v>
      </c>
      <c r="H7" s="368">
        <v>940.76655052264812</v>
      </c>
      <c r="I7" s="369">
        <v>581.74524206486842</v>
      </c>
      <c r="J7" s="370">
        <v>0.38209572162077604</v>
      </c>
      <c r="K7" s="283"/>
      <c r="L7" s="371">
        <v>-25.627307225403001</v>
      </c>
      <c r="M7" s="372">
        <v>-15.402188582015015</v>
      </c>
      <c r="N7" s="373">
        <v>-41.029495807418016</v>
      </c>
      <c r="O7" s="370">
        <v>-2.0177393209502348E-2</v>
      </c>
    </row>
    <row r="8" spans="1:15" ht="15.5" x14ac:dyDescent="0.35">
      <c r="A8" s="283" t="s">
        <v>180</v>
      </c>
      <c r="B8" s="367">
        <v>3434.2522284582369</v>
      </c>
      <c r="C8" s="368">
        <v>1779.4662362119989</v>
      </c>
      <c r="D8" s="369">
        <v>1654.785992246238</v>
      </c>
      <c r="E8" s="370">
        <v>0.48184754122999662</v>
      </c>
      <c r="F8" s="283"/>
      <c r="G8" s="367">
        <v>3216.3521786305801</v>
      </c>
      <c r="H8" s="368">
        <v>1867.9442508710802</v>
      </c>
      <c r="I8" s="369">
        <v>1348.4079277594999</v>
      </c>
      <c r="J8" s="370">
        <v>0.41923516234270369</v>
      </c>
      <c r="K8" s="283"/>
      <c r="L8" s="371">
        <v>-217.90004982765686</v>
      </c>
      <c r="M8" s="372">
        <v>-88.478014659081282</v>
      </c>
      <c r="N8" s="373">
        <v>-306.37806448673814</v>
      </c>
      <c r="O8" s="370">
        <v>-6.261237888729293E-2</v>
      </c>
    </row>
    <row r="9" spans="1:15" ht="15.5" x14ac:dyDescent="0.35">
      <c r="A9" s="283" t="s">
        <v>181</v>
      </c>
      <c r="B9" s="367">
        <v>2260.0650379663257</v>
      </c>
      <c r="C9" s="368">
        <v>1456.6890861806116</v>
      </c>
      <c r="D9" s="369">
        <v>803.37595178571405</v>
      </c>
      <c r="E9" s="370">
        <v>0.35546585531388769</v>
      </c>
      <c r="F9" s="283"/>
      <c r="G9" s="367">
        <v>2330.3751927359945</v>
      </c>
      <c r="H9" s="368">
        <v>1508.3623693379791</v>
      </c>
      <c r="I9" s="369">
        <v>822.01282339801537</v>
      </c>
      <c r="J9" s="370">
        <v>0.35273840279466973</v>
      </c>
      <c r="K9" s="283"/>
      <c r="L9" s="371">
        <v>70.31015476966877</v>
      </c>
      <c r="M9" s="372">
        <v>-51.67328315736745</v>
      </c>
      <c r="N9" s="373">
        <v>18.63687161230132</v>
      </c>
      <c r="O9" s="370">
        <v>-2.7274525192179655E-3</v>
      </c>
    </row>
    <row r="10" spans="1:15" ht="15.5" x14ac:dyDescent="0.35">
      <c r="A10" s="283" t="s">
        <v>182</v>
      </c>
      <c r="B10" s="367">
        <v>1543.7781446021788</v>
      </c>
      <c r="C10" s="368">
        <v>1020.7303380862703</v>
      </c>
      <c r="D10" s="369">
        <v>523.04780651590852</v>
      </c>
      <c r="E10" s="370">
        <v>0.33881021592690991</v>
      </c>
      <c r="F10" s="283"/>
      <c r="G10" s="367">
        <v>1487.6766032779401</v>
      </c>
      <c r="H10" s="368">
        <v>1003.4843205574913</v>
      </c>
      <c r="I10" s="369">
        <v>484.19228272044882</v>
      </c>
      <c r="J10" s="370">
        <v>0.32546877570943961</v>
      </c>
      <c r="K10" s="283"/>
      <c r="L10" s="371">
        <v>-56.101541324238724</v>
      </c>
      <c r="M10" s="372">
        <v>17.246017528779021</v>
      </c>
      <c r="N10" s="373">
        <v>-38.855523795459703</v>
      </c>
      <c r="O10" s="370">
        <v>-1.3341440217470302E-2</v>
      </c>
    </row>
    <row r="11" spans="1:15" ht="15.5" x14ac:dyDescent="0.35">
      <c r="A11" s="283" t="s">
        <v>232</v>
      </c>
      <c r="B11" s="367">
        <v>2252.4333663475295</v>
      </c>
      <c r="C11" s="368">
        <v>1252.3334230113892</v>
      </c>
      <c r="D11" s="369">
        <v>1000.0999433361403</v>
      </c>
      <c r="E11" s="370">
        <v>0.44400867003576178</v>
      </c>
      <c r="F11" s="283"/>
      <c r="G11" s="367">
        <v>1914.2367654617099</v>
      </c>
      <c r="H11" s="368">
        <v>1245.993031358885</v>
      </c>
      <c r="I11" s="369">
        <v>668.24373410282487</v>
      </c>
      <c r="J11" s="370">
        <v>0.34909147403280905</v>
      </c>
      <c r="K11" s="283"/>
      <c r="L11" s="371">
        <v>-338.19660088581963</v>
      </c>
      <c r="M11" s="372">
        <v>6.340391652504195</v>
      </c>
      <c r="N11" s="373">
        <v>-331.85620923331544</v>
      </c>
      <c r="O11" s="370">
        <v>-9.4917196002952731E-2</v>
      </c>
    </row>
    <row r="12" spans="1:15" ht="15.5" x14ac:dyDescent="0.35">
      <c r="A12" s="283" t="s">
        <v>233</v>
      </c>
      <c r="B12" s="367">
        <v>2521.7223506107625</v>
      </c>
      <c r="C12" s="368">
        <v>1306.8282665231818</v>
      </c>
      <c r="D12" s="369">
        <v>1214.8940840875807</v>
      </c>
      <c r="E12" s="370">
        <v>0.48177154943062339</v>
      </c>
      <c r="F12" s="283"/>
      <c r="G12" s="367">
        <v>2716.5516532465308</v>
      </c>
      <c r="H12" s="368">
        <v>1175.9581881533102</v>
      </c>
      <c r="I12" s="369">
        <v>1540.5934650932206</v>
      </c>
      <c r="J12" s="370">
        <v>0.56711362850475111</v>
      </c>
      <c r="K12" s="283"/>
      <c r="L12" s="371">
        <v>194.82930263576827</v>
      </c>
      <c r="M12" s="372">
        <v>130.87007836987164</v>
      </c>
      <c r="N12" s="373">
        <v>325.69938100563991</v>
      </c>
      <c r="O12" s="370">
        <v>8.5342079074127719E-2</v>
      </c>
    </row>
    <row r="13" spans="1:15" ht="15.5" x14ac:dyDescent="0.35">
      <c r="A13" s="283" t="s">
        <v>234</v>
      </c>
      <c r="B13" s="367">
        <v>1526.3343237592164</v>
      </c>
      <c r="C13" s="368">
        <v>1394.8583983499238</v>
      </c>
      <c r="D13" s="369">
        <v>131.47592540929259</v>
      </c>
      <c r="E13" s="370">
        <v>8.6138353414918864E-2</v>
      </c>
      <c r="F13" s="283"/>
      <c r="G13" s="367">
        <v>1575.7775112786248</v>
      </c>
      <c r="H13" s="368">
        <v>1452.9616724738676</v>
      </c>
      <c r="I13" s="369">
        <v>122.81583880475728</v>
      </c>
      <c r="J13" s="370">
        <v>7.7939834732824342E-2</v>
      </c>
      <c r="K13" s="283"/>
      <c r="L13" s="371">
        <v>49.443187519408411</v>
      </c>
      <c r="M13" s="372">
        <v>-58.10327412394372</v>
      </c>
      <c r="N13" s="373">
        <v>-8.6600866045353087</v>
      </c>
      <c r="O13" s="370">
        <v>-8.1985186820945216E-3</v>
      </c>
    </row>
    <row r="14" spans="1:15" ht="15.5" x14ac:dyDescent="0.35">
      <c r="A14" s="283" t="s">
        <v>186</v>
      </c>
      <c r="B14" s="367">
        <v>2172.8459337515133</v>
      </c>
      <c r="C14" s="368">
        <v>1005.0106716886378</v>
      </c>
      <c r="D14" s="369">
        <v>1167.8352620628755</v>
      </c>
      <c r="E14" s="370">
        <v>0.53746804774444223</v>
      </c>
      <c r="F14" s="283"/>
      <c r="G14" s="367">
        <v>2109.5444006624407</v>
      </c>
      <c r="H14" s="368">
        <v>1037.979094076655</v>
      </c>
      <c r="I14" s="369">
        <v>1071.5653065857857</v>
      </c>
      <c r="J14" s="370">
        <v>0.5079605369999759</v>
      </c>
      <c r="K14" s="283"/>
      <c r="L14" s="371">
        <v>-63.301533089072564</v>
      </c>
      <c r="M14" s="372">
        <v>-32.968422388017188</v>
      </c>
      <c r="N14" s="373">
        <v>-96.269955477089752</v>
      </c>
      <c r="O14" s="370">
        <v>-2.9507510744466336E-2</v>
      </c>
    </row>
    <row r="15" spans="1:15" ht="15.5" x14ac:dyDescent="0.35">
      <c r="A15" s="283" t="s">
        <v>18</v>
      </c>
      <c r="B15" s="367">
        <v>1124.0362055683945</v>
      </c>
      <c r="C15" s="368">
        <v>796.4630974800466</v>
      </c>
      <c r="D15" s="369">
        <v>327.57310808834791</v>
      </c>
      <c r="E15" s="370">
        <v>0.29142576232471362</v>
      </c>
      <c r="F15" s="283"/>
      <c r="G15" s="367">
        <v>1060.8755639312433</v>
      </c>
      <c r="H15" s="368">
        <v>726.48083623693378</v>
      </c>
      <c r="I15" s="369">
        <v>334.39472769430949</v>
      </c>
      <c r="J15" s="370">
        <v>0.31520636261538215</v>
      </c>
      <c r="K15" s="283"/>
      <c r="L15" s="371">
        <v>-63.16064163715123</v>
      </c>
      <c r="M15" s="372">
        <v>69.982261243112816</v>
      </c>
      <c r="N15" s="373">
        <v>6.8216196059615868</v>
      </c>
      <c r="O15" s="370">
        <v>2.378060029066853E-2</v>
      </c>
    </row>
    <row r="16" spans="1:15" ht="15.5" x14ac:dyDescent="0.35">
      <c r="A16" s="283" t="s">
        <v>187</v>
      </c>
      <c r="B16" s="367">
        <v>913</v>
      </c>
      <c r="C16" s="368">
        <v>301</v>
      </c>
      <c r="D16" s="369">
        <v>612</v>
      </c>
      <c r="E16" s="370">
        <v>0.6703176341730559</v>
      </c>
      <c r="F16" s="283"/>
      <c r="G16" s="374">
        <v>921</v>
      </c>
      <c r="H16" s="368">
        <v>355</v>
      </c>
      <c r="I16" s="369">
        <v>566</v>
      </c>
      <c r="J16" s="370">
        <v>0.61454940282301851</v>
      </c>
      <c r="K16" s="283"/>
      <c r="L16" s="371">
        <v>8</v>
      </c>
      <c r="M16" s="372">
        <v>-54</v>
      </c>
      <c r="N16" s="373">
        <v>-46</v>
      </c>
      <c r="O16" s="370">
        <v>-5.5768231350037389E-2</v>
      </c>
    </row>
    <row r="17" spans="1:15" ht="16" thickBot="1" x14ac:dyDescent="0.4">
      <c r="A17" s="279"/>
      <c r="B17" s="375">
        <f>SUM(B6:B16)</f>
        <v>20727</v>
      </c>
      <c r="C17" s="376">
        <f>SUM(C6:C16)</f>
        <v>11987</v>
      </c>
      <c r="D17" s="377">
        <f>B17-C17</f>
        <v>8740</v>
      </c>
      <c r="E17" s="322">
        <f>D17/B17</f>
        <v>0.4216722149852849</v>
      </c>
      <c r="F17" s="283"/>
      <c r="G17" s="375">
        <f>SUM(G6:G16)</f>
        <v>20353.000000000007</v>
      </c>
      <c r="H17" s="376">
        <f>SUM(H6:H16)</f>
        <v>12054.999999999998</v>
      </c>
      <c r="I17" s="377">
        <f>G17-H17</f>
        <v>8298.0000000000091</v>
      </c>
      <c r="J17" s="322">
        <f>I17/G17</f>
        <v>0.4077040239768096</v>
      </c>
      <c r="K17" s="283"/>
      <c r="L17" s="378">
        <f>G17-B17</f>
        <v>-373.99999999999272</v>
      </c>
      <c r="M17" s="379">
        <f>C17-H17</f>
        <v>-67.999999999998181</v>
      </c>
      <c r="N17" s="380">
        <f t="shared" ref="N17:O17" si="0">I17-D17</f>
        <v>-441.99999999999091</v>
      </c>
      <c r="O17" s="322">
        <f t="shared" si="0"/>
        <v>-1.3968191008475295E-2</v>
      </c>
    </row>
    <row r="18" spans="1:15" ht="15" thickTop="1" x14ac:dyDescent="0.35">
      <c r="A18" s="381" t="s">
        <v>235</v>
      </c>
      <c r="B18" s="381"/>
      <c r="C18" s="381"/>
      <c r="D18" s="382">
        <f>(D17-SUM(D6:D16))</f>
        <v>0</v>
      </c>
      <c r="E18" s="381"/>
      <c r="F18" s="381"/>
      <c r="G18" s="382"/>
      <c r="H18" s="382"/>
      <c r="I18" s="382">
        <f>(I17-SUM(I6:I16))</f>
        <v>3.637978807091713E-12</v>
      </c>
      <c r="J18" s="381"/>
      <c r="K18" s="381"/>
      <c r="L18" s="382">
        <f>(L17-SUM(L6:L16))</f>
        <v>1.5916157281026244E-12</v>
      </c>
      <c r="M18" s="382">
        <f>(M17-SUM(M6:M16))</f>
        <v>1.7053025658242404E-12</v>
      </c>
      <c r="N18" s="382">
        <f>(N17-SUM(N6:N16))</f>
        <v>3.2969182939268649E-12</v>
      </c>
      <c r="O18" s="381"/>
    </row>
    <row r="19" spans="1:15" ht="12" customHeight="1" x14ac:dyDescent="0.35">
      <c r="A19" s="283"/>
      <c r="B19" s="283"/>
      <c r="C19" s="283"/>
      <c r="D19" s="283"/>
      <c r="E19" s="283"/>
      <c r="F19" s="283"/>
      <c r="G19" s="283"/>
      <c r="H19" s="283"/>
      <c r="I19" s="283"/>
      <c r="J19" s="283"/>
      <c r="K19" s="283"/>
      <c r="L19" s="283"/>
      <c r="M19" s="283"/>
      <c r="N19" s="283"/>
      <c r="O19" s="283"/>
    </row>
    <row r="20" spans="1:15" ht="15.5" x14ac:dyDescent="0.35">
      <c r="A20" s="383" t="s">
        <v>236</v>
      </c>
      <c r="B20" s="383">
        <v>0</v>
      </c>
      <c r="C20" s="383">
        <v>0</v>
      </c>
      <c r="D20" s="383">
        <v>0</v>
      </c>
      <c r="E20" s="383"/>
      <c r="F20" s="383"/>
      <c r="G20" s="383">
        <v>0</v>
      </c>
      <c r="H20" s="383">
        <v>0</v>
      </c>
      <c r="I20" s="383">
        <v>0</v>
      </c>
      <c r="J20" s="383"/>
      <c r="K20" s="383"/>
      <c r="L20" s="383"/>
      <c r="M20" s="383"/>
      <c r="N20" s="383"/>
      <c r="O20" s="383"/>
    </row>
    <row r="21" spans="1:15" ht="16" thickBot="1" x14ac:dyDescent="0.4">
      <c r="A21" s="283" t="s">
        <v>237</v>
      </c>
      <c r="B21" s="384">
        <v>299</v>
      </c>
      <c r="C21" s="321">
        <v>272</v>
      </c>
      <c r="D21" s="385">
        <f>B21-C21</f>
        <v>27</v>
      </c>
      <c r="E21" s="322">
        <f>D21/B21</f>
        <v>9.0301003344481601E-2</v>
      </c>
      <c r="F21" s="283"/>
      <c r="G21" s="384">
        <f>145+130+42</f>
        <v>317</v>
      </c>
      <c r="H21" s="321">
        <f>183+103</f>
        <v>286</v>
      </c>
      <c r="I21" s="385">
        <f>G21-H21</f>
        <v>31</v>
      </c>
      <c r="J21" s="322">
        <f>I21/G21</f>
        <v>9.7791798107255523E-2</v>
      </c>
      <c r="K21" s="283"/>
      <c r="L21" s="384">
        <f>G21-B21</f>
        <v>18</v>
      </c>
      <c r="M21" s="379">
        <f>C21-H21</f>
        <v>-14</v>
      </c>
      <c r="N21" s="385">
        <f t="shared" ref="N21:O22" si="1">I21-D21</f>
        <v>4</v>
      </c>
      <c r="O21" s="322">
        <f t="shared" si="1"/>
        <v>7.4907947627739224E-3</v>
      </c>
    </row>
    <row r="22" spans="1:15" ht="14.25" customHeight="1" thickTop="1" thickBot="1" x14ac:dyDescent="0.4">
      <c r="A22" s="381" t="s">
        <v>238</v>
      </c>
      <c r="B22" s="382">
        <f>B17+B21</f>
        <v>21026</v>
      </c>
      <c r="C22" s="382">
        <f>C17+C21-D23</f>
        <v>20121</v>
      </c>
      <c r="D22" s="382">
        <f>B22-C22</f>
        <v>905</v>
      </c>
      <c r="E22" s="381"/>
      <c r="F22" s="381"/>
      <c r="G22" s="382">
        <f>G17+G21</f>
        <v>20670.000000000007</v>
      </c>
      <c r="H22" s="382">
        <f>H17+H21-I23</f>
        <v>20015</v>
      </c>
      <c r="I22" s="382">
        <f>G22-H22</f>
        <v>655.00000000000728</v>
      </c>
      <c r="J22" s="381"/>
      <c r="K22" s="381"/>
      <c r="L22" s="382"/>
      <c r="M22" s="382"/>
      <c r="N22" s="382">
        <f t="shared" si="1"/>
        <v>-249.99999999999272</v>
      </c>
      <c r="O22" s="381"/>
    </row>
    <row r="23" spans="1:15" ht="15.5" x14ac:dyDescent="0.35">
      <c r="A23" s="283" t="s">
        <v>239</v>
      </c>
      <c r="B23" s="386"/>
      <c r="C23" s="387"/>
      <c r="D23" s="388">
        <v>-7862</v>
      </c>
      <c r="E23" s="389"/>
      <c r="F23" s="390"/>
      <c r="G23" s="391"/>
      <c r="H23" s="392"/>
      <c r="I23" s="388">
        <v>-7674</v>
      </c>
      <c r="J23" s="393"/>
      <c r="K23" s="394"/>
      <c r="L23" s="391"/>
      <c r="M23" s="392"/>
      <c r="N23" s="388">
        <f>I23-D23</f>
        <v>188</v>
      </c>
      <c r="O23" s="393"/>
    </row>
    <row r="24" spans="1:15" ht="15.5" x14ac:dyDescent="0.35">
      <c r="A24" s="283" t="s">
        <v>240</v>
      </c>
      <c r="B24" s="395"/>
      <c r="C24" s="396"/>
      <c r="D24" s="397">
        <f>D17+D21+D23</f>
        <v>905</v>
      </c>
      <c r="E24" s="398"/>
      <c r="F24" s="390"/>
      <c r="G24" s="399"/>
      <c r="H24" s="396"/>
      <c r="I24" s="397">
        <f>I17+I21+I23</f>
        <v>655.00000000000909</v>
      </c>
      <c r="J24" s="400"/>
      <c r="K24" s="394"/>
      <c r="L24" s="399"/>
      <c r="M24" s="396"/>
      <c r="N24" s="401">
        <f>I24-D24</f>
        <v>-249.99999999999091</v>
      </c>
      <c r="O24" s="400"/>
    </row>
    <row r="25" spans="1:15" ht="15.5" x14ac:dyDescent="0.35">
      <c r="A25" s="402" t="s">
        <v>241</v>
      </c>
      <c r="B25" s="403"/>
      <c r="C25" s="396"/>
      <c r="D25" s="404">
        <v>-8787</v>
      </c>
      <c r="E25" s="398"/>
      <c r="F25" s="390"/>
      <c r="G25" s="405"/>
      <c r="H25" s="396"/>
      <c r="I25" s="404">
        <v>-8591</v>
      </c>
      <c r="J25" s="400"/>
      <c r="K25" s="394"/>
      <c r="L25" s="405"/>
      <c r="M25" s="396"/>
      <c r="N25" s="404">
        <f>-(D25-I25)</f>
        <v>196</v>
      </c>
      <c r="O25" s="400"/>
    </row>
    <row r="26" spans="1:15" ht="15.5" x14ac:dyDescent="0.35">
      <c r="A26" s="279" t="s">
        <v>242</v>
      </c>
      <c r="B26" s="403"/>
      <c r="C26" s="396"/>
      <c r="D26" s="404">
        <f>D17+D21+D25</f>
        <v>-20</v>
      </c>
      <c r="E26" s="398"/>
      <c r="F26" s="390"/>
      <c r="G26" s="405"/>
      <c r="H26" s="396"/>
      <c r="I26" s="404">
        <f>I17+I21+I25</f>
        <v>-261.99999999999091</v>
      </c>
      <c r="J26" s="400"/>
      <c r="K26" s="394"/>
      <c r="L26" s="405"/>
      <c r="M26" s="396"/>
      <c r="N26" s="404">
        <f t="shared" ref="N26" si="2">I26-D26</f>
        <v>-241.99999999999091</v>
      </c>
      <c r="O26" s="400"/>
    </row>
    <row r="27" spans="1:15" ht="25.9" customHeight="1" x14ac:dyDescent="0.35">
      <c r="A27" s="352" t="s">
        <v>216</v>
      </c>
      <c r="B27" s="406" t="s">
        <v>243</v>
      </c>
      <c r="C27" s="355"/>
      <c r="D27" s="355"/>
      <c r="E27" s="356"/>
      <c r="F27" s="353"/>
      <c r="G27" s="407"/>
      <c r="H27" s="408"/>
      <c r="I27" s="408"/>
      <c r="J27" s="409"/>
      <c r="K27" s="353"/>
      <c r="L27" s="410" t="s">
        <v>244</v>
      </c>
      <c r="M27" s="354"/>
      <c r="N27" s="354"/>
      <c r="O27" s="411"/>
    </row>
    <row r="28" spans="1:15" ht="15.5" x14ac:dyDescent="0.35">
      <c r="A28" s="304"/>
      <c r="B28" s="304" t="s">
        <v>245</v>
      </c>
      <c r="C28" s="283"/>
      <c r="D28" s="283"/>
      <c r="E28" s="313"/>
      <c r="F28" s="283"/>
      <c r="G28" s="304"/>
      <c r="H28" s="283"/>
      <c r="I28" s="283"/>
      <c r="J28" s="313"/>
      <c r="K28" s="283"/>
      <c r="L28" s="304" t="s">
        <v>246</v>
      </c>
      <c r="M28" s="283"/>
      <c r="N28" s="283"/>
      <c r="O28" s="313"/>
    </row>
    <row r="29" spans="1:15" ht="15.5" x14ac:dyDescent="0.35">
      <c r="A29" s="304"/>
      <c r="B29" s="412" t="s">
        <v>247</v>
      </c>
      <c r="C29" s="283"/>
      <c r="D29" s="283"/>
      <c r="E29" s="313"/>
      <c r="F29" s="283"/>
      <c r="G29" s="304"/>
      <c r="H29" s="283"/>
      <c r="I29" s="283"/>
      <c r="J29" s="313"/>
      <c r="K29" s="283"/>
      <c r="L29" s="304" t="s">
        <v>248</v>
      </c>
      <c r="M29" s="283"/>
      <c r="N29" s="283"/>
      <c r="O29" s="283"/>
    </row>
    <row r="30" spans="1:15" ht="15.5" x14ac:dyDescent="0.35">
      <c r="A30" s="304"/>
      <c r="B30" s="413"/>
      <c r="C30" s="283"/>
      <c r="D30" s="283"/>
      <c r="E30" s="313"/>
      <c r="F30" s="283"/>
      <c r="G30" s="304"/>
      <c r="H30" s="283"/>
      <c r="I30" s="283"/>
      <c r="J30" s="313"/>
      <c r="K30" s="283"/>
      <c r="L30" s="304" t="s">
        <v>249</v>
      </c>
      <c r="M30" s="283"/>
      <c r="N30" s="283"/>
      <c r="O30" s="313"/>
    </row>
    <row r="31" spans="1:15" ht="15.5" x14ac:dyDescent="0.35">
      <c r="A31" s="357"/>
      <c r="B31" s="414"/>
      <c r="C31" s="359"/>
      <c r="D31" s="359"/>
      <c r="E31" s="360"/>
      <c r="F31" s="359"/>
      <c r="G31" s="357"/>
      <c r="H31" s="359"/>
      <c r="I31" s="359"/>
      <c r="J31" s="360"/>
      <c r="K31" s="359"/>
      <c r="L31" s="357" t="s">
        <v>250</v>
      </c>
      <c r="M31" s="359"/>
      <c r="N31" s="359"/>
      <c r="O31" s="360"/>
    </row>
  </sheetData>
  <mergeCells count="5">
    <mergeCell ref="A1:O1"/>
    <mergeCell ref="A2:O2"/>
    <mergeCell ref="B3:E3"/>
    <mergeCell ref="G3:J3"/>
    <mergeCell ref="L3:O3"/>
  </mergeCells>
  <conditionalFormatting sqref="O6:O21">
    <cfRule type="expression" dxfId="0" priority="1">
      <formula>"&lt;1%"</formula>
    </cfRule>
  </conditionalFormatting>
  <pageMargins left="0.18000000000000002" right="0.13" top="0.75" bottom="0.75" header="0.30000000000000004" footer="0.30000000000000004"/>
  <pageSetup paperSize="9" orientation="landscape"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35373-38BA-4D67-BA72-2E14241FFD79}">
  <sheetPr codeName="Sheet13">
    <pageSetUpPr fitToPage="1"/>
  </sheetPr>
  <dimension ref="A1:I25"/>
  <sheetViews>
    <sheetView topLeftCell="A11" workbookViewId="0">
      <selection activeCell="F17" sqref="F17"/>
    </sheetView>
  </sheetViews>
  <sheetFormatPr defaultRowHeight="14.5" x14ac:dyDescent="0.35"/>
  <cols>
    <col min="1" max="1" width="27.81640625" style="265" customWidth="1"/>
    <col min="2" max="2" width="11.54296875" style="265" customWidth="1"/>
    <col min="3" max="3" width="12.54296875" style="265" customWidth="1"/>
    <col min="4" max="4" width="15.54296875" style="265" customWidth="1"/>
    <col min="5" max="5" width="3" style="265" customWidth="1"/>
    <col min="6" max="6" width="13.453125" style="265" customWidth="1"/>
    <col min="7" max="7" width="13.1796875" style="265" customWidth="1"/>
    <col min="8" max="8" width="15.54296875" style="265" customWidth="1"/>
    <col min="9" max="9" width="60.7265625" style="265" customWidth="1"/>
    <col min="10" max="10" width="8.7265625" style="265" customWidth="1"/>
    <col min="11" max="16384" width="8.7265625" style="265"/>
  </cols>
  <sheetData>
    <row r="1" spans="1:9" ht="20" x14ac:dyDescent="0.4">
      <c r="A1" s="861" t="s">
        <v>173</v>
      </c>
      <c r="B1" s="862"/>
      <c r="C1" s="862"/>
      <c r="D1" s="862"/>
      <c r="E1" s="862"/>
      <c r="F1" s="862"/>
      <c r="G1" s="862"/>
      <c r="H1" s="862"/>
      <c r="I1" s="863"/>
    </row>
    <row r="2" spans="1:9" ht="20" x14ac:dyDescent="0.4">
      <c r="A2" s="864" t="s">
        <v>251</v>
      </c>
      <c r="B2" s="870"/>
      <c r="C2" s="870"/>
      <c r="D2" s="870"/>
      <c r="E2" s="870"/>
      <c r="F2" s="870"/>
      <c r="G2" s="870"/>
      <c r="H2" s="870"/>
      <c r="I2" s="875"/>
    </row>
    <row r="3" spans="1:9" ht="18" x14ac:dyDescent="0.4">
      <c r="A3" s="415" t="s">
        <v>34</v>
      </c>
      <c r="I3" s="416"/>
    </row>
    <row r="4" spans="1:9" ht="18" x14ac:dyDescent="0.4">
      <c r="A4" s="417"/>
      <c r="B4" s="876" t="s">
        <v>196</v>
      </c>
      <c r="C4" s="876"/>
      <c r="D4" s="876"/>
      <c r="E4" s="418"/>
      <c r="F4" s="876" t="s">
        <v>86</v>
      </c>
      <c r="G4" s="876"/>
      <c r="H4" s="876"/>
      <c r="I4" s="419"/>
    </row>
    <row r="5" spans="1:9" ht="18" x14ac:dyDescent="0.4">
      <c r="A5" s="417"/>
      <c r="B5" s="420" t="s">
        <v>5</v>
      </c>
      <c r="C5" s="421" t="s">
        <v>4</v>
      </c>
      <c r="D5" s="422" t="s">
        <v>6</v>
      </c>
      <c r="E5" s="421"/>
      <c r="F5" s="420" t="s">
        <v>5</v>
      </c>
      <c r="G5" s="421" t="s">
        <v>7</v>
      </c>
      <c r="H5" s="422" t="s">
        <v>6</v>
      </c>
      <c r="I5" s="423" t="s">
        <v>252</v>
      </c>
    </row>
    <row r="6" spans="1:9" x14ac:dyDescent="0.35">
      <c r="A6" s="424"/>
      <c r="B6" s="425"/>
      <c r="C6" s="426"/>
      <c r="D6" s="427"/>
      <c r="F6" s="425"/>
      <c r="G6" s="426"/>
      <c r="H6" s="427"/>
      <c r="I6" s="428"/>
    </row>
    <row r="7" spans="1:9" ht="15.5" x14ac:dyDescent="0.35">
      <c r="A7" s="304" t="s">
        <v>253</v>
      </c>
      <c r="B7" s="311">
        <v>67</v>
      </c>
      <c r="C7" s="283">
        <v>70</v>
      </c>
      <c r="D7" s="312">
        <f>C7-B7</f>
        <v>3</v>
      </c>
      <c r="E7" s="283"/>
      <c r="F7" s="311">
        <v>115</v>
      </c>
      <c r="G7" s="283">
        <v>130</v>
      </c>
      <c r="H7" s="312">
        <f>G7-F7</f>
        <v>15</v>
      </c>
      <c r="I7" s="429" t="s">
        <v>254</v>
      </c>
    </row>
    <row r="8" spans="1:9" ht="15.5" x14ac:dyDescent="0.35">
      <c r="A8" s="304" t="s">
        <v>255</v>
      </c>
      <c r="B8" s="311">
        <v>44</v>
      </c>
      <c r="C8" s="283">
        <v>45</v>
      </c>
      <c r="D8" s="312">
        <f>B8-C8</f>
        <v>-1</v>
      </c>
      <c r="E8" s="283"/>
      <c r="F8" s="311">
        <v>88</v>
      </c>
      <c r="G8" s="283">
        <v>91</v>
      </c>
      <c r="H8" s="312">
        <f>F8-G8</f>
        <v>-3</v>
      </c>
      <c r="I8" s="429" t="s">
        <v>256</v>
      </c>
    </row>
    <row r="9" spans="1:9" ht="15.5" x14ac:dyDescent="0.35">
      <c r="A9" s="304" t="s">
        <v>257</v>
      </c>
      <c r="B9" s="311">
        <v>14</v>
      </c>
      <c r="C9" s="283">
        <v>15</v>
      </c>
      <c r="D9" s="312">
        <f>B9-C9</f>
        <v>-1</v>
      </c>
      <c r="E9" s="283"/>
      <c r="F9" s="311">
        <v>27</v>
      </c>
      <c r="G9" s="283">
        <v>29</v>
      </c>
      <c r="H9" s="312">
        <f>F9-G9</f>
        <v>-2</v>
      </c>
      <c r="I9" s="429" t="s">
        <v>258</v>
      </c>
    </row>
    <row r="10" spans="1:9" ht="16" thickBot="1" x14ac:dyDescent="0.4">
      <c r="A10" s="310" t="s">
        <v>259</v>
      </c>
      <c r="B10" s="384">
        <f>B7-B8-B9</f>
        <v>9</v>
      </c>
      <c r="C10" s="384">
        <f>C7-C8-C9</f>
        <v>10</v>
      </c>
      <c r="D10" s="430">
        <f>SUM(D7:D9)</f>
        <v>1</v>
      </c>
      <c r="E10" s="283"/>
      <c r="F10" s="384">
        <f>F7-F8-F9</f>
        <v>0</v>
      </c>
      <c r="G10" s="384">
        <f>G7-G8-G9</f>
        <v>10</v>
      </c>
      <c r="H10" s="384">
        <f>SUM(H7:H9)</f>
        <v>10</v>
      </c>
      <c r="I10" s="429"/>
    </row>
    <row r="11" spans="1:9" ht="16" thickTop="1" x14ac:dyDescent="0.35">
      <c r="A11" s="310" t="s">
        <v>260</v>
      </c>
      <c r="B11" s="431">
        <f>B10/B7</f>
        <v>0.13432835820895522</v>
      </c>
      <c r="C11" s="431">
        <f>C10/C7</f>
        <v>0.14285714285714285</v>
      </c>
      <c r="D11" s="312"/>
      <c r="E11" s="283"/>
      <c r="F11" s="431">
        <f>F10/F7</f>
        <v>0</v>
      </c>
      <c r="G11" s="431">
        <f>G10/G7</f>
        <v>7.6923076923076927E-2</v>
      </c>
      <c r="H11" s="312"/>
      <c r="I11" s="429"/>
    </row>
    <row r="12" spans="1:9" ht="16" thickBot="1" x14ac:dyDescent="0.4">
      <c r="A12" s="304" t="s">
        <v>261</v>
      </c>
      <c r="B12" s="432">
        <v>22.150000000000002</v>
      </c>
      <c r="C12" s="433">
        <v>22.525000000000002</v>
      </c>
      <c r="D12" s="434"/>
      <c r="E12" s="283"/>
      <c r="F12" s="435">
        <v>43.875</v>
      </c>
      <c r="G12" s="436">
        <v>44.7</v>
      </c>
      <c r="H12" s="312"/>
      <c r="I12" s="429" t="s">
        <v>262</v>
      </c>
    </row>
    <row r="13" spans="1:9" ht="16" thickBot="1" x14ac:dyDescent="0.4">
      <c r="A13" s="310" t="s">
        <v>263</v>
      </c>
      <c r="B13" s="437">
        <f>B10-B12</f>
        <v>-13.150000000000002</v>
      </c>
      <c r="C13" s="437">
        <f>C10-C12</f>
        <v>-12.525000000000002</v>
      </c>
      <c r="D13" s="438"/>
      <c r="E13" s="283"/>
      <c r="F13" s="439">
        <f>F10-F12</f>
        <v>-43.875</v>
      </c>
      <c r="G13" s="439">
        <f>G10-G12</f>
        <v>-34.700000000000003</v>
      </c>
      <c r="H13" s="440"/>
      <c r="I13" s="319"/>
    </row>
    <row r="14" spans="1:9" ht="15.5" x14ac:dyDescent="0.35">
      <c r="A14" s="304"/>
      <c r="B14" s="283"/>
      <c r="C14" s="283"/>
      <c r="D14" s="283"/>
      <c r="E14" s="283"/>
      <c r="F14" s="283"/>
      <c r="G14" s="283"/>
      <c r="H14" s="283"/>
      <c r="I14" s="313"/>
    </row>
    <row r="15" spans="1:9" ht="15.5" x14ac:dyDescent="0.35">
      <c r="A15" s="441" t="s">
        <v>33</v>
      </c>
      <c r="B15" s="283"/>
      <c r="C15" s="283"/>
      <c r="D15" s="283"/>
      <c r="E15" s="283"/>
      <c r="F15" s="283"/>
      <c r="G15" s="283"/>
      <c r="H15" s="283"/>
      <c r="I15" s="313"/>
    </row>
    <row r="16" spans="1:9" ht="15.5" x14ac:dyDescent="0.35">
      <c r="A16" s="304"/>
      <c r="B16" s="877" t="s">
        <v>196</v>
      </c>
      <c r="C16" s="877"/>
      <c r="D16" s="877"/>
      <c r="E16" s="442"/>
      <c r="F16" s="877" t="s">
        <v>86</v>
      </c>
      <c r="G16" s="877"/>
      <c r="H16" s="877"/>
      <c r="I16" s="313"/>
    </row>
    <row r="17" spans="1:9" ht="15.5" x14ac:dyDescent="0.35">
      <c r="A17" s="304"/>
      <c r="B17" s="443" t="s">
        <v>5</v>
      </c>
      <c r="C17" s="444" t="s">
        <v>4</v>
      </c>
      <c r="D17" s="445" t="s">
        <v>6</v>
      </c>
      <c r="E17" s="444"/>
      <c r="F17" s="443" t="s">
        <v>5</v>
      </c>
      <c r="G17" s="444" t="s">
        <v>7</v>
      </c>
      <c r="H17" s="445" t="s">
        <v>6</v>
      </c>
      <c r="I17" s="446" t="s">
        <v>252</v>
      </c>
    </row>
    <row r="18" spans="1:9" ht="15.5" x14ac:dyDescent="0.35">
      <c r="A18" s="304"/>
      <c r="B18" s="447"/>
      <c r="C18" s="341"/>
      <c r="D18" s="448"/>
      <c r="E18" s="283"/>
      <c r="F18" s="447"/>
      <c r="G18" s="341"/>
      <c r="H18" s="448"/>
      <c r="I18" s="449"/>
    </row>
    <row r="19" spans="1:9" ht="15.5" x14ac:dyDescent="0.35">
      <c r="A19" s="304" t="s">
        <v>253</v>
      </c>
      <c r="B19" s="311">
        <v>70</v>
      </c>
      <c r="C19" s="283">
        <v>72</v>
      </c>
      <c r="D19" s="312">
        <f>C19-B19</f>
        <v>2</v>
      </c>
      <c r="E19" s="283"/>
      <c r="F19" s="311">
        <v>140</v>
      </c>
      <c r="G19" s="283">
        <v>145</v>
      </c>
      <c r="H19" s="312">
        <f>G19-F19</f>
        <v>5</v>
      </c>
      <c r="I19" s="429" t="s">
        <v>264</v>
      </c>
    </row>
    <row r="20" spans="1:9" ht="15.5" x14ac:dyDescent="0.35">
      <c r="A20" s="304" t="s">
        <v>255</v>
      </c>
      <c r="B20" s="311">
        <v>46</v>
      </c>
      <c r="C20" s="283">
        <v>48</v>
      </c>
      <c r="D20" s="312">
        <f>B20-C20</f>
        <v>-2</v>
      </c>
      <c r="E20" s="283"/>
      <c r="F20" s="311">
        <v>92</v>
      </c>
      <c r="G20" s="283">
        <v>92</v>
      </c>
      <c r="H20" s="312">
        <f>F20-G20</f>
        <v>0</v>
      </c>
      <c r="I20" s="429" t="s">
        <v>265</v>
      </c>
    </row>
    <row r="21" spans="1:9" ht="15.5" x14ac:dyDescent="0.35">
      <c r="A21" s="304" t="s">
        <v>257</v>
      </c>
      <c r="B21" s="311">
        <v>35</v>
      </c>
      <c r="C21" s="283">
        <v>39</v>
      </c>
      <c r="D21" s="312">
        <f>B21-C21</f>
        <v>-4</v>
      </c>
      <c r="E21" s="283"/>
      <c r="F21" s="311">
        <v>65</v>
      </c>
      <c r="G21" s="283">
        <v>74</v>
      </c>
      <c r="H21" s="312">
        <f>F21-G21</f>
        <v>-9</v>
      </c>
      <c r="I21" s="429" t="s">
        <v>266</v>
      </c>
    </row>
    <row r="22" spans="1:9" ht="16" thickBot="1" x14ac:dyDescent="0.4">
      <c r="A22" s="310" t="s">
        <v>259</v>
      </c>
      <c r="B22" s="384">
        <f>B19-B20-B21</f>
        <v>-11</v>
      </c>
      <c r="C22" s="384">
        <f>C19-C20-C21</f>
        <v>-15</v>
      </c>
      <c r="D22" s="430">
        <f>SUM(D19:D21)</f>
        <v>-4</v>
      </c>
      <c r="E22" s="283"/>
      <c r="F22" s="384">
        <f>F19-F20-F21</f>
        <v>-17</v>
      </c>
      <c r="G22" s="384">
        <f>G19-G20-G21</f>
        <v>-21</v>
      </c>
      <c r="H22" s="384">
        <f>SUM(H19:H21)</f>
        <v>-4</v>
      </c>
      <c r="I22" s="429"/>
    </row>
    <row r="23" spans="1:9" ht="16" thickTop="1" x14ac:dyDescent="0.35">
      <c r="A23" s="310" t="s">
        <v>260</v>
      </c>
      <c r="B23" s="431">
        <f>B22/B19</f>
        <v>-0.15714285714285714</v>
      </c>
      <c r="C23" s="431">
        <f>C22/C19</f>
        <v>-0.20833333333333334</v>
      </c>
      <c r="D23" s="312"/>
      <c r="E23" s="283"/>
      <c r="F23" s="431">
        <f>F22/F19</f>
        <v>-0.12142857142857143</v>
      </c>
      <c r="G23" s="431">
        <f>G22/G19</f>
        <v>-0.14482758620689656</v>
      </c>
      <c r="H23" s="312"/>
      <c r="I23" s="429"/>
    </row>
    <row r="24" spans="1:9" ht="16" thickBot="1" x14ac:dyDescent="0.4">
      <c r="A24" s="304" t="s">
        <v>261</v>
      </c>
      <c r="B24" s="435">
        <v>35.44</v>
      </c>
      <c r="C24" s="436">
        <v>36.04</v>
      </c>
      <c r="D24" s="450"/>
      <c r="E24" s="283"/>
      <c r="F24" s="435">
        <v>70.2</v>
      </c>
      <c r="G24" s="436">
        <v>71.52</v>
      </c>
      <c r="H24" s="450"/>
      <c r="I24" s="429" t="s">
        <v>267</v>
      </c>
    </row>
    <row r="25" spans="1:9" ht="15.5" x14ac:dyDescent="0.35">
      <c r="A25" s="451" t="s">
        <v>263</v>
      </c>
      <c r="B25" s="452">
        <f>B22-B24</f>
        <v>-46.44</v>
      </c>
      <c r="C25" s="452">
        <f>C22-C24</f>
        <v>-51.04</v>
      </c>
      <c r="D25" s="453"/>
      <c r="E25" s="359"/>
      <c r="F25" s="452">
        <f>F22-F24</f>
        <v>-87.2</v>
      </c>
      <c r="G25" s="452">
        <f>G22-G24</f>
        <v>-92.52</v>
      </c>
      <c r="H25" s="453"/>
      <c r="I25" s="360"/>
    </row>
  </sheetData>
  <mergeCells count="6">
    <mergeCell ref="A1:I1"/>
    <mergeCell ref="A2:I2"/>
    <mergeCell ref="B4:D4"/>
    <mergeCell ref="F4:H4"/>
    <mergeCell ref="B16:D16"/>
    <mergeCell ref="F16:H16"/>
  </mergeCells>
  <pageMargins left="0.14000000000000001" right="0.13" top="0.75" bottom="0.75" header="0.30000000000000004" footer="0.30000000000000004"/>
  <pageSetup paperSize="0" orientation="landscape"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c07c698-60f5-424f-b9af-f4c59398b511" ContentTypeId="0x010100545E941595ED5448BA61900FDDAFF313" PreviousValue="false"/>
</file>

<file path=customXml/item2.xml><?xml version="1.0" encoding="utf-8"?>
<ct:contentTypeSchema xmlns:ct="http://schemas.microsoft.com/office/2006/metadata/contentType" xmlns:ma="http://schemas.microsoft.com/office/2006/metadata/properties/metaAttributes" ct:_="" ma:_="" ma:contentTypeName="Official Document" ma:contentTypeID="0x010100545E941595ED5448BA61900FDDAFF313006779190EA214B84FAABC5A562576340E" ma:contentTypeVersion="7" ma:contentTypeDescription="" ma:contentTypeScope="" ma:versionID="e822029fd1a0a0ef6612eab63e9eaecd">
  <xsd:schema xmlns:xsd="http://www.w3.org/2001/XMLSchema" xmlns:xs="http://www.w3.org/2001/XMLSchema" xmlns:p="http://schemas.microsoft.com/office/2006/metadata/properties" xmlns:ns2="8c566321-f672-4e06-a901-b5e72b4c4357" xmlns:ns3="ba2294b9-6d6a-4c9b-a125-9e4b98f52ed2" targetNamespace="http://schemas.microsoft.com/office/2006/metadata/properties" ma:root="true" ma:fieldsID="e4bde3648a030aa44f0dd8f8a5c1a84f" ns2:_="" ns3:_="">
    <xsd:import namespace="8c566321-f672-4e06-a901-b5e72b4c4357"/>
    <xsd:import namespace="ba2294b9-6d6a-4c9b-a125-9e4b98f52ed2"/>
    <xsd:element name="properties">
      <xsd:complexType>
        <xsd:sequence>
          <xsd:element name="documentManagement">
            <xsd:complexType>
              <xsd:all>
                <xsd:element ref="ns2:TaxCatchAll" minOccurs="0"/>
                <xsd:element ref="ns2:TaxCatchAllLabel" minOccurs="0"/>
                <xsd:element ref="ns2:f6ec388a6d534bab86a259abd1bfa088" minOccurs="0"/>
                <xsd:element ref="ns2:p6919dbb65844893b164c5f63a6f0eeb" minOccurs="0"/>
                <xsd:element ref="ns2:c02f73938b5741d4934b358b31a1b80f" minOccurs="0"/>
                <xsd:element ref="ns2:i98b064926ea4fbe8f5b88c394ff652b"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e0e92b3-326c-4f3f-9f4b-086676a48169}" ma:internalName="TaxCatchAll" ma:showField="CatchAllData" ma:web="68b00811-d731-4e8e-8747-e1e30c035b5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ae0e92b3-326c-4f3f-9f4b-086676a48169}" ma:internalName="TaxCatchAllLabel" ma:readOnly="true" ma:showField="CatchAllDataLabel" ma:web="68b00811-d731-4e8e-8747-e1e30c035b55">
      <xsd:complexType>
        <xsd:complexContent>
          <xsd:extension base="dms:MultiChoiceLookup">
            <xsd:sequence>
              <xsd:element name="Value" type="dms:Lookup" maxOccurs="unbounded" minOccurs="0" nillable="true"/>
            </xsd:sequence>
          </xsd:extension>
        </xsd:complexContent>
      </xsd:complexType>
    </xsd:element>
    <xsd:element name="f6ec388a6d534bab86a259abd1bfa088" ma:index="10" ma:taxonomy="true" ma:internalName="f6ec388a6d534bab86a259abd1bfa088" ma:taxonomyFieldName="DfeOrganisationalUnit" ma:displayName="Organisational Unit" ma:default="1;#DfE|cc08a6d4-dfde-4d0f-bd85-069ebcef80d5" ma:fieldId="{f6ec388a-6d53-4bab-86a2-59abd1bfa088}" ma:sspId="ec07c698-60f5-424f-b9af-f4c59398b511" ma:termSetId="b3e263f6-0ab6-425a-b3de-0e67f2faf769" ma:anchorId="00000000-0000-0000-0000-000000000000" ma:open="false" ma:isKeyword="false">
      <xsd:complexType>
        <xsd:sequence>
          <xsd:element ref="pc:Terms" minOccurs="0" maxOccurs="1"/>
        </xsd:sequence>
      </xsd:complexType>
    </xsd:element>
    <xsd:element name="p6919dbb65844893b164c5f63a6f0eeb" ma:index="12" ma:taxonomy="true" ma:internalName="p6919dbb65844893b164c5f63a6f0eeb" ma:taxonomyFieldName="DfeOwner" ma:displayName="Owner" ma:default="2;#DfE|a484111e-5b24-4ad9-9778-c536c8c88985" ma:fieldId="{96919dbb-6584-4893-b164-c5f63a6f0eeb}" ma:sspId="ec07c698-60f5-424f-b9af-f4c59398b511" ma:termSetId="12161dbb-b36f-4439-aef1-21e7cc922807" ma:anchorId="00000000-0000-0000-0000-000000000000" ma:open="false" ma:isKeyword="false">
      <xsd:complexType>
        <xsd:sequence>
          <xsd:element ref="pc:Terms" minOccurs="0" maxOccurs="1"/>
        </xsd:sequence>
      </xsd:complexType>
    </xsd:element>
    <xsd:element name="c02f73938b5741d4934b358b31a1b80f" ma:index="14" ma:taxonomy="true" ma:internalName="c02f73938b5741d4934b358b31a1b80f" ma:taxonomyFieldName="DfeRights_x003a_ProtectiveMarking" ma:displayName="Rights: Protective Marking" ma:readOnly="false" ma:default="3;#Official|0884c477-2e62-47ea-b19c-5af6e91124c5" ma:fieldId="{c02f7393-8b57-41d4-934b-358b31a1b80f}"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i98b064926ea4fbe8f5b88c394ff652b" ma:index="16" nillable="true" ma:taxonomy="true" ma:internalName="i98b064926ea4fbe8f5b88c394ff652b" ma:taxonomyFieldName="DfeSubject" ma:displayName="Subject" ma:default="" ma:fieldId="{298b0649-26ea-4fbe-8f5b-88c394ff652b}"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a2294b9-6d6a-4c9b-a125-9e4b98f52ed2" elementFormDefault="qualified">
    <xsd:import namespace="http://schemas.microsoft.com/office/2006/documentManagement/types"/>
    <xsd:import namespace="http://schemas.microsoft.com/office/infopath/2007/PartnerControls"/>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3</Value>
      <Value>2</Value>
      <Value>1</Value>
    </TaxCatchAll>
    <p6919dbb65844893b164c5f63a6f0eeb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a484111e-5b24-4ad9-9778-c536c8c88985</TermId>
        </TermInfo>
      </Terms>
    </p6919dbb65844893b164c5f63a6f0eeb>
    <c02f73938b5741d4934b358b31a1b80f xmlns="8c566321-f672-4e06-a901-b5e72b4c435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c02f73938b5741d4934b358b31a1b80f>
    <f6ec388a6d534bab86a259abd1bfa088 xmlns="8c566321-f672-4e06-a901-b5e72b4c4357">
      <Terms xmlns="http://schemas.microsoft.com/office/infopath/2007/PartnerControls">
        <TermInfo xmlns="http://schemas.microsoft.com/office/infopath/2007/PartnerControls">
          <TermName xmlns="http://schemas.microsoft.com/office/infopath/2007/PartnerControls">DfE</TermName>
          <TermId xmlns="http://schemas.microsoft.com/office/infopath/2007/PartnerControls">cc08a6d4-dfde-4d0f-bd85-069ebcef80d5</TermId>
        </TermInfo>
      </Terms>
    </f6ec388a6d534bab86a259abd1bfa088>
    <i98b064926ea4fbe8f5b88c394ff652b xmlns="8c566321-f672-4e06-a901-b5e72b4c4357">
      <Terms xmlns="http://schemas.microsoft.com/office/infopath/2007/PartnerControls"/>
    </i98b064926ea4fbe8f5b88c394ff652b>
    <_dlc_DocId xmlns="ba2294b9-6d6a-4c9b-a125-9e4b98f52ed2">ZAD7H4544KUZ-1446850017-66661</_dlc_DocId>
    <_dlc_DocIdUrl xmlns="ba2294b9-6d6a-4c9b-a125-9e4b98f52ed2">
      <Url>https://educationgovuk.sharepoint.com/sites/lvedfe00080/_layouts/15/DocIdRedir.aspx?ID=ZAD7H4544KUZ-1446850017-66661</Url>
      <Description>ZAD7H4544KUZ-1446850017-66661</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332C6BC-7E8E-42C7-9708-97EE5D3B85CD}">
  <ds:schemaRefs>
    <ds:schemaRef ds:uri="Microsoft.SharePoint.Taxonomy.ContentTypeSync"/>
  </ds:schemaRefs>
</ds:datastoreItem>
</file>

<file path=customXml/itemProps2.xml><?xml version="1.0" encoding="utf-8"?>
<ds:datastoreItem xmlns:ds="http://schemas.openxmlformats.org/officeDocument/2006/customXml" ds:itemID="{47627043-C8B1-45E1-BD26-6692E9B9CB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566321-f672-4e06-a901-b5e72b4c4357"/>
    <ds:schemaRef ds:uri="ba2294b9-6d6a-4c9b-a125-9e4b98f52e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ADC31B-4FB0-465A-BE21-AFE4002DFCD5}">
  <ds:schemaRefs>
    <ds:schemaRef ds:uri="http://schemas.microsoft.com/sharepoint/v3/contenttype/forms"/>
  </ds:schemaRefs>
</ds:datastoreItem>
</file>

<file path=customXml/itemProps4.xml><?xml version="1.0" encoding="utf-8"?>
<ds:datastoreItem xmlns:ds="http://schemas.openxmlformats.org/officeDocument/2006/customXml" ds:itemID="{4C14FEA5-B892-4699-9CB7-D39D556867E6}">
  <ds:schemaRefs>
    <ds:schemaRef ds:uri="http://purl.org/dc/terms/"/>
    <ds:schemaRef ds:uri="http://www.w3.org/XML/1998/namespace"/>
    <ds:schemaRef ds:uri="http://purl.org/dc/elements/1.1/"/>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schemas.microsoft.com/office/infopath/2007/PartnerControls"/>
    <ds:schemaRef ds:uri="ba2294b9-6d6a-4c9b-a125-9e4b98f52ed2"/>
    <ds:schemaRef ds:uri="8c566321-f672-4e06-a901-b5e72b4c4357"/>
  </ds:schemaRefs>
</ds:datastoreItem>
</file>

<file path=customXml/itemProps5.xml><?xml version="1.0" encoding="utf-8"?>
<ds:datastoreItem xmlns:ds="http://schemas.openxmlformats.org/officeDocument/2006/customXml" ds:itemID="{AD239BC3-2DBB-44E2-B360-373B2DF1A8FE}">
  <ds:schemaRefs>
    <ds:schemaRef ds:uri="http://schemas.microsoft.com/sharepoint/events"/>
  </ds:schemaRefs>
</ds:datastoreItem>
</file>

<file path=docMetadata/LabelInfo.xml><?xml version="1.0" encoding="utf-8"?>
<clbl:labelList xmlns:clbl="http://schemas.microsoft.com/office/2020/mipLabelMetadata">
  <clbl:label id="{fad277c9-c60a-4da1-b5f3-b3b8b34a82f9}" enabled="0" method="" siteId="{fad277c9-c60a-4da1-b5f3-b3b8b34a82f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vt:i4>
      </vt:variant>
    </vt:vector>
  </HeadingPairs>
  <TitlesOfParts>
    <vt:vector size="22" baseType="lpstr">
      <vt:lpstr>Summary I&amp;E</vt:lpstr>
      <vt:lpstr>Summary KPIs</vt:lpstr>
      <vt:lpstr>Fin Health </vt:lpstr>
      <vt:lpstr>I&amp;E</vt:lpstr>
      <vt:lpstr>I&amp;E Bridge</vt:lpstr>
      <vt:lpstr>ASF</vt:lpstr>
      <vt:lpstr>Loan</vt:lpstr>
      <vt:lpstr>Bal Sheet</vt:lpstr>
      <vt:lpstr>Drs &amp; Crs</vt:lpstr>
      <vt:lpstr>Cash use </vt:lpstr>
      <vt:lpstr>Cash</vt:lpstr>
      <vt:lpstr>Cash graph</vt:lpstr>
      <vt:lpstr>KPIs</vt:lpstr>
      <vt:lpstr>Capital</vt:lpstr>
      <vt:lpstr>Risks &amp; Senstivities</vt:lpstr>
      <vt:lpstr>Issues for further review</vt:lpstr>
      <vt:lpstr>Staff numbers</vt:lpstr>
      <vt:lpstr>Sub-contracting activity</vt:lpstr>
      <vt:lpstr>Contribution analysis</vt:lpstr>
      <vt:lpstr>Trading activities &amp; projects</vt:lpstr>
      <vt:lpstr>'Bal Sheet'!Print_Area</vt:lpstr>
      <vt:lpstr>'I&amp;E'!Print_Area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Management accounts – tables, March 2026</dc:title>
  <dc:subject/>
  <dc:creator>Department for Education</dc:creator>
  <cp:keywords/>
  <dc:description/>
  <cp:lastModifiedBy>GOWRAN, Elaine</cp:lastModifiedBy>
  <cp:revision/>
  <dcterms:created xsi:type="dcterms:W3CDTF">2020-05-26T09:43:00Z</dcterms:created>
  <dcterms:modified xsi:type="dcterms:W3CDTF">2026-03-23T12:13:32Z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0x010100545E941595ED5448BA61900FDDAFF313006779190EA214B84FAABC5A562576340E</vt:lpwstr>
  </property>
  <property fmtid="{D5CDD505-2E9C-101B-9397-08002B2CF9AE}" pid="3" name="cf01b81f267a4ae7a066de4ca5a45f7c">
    <vt:lpwstr>Official|0884c477-2e62-47ea-b19c-5af6e91124c5</vt:lpwstr>
  </property>
  <property fmtid="{D5CDD505-2E9C-101B-9397-08002B2CF9AE}" pid="4" name="pd0bfabaa6cb47f7bff41b54a8405b46">
    <vt:lpwstr>DfE|cc08a6d4-dfde-4d0f-bd85-069ebcef80d5</vt:lpwstr>
  </property>
  <property fmtid="{D5CDD505-2E9C-101B-9397-08002B2CF9AE}" pid="5" name="afedf6f4583d4414b8b49f98bd7a4a38">
    <vt:lpwstr>DfE|a484111e-5b24-4ad9-9778-c536c8c88985</vt:lpwstr>
  </property>
  <property fmtid="{D5CDD505-2E9C-101B-9397-08002B2CF9AE}" pid="6" name="_dlc_DocIdItemGuid">
    <vt:lpwstr>a7d44c0e-26c3-40f0-a6f1-e804715ba494</vt:lpwstr>
  </property>
  <property fmtid="{D5CDD505-2E9C-101B-9397-08002B2CF9AE}" pid="7" name="DfeOrganisationalUnit">
    <vt:lpwstr>1;#DfE|cc08a6d4-dfde-4d0f-bd85-069ebcef80d5</vt:lpwstr>
  </property>
  <property fmtid="{D5CDD505-2E9C-101B-9397-08002B2CF9AE}" pid="8" name="DfeRights:ProtectiveMarking">
    <vt:lpwstr>3;#Official|0884c477-2e62-47ea-b19c-5af6e91124c5</vt:lpwstr>
  </property>
  <property fmtid="{D5CDD505-2E9C-101B-9397-08002B2CF9AE}" pid="9" name="DfeOwner">
    <vt:lpwstr>2;#DfE|a484111e-5b24-4ad9-9778-c536c8c88985</vt:lpwstr>
  </property>
  <property fmtid="{D5CDD505-2E9C-101B-9397-08002B2CF9AE}" pid="10" name="cbd89a3d90af4054933af136d81ae271">
    <vt:lpwstr/>
  </property>
  <property fmtid="{D5CDD505-2E9C-101B-9397-08002B2CF9AE}" pid="11" name="MediaServiceImageTags">
    <vt:lpwstr/>
  </property>
  <property fmtid="{D5CDD505-2E9C-101B-9397-08002B2CF9AE}" pid="12" name="Rights:ProtectiveMarking">
    <vt:lpwstr>3;#Official|0884c477-2e62-47ea-b19c-5af6e91124c5</vt:lpwstr>
  </property>
  <property fmtid="{D5CDD505-2E9C-101B-9397-08002B2CF9AE}" pid="13" name="Subject1">
    <vt:lpwstr/>
  </property>
  <property fmtid="{D5CDD505-2E9C-101B-9397-08002B2CF9AE}" pid="14" name="OrganisationalUnit">
    <vt:lpwstr>1;#DfE|cc08a6d4-dfde-4d0f-bd85-069ebcef80d5</vt:lpwstr>
  </property>
  <property fmtid="{D5CDD505-2E9C-101B-9397-08002B2CF9AE}" pid="15" name="Owner">
    <vt:lpwstr>2;#DfE|a484111e-5b24-4ad9-9778-c536c8c88985</vt:lpwstr>
  </property>
  <property fmtid="{D5CDD505-2E9C-101B-9397-08002B2CF9AE}" pid="16" name="e001803101cc486883c488742a9b195f">
    <vt:lpwstr/>
  </property>
  <property fmtid="{D5CDD505-2E9C-101B-9397-08002B2CF9AE}" pid="17" name="DfeSubject">
    <vt:lpwstr/>
  </property>
  <property fmtid="{D5CDD505-2E9C-101B-9397-08002B2CF9AE}" pid="18" name="lcf76f155ced4ddcb4097134ff3c332f">
    <vt:lpwstr/>
  </property>
  <property fmtid="{D5CDD505-2E9C-101B-9397-08002B2CF9AE}" pid="19" name="c0e8f78731f34305bd83ee7a944e5d31">
    <vt:lpwstr/>
  </property>
  <property fmtid="{D5CDD505-2E9C-101B-9397-08002B2CF9AE}" pid="20" name="Function">
    <vt:lpwstr/>
  </property>
  <property fmtid="{D5CDD505-2E9C-101B-9397-08002B2CF9AE}" pid="21" name="SiteType">
    <vt:lpwstr/>
  </property>
</Properties>
</file>