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B9E1970C-0DDF-4667-BE21-EA563B9DA2F7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Activities'!$A$5:$Q$11</definedName>
    <definedName name="ID" localSheetId="1">Table13[TrackerID3]</definedName>
    <definedName name="ID">Table13[TrackerID3]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Table13[TrackerID]</definedName>
    <definedName name="Summerimpact">Table13[TrackerID]</definedName>
    <definedName name="Winterimpact" localSheetId="1">Table13[% of Summer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8" i="14" l="1"/>
  <c r="W29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W27" i="14" l="1"/>
  <c r="W26" i="14"/>
  <c r="W25" i="14"/>
  <c r="W24" i="14"/>
  <c r="A13" i="24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<sst xmlns="http://schemas.openxmlformats.org/spreadsheetml/2006/main" count="278" uniqueCount="136">
  <si>
    <t>Southern North Sea (SNS) Special Area Of Conservation (SAC) Noise Tracker</t>
  </si>
  <si>
    <r>
      <t xml:space="preserve">Daily Threshold: </t>
    </r>
    <r>
      <rPr>
        <sz val="12"/>
        <color rgb="FFFFFFFF"/>
        <rFont val="Calibri Light"/>
        <family val="2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</si>
  <si>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</si>
  <si>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</si>
  <si>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</si>
  <si>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</si>
  <si>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t>Seasonal Threshold</t>
    </r>
    <r>
      <rPr>
        <sz val="12"/>
        <color rgb="FFFFFFFF"/>
        <rFont val="Calibri Light"/>
        <family val="2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</si>
  <si>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</si>
  <si>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</si>
  <si>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</si>
  <si>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</si>
  <si>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</si>
  <si>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</si>
  <si>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</si>
  <si>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</si>
  <si>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</si>
  <si>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</si>
  <si>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</si>
  <si>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</si>
  <si>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</si>
  <si>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</si>
  <si>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</si>
  <si>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</si>
  <si>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</si>
  <si>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</si>
  <si>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</si>
  <si>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</si>
  <si>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</si>
  <si>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</si>
  <si>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</si>
  <si>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</si>
  <si>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</si>
  <si>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TrackerID3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</si>
  <si>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</si>
  <si>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</si>
  <si>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</si>
  <si>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</si>
  <si>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</si>
  <si>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</si>
  <si>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</si>
  <si>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No</t>
  </si>
  <si>
    <t>East Anglia Three - Monopiling (Abated Scanario 2))</t>
  </si>
  <si>
    <t>Piling Abated</t>
  </si>
  <si>
    <t>MENCK Hammer</t>
  </si>
  <si>
    <t xml:space="preserve">Most probable scenario - X1 pile per day. </t>
  </si>
  <si>
    <t>Rough Storage - Geophysical Survey</t>
  </si>
  <si>
    <t>Centrica Energy Storage Ltd</t>
  </si>
  <si>
    <t>OPRED</t>
  </si>
  <si>
    <t>Geophysical Survey</t>
  </si>
  <si>
    <t>Winter</t>
  </si>
  <si>
    <t>47/2, 47/3, 4/7, 47/8</t>
  </si>
  <si>
    <t>GS/1822/0</t>
  </si>
  <si>
    <t>Postponed</t>
  </si>
  <si>
    <t>160 cu in</t>
  </si>
  <si>
    <t xml:space="preserve">Postponed until Autumn 2025. 2D High-Resolution Seismic, Ultra-High-Resolution Seismic, Sub-Bottom Profiler Pinger, Single and Multibeam Echo Sounder, Sidescan Sonar, Grab Sampling, Drop-Down Camera. </t>
  </si>
  <si>
    <t>Sofia - UXO Investigations</t>
  </si>
  <si>
    <t>RWE Ltd</t>
  </si>
  <si>
    <t>Summer</t>
  </si>
  <si>
    <t>MLA/2020/00489</t>
  </si>
  <si>
    <t xml:space="preserve">Sofia have confirmed that no geophysical surveys will be conducted in 2025. </t>
  </si>
  <si>
    <t xml:space="preserve">Sizewell C - Pin Piling </t>
  </si>
  <si>
    <t>EDF Energy</t>
  </si>
  <si>
    <t>Pin Piling</t>
  </si>
  <si>
    <t>DCO/2013/00021</t>
  </si>
  <si>
    <t>Submitted</t>
  </si>
  <si>
    <t>Soft / slow start and marine mammal obervers</t>
  </si>
  <si>
    <t xml:space="preserve">55 piling days within a 180 day window </t>
  </si>
  <si>
    <t>Yes</t>
  </si>
  <si>
    <t xml:space="preserve">30 piling days within a 180 day window </t>
  </si>
  <si>
    <t xml:space="preserve">Ithaca - Conductor Piling </t>
  </si>
  <si>
    <t>Ithaca</t>
  </si>
  <si>
    <t>Conductor Piling</t>
  </si>
  <si>
    <t>Soft start, marine mammal observer</t>
  </si>
  <si>
    <t>Conductor piling</t>
  </si>
  <si>
    <t>Hoton Platform - New Well Conductor</t>
  </si>
  <si>
    <t>Perenco</t>
  </si>
  <si>
    <t>NEP Phase 1 UXO Clearance (LO)</t>
  </si>
  <si>
    <t>BP</t>
  </si>
  <si>
    <t>UXO Low Order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</si>
  <si>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</si>
  <si>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</si>
  <si>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</si>
  <si>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UXO High Order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</si>
  <si>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</si>
  <si>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</si>
  <si>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Development Wells Vertical Seismic Profiling</t>
  </si>
  <si>
    <t>Seismic Survey</t>
  </si>
  <si>
    <t>450 cuin source, MMO/PAM as required, compiance with permit conditions aligned with JNCC guidelines</t>
  </si>
  <si>
    <t>NEP Expansion Appraisal Well Vertical Seismic Profiling</t>
  </si>
  <si>
    <t>400 cuin source, MMO/PAM as required, compiance with permit conditions aligned with JNCC guidelines</t>
  </si>
  <si>
    <t>Norfolk Vanguard West - UXO Clearance (HO)</t>
  </si>
  <si>
    <t>RWE Renewables UK</t>
  </si>
  <si>
    <t>MLA/2025/00512</t>
  </si>
  <si>
    <t>Data has been provided with and without NAS. Without NAS the area overlap would be 938.31.</t>
  </si>
  <si>
    <t>East Anglia Three - Monopiling (Abated Scenario 1)</t>
  </si>
  <si>
    <t xml:space="preserve">Worst case scenario - X2 piles per day. This is outlined in the SIP, but is logisitcially and operationally unlikely. </t>
  </si>
  <si>
    <t>Hornsea Three - Contingency UXO Clearance (Transmission &amp; Generation) (LO)</t>
  </si>
  <si>
    <t>Orsted</t>
  </si>
  <si>
    <t>MLA/2025/00366</t>
  </si>
  <si>
    <t>MMMP ( MMObs, PAM, ADD's), 500m safety zone, Ntms, post-clearance MBES surveys</t>
  </si>
  <si>
    <t xml:space="preserve">LO deflagration only. </t>
  </si>
  <si>
    <t>2026 Conductor driving (slot) Cygnus A Wellhead Platform</t>
  </si>
  <si>
    <t>Ithaca (NE) E&amp;P Ltd</t>
  </si>
  <si>
    <t>44/12</t>
  </si>
  <si>
    <t>DR/2628/0</t>
  </si>
  <si>
    <t>N/A</t>
  </si>
  <si>
    <t>Platypus</t>
  </si>
  <si>
    <t>GS/1976/0</t>
  </si>
  <si>
    <t>Completed</t>
  </si>
  <si>
    <t>Harbour Energy - Geophysical Survey</t>
  </si>
  <si>
    <t xml:space="preserve">Awaiting further information from the developer. </t>
  </si>
  <si>
    <t>NEP Phase 1 Pin Piling Monitoring Equipment - CANCELLED</t>
  </si>
  <si>
    <t>Instalation methodology tbc. Pin piling worst case assumption</t>
  </si>
  <si>
    <t>NEP Expansion (C5025) Seismic Survey - CANCELLED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</si>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</sst>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sz val="11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FFFFFF"/>
      <name val="Calibri Light"/>
      <family val="2"/>
    </font>
    <font>
      <sz val="12"/>
      <color rgb="FFFFFFFF"/>
      <name val="Calibri Light"/>
      <family val="2"/>
    </font>
    <font>
      <b/>
      <sz val="12"/>
      <color rgb="FFFFFFFF"/>
      <name val="Calibri Light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b/>
      <sz val="14"/>
      <color rgb="FFFFFFFF"/>
      <name val="Calibri"/>
    </font>
    <font>
      <sz val="11"/>
      <color rgb="FF000000"/>
      <name val="Calibri"/>
    </font>
    <font>
      <sz val="11"/>
      <name val="Calibri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C9C9C9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8EA9DB"/>
      </top>
      <bottom style="thin">
        <color rgb="FF000000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2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49" fontId="1" fillId="6" borderId="5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1" fillId="0" borderId="0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2" fillId="0" borderId="0" xfId="0" applyFont="1" applyAlignment="1">
      <alignment horizontal="center"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2" xfId="0" applyFont="1" applyFill="1" applyBorder="1" applyAlignment="1">
      <alignment vertical="center" wrapText="1"/>
    </xf>
    <xf numFmtId="2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/>
    </xf>
    <xf numFmtId="1" fontId="6" fillId="3" borderId="6" xfId="0" applyNumberFormat="1" applyFont="1" applyFill="1" applyBorder="1" applyAlignment="1">
      <alignment horizontal="center" vertical="center" wrapText="1"/>
    </xf>
    <xf numFmtId="1" fontId="6" fillId="7" borderId="6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14" fontId="1" fillId="2" borderId="8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4" fontId="1" fillId="2" borderId="16" xfId="0" applyNumberFormat="1" applyFont="1" applyFill="1" applyBorder="1" applyAlignment="1">
      <alignment horizontal="center" vertical="center" wrapText="1"/>
    </xf>
    <xf numFmtId="10" fontId="10" fillId="0" borderId="0" xfId="1" applyNumberFormat="1" applyFont="1" applyAlignment="1">
      <alignment horizontal="center" vertical="center"/>
    </xf>
    <xf numFmtId="10" fontId="8" fillId="5" borderId="5" xfId="1" applyNumberFormat="1" applyFont="1" applyFill="1" applyBorder="1" applyAlignment="1">
      <alignment horizontal="center" vertical="center" wrapText="1"/>
    </xf>
    <xf numFmtId="10" fontId="8" fillId="5" borderId="2" xfId="1" applyNumberFormat="1" applyFont="1" applyFill="1" applyBorder="1" applyAlignment="1">
      <alignment horizontal="center" vertical="center" wrapText="1"/>
    </xf>
    <xf numFmtId="0" fontId="8" fillId="5" borderId="17" xfId="0" applyFont="1" applyFill="1" applyBorder="1" applyAlignment="1" applyProtection="1">
      <alignment horizontal="center" vertical="center" wrapText="1"/>
      <protection locked="0"/>
    </xf>
    <xf numFmtId="14" fontId="8" fillId="5" borderId="17" xfId="0" applyNumberFormat="1" applyFont="1" applyFill="1" applyBorder="1" applyAlignment="1" applyProtection="1">
      <alignment horizontal="center" vertical="center" wrapText="1"/>
      <protection locked="0"/>
    </xf>
    <xf numFmtId="14" fontId="15" fillId="9" borderId="1" xfId="0" applyNumberFormat="1" applyFont="1" applyFill="1" applyBorder="1" applyAlignment="1">
      <alignment wrapText="1"/>
    </xf>
    <xf numFmtId="0" fontId="16" fillId="9" borderId="14" xfId="0" applyFont="1" applyFill="1" applyBorder="1" applyAlignment="1">
      <alignment wrapText="1"/>
    </xf>
    <xf numFmtId="0" fontId="15" fillId="9" borderId="16" xfId="0" applyFont="1" applyFill="1" applyBorder="1" applyAlignment="1">
      <alignment wrapText="1"/>
    </xf>
    <xf numFmtId="0" fontId="16" fillId="9" borderId="15" xfId="0" applyFont="1" applyFill="1" applyBorder="1" applyAlignment="1">
      <alignment wrapText="1"/>
    </xf>
    <xf numFmtId="0" fontId="15" fillId="9" borderId="5" xfId="0" applyFont="1" applyFill="1" applyBorder="1" applyAlignment="1">
      <alignment wrapText="1"/>
    </xf>
    <xf numFmtId="0" fontId="15" fillId="9" borderId="2" xfId="0" applyFont="1" applyFill="1" applyBorder="1" applyAlignment="1">
      <alignment wrapText="1"/>
    </xf>
    <xf numFmtId="14" fontId="15" fillId="9" borderId="2" xfId="0" applyNumberFormat="1" applyFont="1" applyFill="1" applyBorder="1" applyAlignment="1">
      <alignment wrapText="1"/>
    </xf>
    <xf numFmtId="0" fontId="16" fillId="9" borderId="12" xfId="0" applyFont="1" applyFill="1" applyBorder="1" applyAlignment="1">
      <alignment wrapText="1"/>
    </xf>
    <xf numFmtId="0" fontId="15" fillId="9" borderId="8" xfId="0" applyFont="1" applyFill="1" applyBorder="1" applyAlignment="1">
      <alignment wrapText="1"/>
    </xf>
    <xf numFmtId="0" fontId="16" fillId="9" borderId="13" xfId="0" applyFont="1" applyFill="1" applyBorder="1" applyAlignment="1">
      <alignment wrapText="1"/>
    </xf>
    <xf numFmtId="0" fontId="16" fillId="10" borderId="27" xfId="0" applyFont="1" applyFill="1" applyBorder="1" applyAlignment="1">
      <alignment wrapText="1"/>
    </xf>
    <xf numFmtId="0" fontId="16" fillId="10" borderId="28" xfId="0" applyFont="1" applyFill="1" applyBorder="1" applyAlignment="1">
      <alignment wrapText="1"/>
    </xf>
    <xf numFmtId="0" fontId="16" fillId="11" borderId="28" xfId="0" applyFont="1" applyFill="1" applyBorder="1" applyAlignment="1">
      <alignment wrapText="1"/>
    </xf>
    <xf numFmtId="0" fontId="16" fillId="13" borderId="28" xfId="0" applyFont="1" applyFill="1" applyBorder="1" applyAlignment="1">
      <alignment wrapText="1"/>
    </xf>
    <xf numFmtId="0" fontId="19" fillId="10" borderId="0" xfId="0" applyFont="1" applyFill="1" applyAlignment="1">
      <alignment wrapText="1"/>
    </xf>
    <xf numFmtId="0" fontId="20" fillId="14" borderId="0" xfId="0" applyFont="1" applyFill="1"/>
    <xf numFmtId="0" fontId="20" fillId="14" borderId="0" xfId="0" applyFont="1" applyFill="1" applyAlignment="1">
      <alignment wrapText="1"/>
    </xf>
    <xf numFmtId="14" fontId="20" fillId="14" borderId="0" xfId="0" applyNumberFormat="1" applyFont="1" applyFill="1"/>
    <xf numFmtId="0" fontId="20" fillId="14" borderId="29" xfId="0" applyFont="1" applyFill="1" applyBorder="1" applyAlignment="1">
      <alignment wrapText="1"/>
    </xf>
    <xf numFmtId="0" fontId="13" fillId="8" borderId="0" xfId="0" applyFont="1" applyFill="1" applyAlignment="1">
      <alignment wrapText="1"/>
    </xf>
    <xf numFmtId="0" fontId="20" fillId="17" borderId="29" xfId="0" applyFont="1" applyFill="1" applyBorder="1" applyAlignment="1">
      <alignment wrapText="1"/>
    </xf>
    <xf numFmtId="0" fontId="13" fillId="17" borderId="0" xfId="0" applyFont="1" applyFill="1"/>
    <xf numFmtId="0" fontId="20" fillId="17" borderId="0" xfId="0" applyFont="1" applyFill="1"/>
    <xf numFmtId="0" fontId="13" fillId="8" borderId="0" xfId="0" applyFont="1" applyFill="1"/>
    <xf numFmtId="14" fontId="13" fillId="8" borderId="0" xfId="0" applyNumberFormat="1" applyFont="1" applyFill="1"/>
    <xf numFmtId="0" fontId="20" fillId="18" borderId="29" xfId="0" applyFont="1" applyFill="1" applyBorder="1" applyAlignment="1">
      <alignment wrapText="1"/>
    </xf>
    <xf numFmtId="0" fontId="20" fillId="14" borderId="30" xfId="0" applyFont="1" applyFill="1" applyBorder="1"/>
    <xf numFmtId="0" fontId="13" fillId="15" borderId="0" xfId="0" applyFont="1" applyFill="1"/>
    <xf numFmtId="0" fontId="13" fillId="16" borderId="0" xfId="0" applyFont="1" applyFill="1"/>
    <xf numFmtId="0" fontId="13" fillId="16" borderId="30" xfId="0" applyFont="1" applyFill="1" applyBorder="1"/>
    <xf numFmtId="0" fontId="13" fillId="16" borderId="31" xfId="0" applyFont="1" applyFill="1" applyBorder="1"/>
    <xf numFmtId="0" fontId="19" fillId="19" borderId="0" xfId="0" applyFont="1" applyFill="1" applyAlignment="1">
      <alignment wrapText="1"/>
    </xf>
    <xf numFmtId="0" fontId="13" fillId="19" borderId="0" xfId="0" applyFont="1" applyFill="1"/>
    <xf numFmtId="0" fontId="13" fillId="19" borderId="30" xfId="0" applyFont="1" applyFill="1" applyBorder="1"/>
    <xf numFmtId="14" fontId="13" fillId="19" borderId="0" xfId="0" applyNumberFormat="1" applyFont="1" applyFill="1"/>
    <xf numFmtId="0" fontId="13" fillId="19" borderId="0" xfId="0" applyFont="1" applyFill="1" applyAlignment="1">
      <alignment wrapText="1"/>
    </xf>
    <xf numFmtId="0" fontId="20" fillId="19" borderId="0" xfId="0" applyFont="1" applyFill="1"/>
    <xf numFmtId="0" fontId="20" fillId="19" borderId="29" xfId="0" applyFont="1" applyFill="1" applyBorder="1" applyAlignment="1">
      <alignment wrapText="1"/>
    </xf>
    <xf numFmtId="0" fontId="21" fillId="10" borderId="0" xfId="0" applyFont="1" applyFill="1" applyAlignment="1">
      <alignment wrapText="1"/>
    </xf>
    <xf numFmtId="0" fontId="22" fillId="15" borderId="0" xfId="0" applyFont="1" applyFill="1"/>
    <xf numFmtId="0" fontId="22" fillId="16" borderId="0" xfId="0" applyFont="1" applyFill="1"/>
    <xf numFmtId="0" fontId="22" fillId="8" borderId="0" xfId="0" applyFont="1" applyFill="1"/>
    <xf numFmtId="14" fontId="22" fillId="8" borderId="0" xfId="0" applyNumberFormat="1" applyFont="1" applyFill="1"/>
    <xf numFmtId="0" fontId="23" fillId="8" borderId="0" xfId="0" applyFont="1" applyFill="1"/>
    <xf numFmtId="0" fontId="23" fillId="17" borderId="0" xfId="0" applyFont="1" applyFill="1"/>
    <xf numFmtId="0" fontId="22" fillId="17" borderId="0" xfId="0" applyFont="1" applyFill="1"/>
    <xf numFmtId="0" fontId="16" fillId="12" borderId="32" xfId="0" applyFont="1" applyFill="1" applyBorder="1" applyAlignment="1">
      <alignment wrapText="1"/>
    </xf>
    <xf numFmtId="0" fontId="13" fillId="8" borderId="30" xfId="0" applyFont="1" applyFill="1" applyBorder="1" applyAlignment="1">
      <alignment wrapText="1"/>
    </xf>
    <xf numFmtId="0" fontId="19" fillId="10" borderId="30" xfId="0" applyFont="1" applyFill="1" applyBorder="1" applyAlignment="1">
      <alignment wrapText="1"/>
    </xf>
    <xf numFmtId="0" fontId="13" fillId="15" borderId="30" xfId="0" applyFont="1" applyFill="1" applyBorder="1" applyAlignment="1">
      <alignment wrapText="1"/>
    </xf>
    <xf numFmtId="0" fontId="13" fillId="16" borderId="30" xfId="0" applyFont="1" applyFill="1" applyBorder="1" applyAlignment="1">
      <alignment wrapText="1"/>
    </xf>
    <xf numFmtId="14" fontId="13" fillId="8" borderId="30" xfId="0" applyNumberFormat="1" applyFont="1" applyFill="1" applyBorder="1" applyAlignment="1">
      <alignment wrapText="1"/>
    </xf>
    <xf numFmtId="0" fontId="19" fillId="10" borderId="33" xfId="0" applyFont="1" applyFill="1" applyBorder="1" applyAlignment="1">
      <alignment wrapText="1"/>
    </xf>
    <xf numFmtId="0" fontId="20" fillId="17" borderId="34" xfId="0" applyFont="1" applyFill="1" applyBorder="1" applyAlignment="1">
      <alignment wrapText="1"/>
    </xf>
    <xf numFmtId="0" fontId="13" fillId="0" borderId="0" xfId="0" applyFont="1"/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4" fontId="18" fillId="9" borderId="10" xfId="0" applyNumberFormat="1" applyFont="1" applyFill="1" applyBorder="1"/>
    <xf numFmtId="14" fontId="18" fillId="9" borderId="8" xfId="0" applyNumberFormat="1" applyFont="1" applyFill="1" applyBorder="1"/>
    <xf numFmtId="0" fontId="16" fillId="12" borderId="0" xfId="0" applyFont="1" applyFill="1" applyAlignment="1">
      <alignment wrapText="1"/>
    </xf>
    <xf numFmtId="0" fontId="13" fillId="15" borderId="0" xfId="0" applyFont="1" applyFill="1" applyAlignment="1">
      <alignment wrapText="1"/>
    </xf>
    <xf numFmtId="0" fontId="13" fillId="16" borderId="0" xfId="0" applyFont="1" applyFill="1" applyAlignment="1">
      <alignment wrapText="1"/>
    </xf>
    <xf numFmtId="14" fontId="13" fillId="8" borderId="0" xfId="0" applyNumberFormat="1" applyFont="1" applyFill="1" applyAlignment="1">
      <alignment wrapText="1"/>
    </xf>
    <xf numFmtId="0" fontId="20" fillId="17" borderId="0" xfId="0" applyFont="1" applyFill="1" applyAlignment="1">
      <alignment wrapText="1"/>
    </xf>
    <xf numFmtId="0" fontId="13" fillId="17" borderId="0" xfId="0" applyFont="1" applyFill="1" applyAlignment="1">
      <alignment wrapText="1"/>
    </xf>
    <xf numFmtId="14" fontId="13" fillId="17" borderId="0" xfId="0" applyNumberFormat="1" applyFont="1" applyFill="1" applyAlignment="1">
      <alignment wrapText="1"/>
    </xf>
    <xf numFmtId="0" fontId="20" fillId="8" borderId="0" xfId="0" applyFont="1" applyFill="1"/>
    <xf numFmtId="0" fontId="13" fillId="8" borderId="30" xfId="0" applyFont="1" applyFill="1" applyBorder="1"/>
    <xf numFmtId="0" fontId="20" fillId="8" borderId="30" xfId="0" applyFont="1" applyFill="1" applyBorder="1"/>
    <xf numFmtId="0" fontId="20" fillId="8" borderId="0" xfId="0" applyFont="1" applyFill="1" applyAlignment="1">
      <alignment wrapText="1"/>
    </xf>
    <xf numFmtId="0" fontId="13" fillId="15" borderId="33" xfId="0" applyFont="1" applyFill="1" applyBorder="1"/>
    <xf numFmtId="0" fontId="13" fillId="16" borderId="33" xfId="0" applyFont="1" applyFill="1" applyBorder="1"/>
    <xf numFmtId="0" fontId="13" fillId="8" borderId="33" xfId="0" applyFont="1" applyFill="1" applyBorder="1"/>
    <xf numFmtId="14" fontId="13" fillId="8" borderId="33" xfId="0" applyNumberFormat="1" applyFont="1" applyFill="1" applyBorder="1"/>
    <xf numFmtId="0" fontId="20" fillId="8" borderId="33" xfId="0" applyFont="1" applyFill="1" applyBorder="1"/>
    <xf numFmtId="0" fontId="13" fillId="20" borderId="0" xfId="0" applyFont="1" applyFill="1"/>
    <xf numFmtId="0" fontId="14" fillId="9" borderId="7" xfId="0" applyFont="1" applyFill="1" applyBorder="1" applyAlignment="1">
      <alignment wrapText="1"/>
    </xf>
    <xf numFmtId="0" fontId="14" fillId="9" borderId="18" xfId="0" applyFont="1" applyFill="1" applyBorder="1" applyAlignment="1">
      <alignment wrapText="1"/>
    </xf>
    <xf numFmtId="0" fontId="16" fillId="9" borderId="19" xfId="0" applyFont="1" applyFill="1" applyBorder="1" applyAlignment="1">
      <alignment wrapText="1"/>
    </xf>
    <xf numFmtId="0" fontId="16" fillId="9" borderId="20" xfId="0" applyFont="1" applyFill="1" applyBorder="1" applyAlignment="1">
      <alignment wrapText="1"/>
    </xf>
    <xf numFmtId="0" fontId="16" fillId="9" borderId="21" xfId="0" applyFont="1" applyFill="1" applyBorder="1" applyAlignment="1">
      <alignment wrapText="1"/>
    </xf>
    <xf numFmtId="0" fontId="17" fillId="9" borderId="9" xfId="0" applyFont="1" applyFill="1" applyBorder="1"/>
    <xf numFmtId="0" fontId="17" fillId="9" borderId="22" xfId="0" applyFont="1" applyFill="1" applyBorder="1"/>
    <xf numFmtId="0" fontId="17" fillId="9" borderId="11" xfId="0" applyFont="1" applyFill="1" applyBorder="1"/>
    <xf numFmtId="0" fontId="17" fillId="9" borderId="23" xfId="0" applyFont="1" applyFill="1" applyBorder="1"/>
    <xf numFmtId="0" fontId="16" fillId="9" borderId="24" xfId="0" applyFont="1" applyFill="1" applyBorder="1" applyAlignment="1">
      <alignment wrapText="1"/>
    </xf>
    <xf numFmtId="0" fontId="16" fillId="9" borderId="25" xfId="0" applyFont="1" applyFill="1" applyBorder="1" applyAlignment="1">
      <alignment wrapText="1"/>
    </xf>
    <xf numFmtId="0" fontId="16" fillId="9" borderId="26" xfId="0" applyFont="1" applyFill="1" applyBorder="1" applyAlignment="1">
      <alignment wrapText="1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22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X30" totalsRowShown="0" headerRowDxfId="21" dataDxfId="19" headerRowBorderDxfId="20" tableBorderDxfId="18">
  <autoFilter ref="A5:X30" xr:uid="{78EF7A30-4AE0-4BAB-A154-CAB8F3200FEE}"/>
  <tableColumns count="24">
    <tableColumn id="5" xr3:uid="{925033C0-1E6A-4B55-8C0E-2A01A64510A6}" name="Project/Activity Name"/>
    <tableColumn id="7" xr3:uid="{6FBB07DB-2F2B-4881-A3A5-1674E8B8B2E2}" name="Applicant"/>
    <tableColumn id="6" xr3:uid="{300F4350-CA5B-469F-AA6F-9F7F2B4E0266}" name="Regulator"/>
    <tableColumn id="13" xr3:uid="{99CAAD7D-055D-4DA1-9F66-6B629D0AC57F}" name="Activity Type"/>
    <tableColumn id="15" xr3:uid="{9F28C95D-8DD1-4830-80C5-B1015D46C787}" name="Which seasonal area of the SAC does this activity impact?"/>
    <tableColumn id="24" xr3:uid="{DDB37C96-B96B-4002-B571-80E7252C0D12}" name="Quad/Block_x000a_(OPRED only)"/>
    <tableColumn id="1" xr3:uid="{A6214B7B-6DF3-483F-848A-ABB549763EF4}" name="Case Reference"/>
    <tableColumn id="26" xr3:uid="{B6518643-A800-411D-ADAE-733D9D8F5E16}" name="Wildlife Licence Reference"/>
    <tableColumn id="4" xr3:uid="{840E864E-2B92-4F43-9F26-B212D5B1E390}" name="Case Status"/>
    <tableColumn id="3" xr3:uid="{DC4A56A0-494C-494C-B196-DFA8DA1E7F0C}" name="Tracker Last Updated"/>
    <tableColumn id="10" xr3:uid="{51F1810E-D4C4-410A-9E97-A9F1047E065D}" name="Start Date"/>
    <tableColumn id="11" xr3:uid="{AF6FE6ED-3C4F-4713-A7D7-324F967EAB9D}" name="End Date"/>
    <tableColumn id="12" xr3:uid="{4D9B6AB6-D613-4949-8C6D-6E933CC092F7}" name="Duration of Activity Impacting SAC (days)"/>
    <tableColumn id="25" xr3:uid="{A1C1BA4E-A0E2-4EFD-BC00-92236C8B8ACD}" name="Area Overlap with SAC (km2)"/>
    <tableColumn id="18" xr3:uid="{2FE19C17-2277-4F3C-9747-B4F55AD1B0B8}" name="Magnitude_x000a_(OPRED only)"/>
    <tableColumn id="8" xr3:uid="{6C246670-77CE-474B-AE5B-3CC1803742C7}" name="Abatement/Mitigation_x000a_(MMO only)"/>
    <tableColumn id="14" xr3:uid="{2A3EED6C-4C94-4FE9-879B-5E4DEEA3245D}" name="Any Other Comments"/>
    <tableColumn id="19" xr3:uid="{389684A2-0D5E-4DF1-9667-148D02562C30}" name="Include in assessment?"/>
    <tableColumn id="20" xr3:uid="{BB50393D-1123-467F-AF39-F4812EDE338E}" name="Include in Winter Calendar"/>
    <tableColumn id="27" xr3:uid="{290EBA14-D18C-4640-8C98-66B89D501692}" name="Include in Summer Calendar"/>
    <tableColumn id="28" xr3:uid="{1B31BC36-946B-4C90-9F87-01D58CE92AAB}" name="% of Winter SAC Impacted"/>
    <tableColumn id="21" xr3:uid="{AD75EAE0-D1EF-4AFA-9DBE-D304288E6A74}" name="% of Summer SAC Impacted"/>
    <tableColumn id="22" xr3:uid="{B7A85E4C-D39D-44E3-8CCD-826717278127}" name="TrackerID" dataDxfId="17">
      <calculatedColumnFormula>IF(Table13[[#This Row],[Include in Winter Calendar]],Table13[[#This Row],[Area Overlap with SAC (km2)]]*100/$M$2,0)</calculatedColumnFormula>
    </tableColumn>
    <tableColumn id="23" xr3:uid="{05BB8489-9861-4901-AF10-32C8B186B823}" name="TrackerID3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5">
  <autoFilter ref="B12:J51" xr:uid="{02B4AB80-8AC4-47D5-8C15-7A71D7753D4B}"/>
  <tableColumns count="9">
    <tableColumn id="1" xr3:uid="{89973DC1-CE94-4249-BAA1-87C40CF0932A}" name="Project name" dataDxfId="14">
      <calculatedColumnFormula>IFERROR(_xlfn.XLOOKUP(A13,Table13[TrackerID3],Table13[Project/Activity Name]),"")</calculatedColumnFormula>
    </tableColumn>
    <tableColumn id="2" xr3:uid="{3F54B527-6D35-48DF-9B5A-F52425B1A0BF}" name="Activity Type" dataDxfId="13">
      <calculatedColumnFormula>IFERROR(_xlfn.XLOOKUP(A13,Table13[TrackerID3],Table13[Activity Type]),"")</calculatedColumnFormula>
    </tableColumn>
    <tableColumn id="3" xr3:uid="{B9B4775D-287F-4987-A48A-F9A2D9397551}" name="Proposed Start Date" dataDxfId="12">
      <calculatedColumnFormula>IFERROR(_xlfn.XLOOKUP(A13,Table13[TrackerID3],Table13[Start Date]),"")</calculatedColumnFormula>
    </tableColumn>
    <tableColumn id="4" xr3:uid="{7F51CC69-4F0D-4AC1-AAF7-0D1D7DC1BE5F}" name="Proposed End Date" dataDxfId="11">
      <calculatedColumnFormula>IFERROR(_xlfn.XLOOKUP(A13,Table13[TrackerID3],Table13[End Date]),"")</calculatedColumnFormula>
    </tableColumn>
    <tableColumn id="5" xr3:uid="{C540FF98-981C-4A62-840F-411477A4FCD3}" name="Proposed days" dataDxfId="10">
      <calculatedColumnFormula>IFERROR(_xlfn.XLOOKUP(A13,Table13[TrackerID3],Table13[Duration of Activity Impacting SAC (days)]),"")</calculatedColumnFormula>
    </tableColumn>
    <tableColumn id="6" xr3:uid="{6946745A-C847-42CC-BF90-C703D45644D2}" name="Impact on SAC (km2)" dataDxfId="9">
      <calculatedColumnFormula array="1">IFERROR(_xlfn.XLOOKUP(A13,Table13[TrackerID3],IF(C2="Summer",Table13[Abatement/Mitigation
(MMO only)],Table13[Any Other Comments])),"")</calculatedColumnFormula>
    </tableColumn>
    <tableColumn id="7" xr3:uid="{5F47B047-ED83-4085-ADCA-C1093A901B5D}" name="Impact on SAC (%)" dataDxfId="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X30"/>
  <sheetViews>
    <sheetView tabSelected="1" zoomScale="60" zoomScaleNormal="60" workbookViewId="0">
      <pane ySplit="5" topLeftCell="A6" activePane="bottomLeft" state="frozen"/>
      <selection pane="bottomLeft" activeCell="I35" sqref="I35"/>
    </sheetView>
  </sheetViews>
  <sheetFormatPr defaultRowHeight="14.5" x14ac:dyDescent="0.35"/>
  <cols>
    <col min="1" max="1" width="68.7265625" style="11" customWidth="1"/>
    <col min="2" max="2" width="31.81640625" style="11" customWidth="1"/>
    <col min="3" max="3" width="19.7265625" style="11" bestFit="1" customWidth="1"/>
    <col min="4" max="4" width="18.54296875" style="11" bestFit="1" customWidth="1"/>
    <col min="5" max="5" width="21.7265625" style="11" customWidth="1"/>
    <col min="6" max="6" width="20.54296875" style="11" customWidth="1"/>
    <col min="7" max="7" width="26.453125" style="11" customWidth="1"/>
    <col min="8" max="8" width="19.26953125" style="11" customWidth="1"/>
    <col min="9" max="10" width="16.453125" style="11" customWidth="1"/>
    <col min="11" max="13" width="18.453125" style="11" customWidth="1"/>
    <col min="14" max="14" width="30" style="11" customWidth="1"/>
    <col min="15" max="15" width="18.453125" style="11" customWidth="1"/>
    <col min="16" max="17" width="18.453125" style="11" hidden="1" customWidth="1"/>
    <col min="18" max="18" width="22.26953125" customWidth="1"/>
    <col min="19" max="19" width="14.7265625" customWidth="1"/>
    <col min="20" max="21" width="16.54296875" hidden="1" customWidth="1"/>
    <col min="22" max="22" width="18.7265625" customWidth="1"/>
    <col min="23" max="23" width="21.54296875" customWidth="1"/>
    <col min="24" max="24" width="22.1796875" customWidth="1"/>
    <col min="25" max="25" width="16" customWidth="1"/>
  </cols>
  <sheetData>
    <row r="1" spans="1:24" ht="8.25" customHeight="1" x14ac:dyDescent="0.35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4" ht="62.65" customHeight="1" x14ac:dyDescent="0.45">
      <c r="A2" s="112" t="s">
        <v>0</v>
      </c>
      <c r="B2" s="91"/>
      <c r="C2" s="114" t="s">
        <v>1</v>
      </c>
      <c r="D2" s="115"/>
      <c r="E2" s="116"/>
      <c r="F2" s="92"/>
      <c r="G2" s="117" t="s">
        <v>2</v>
      </c>
      <c r="H2" s="93">
        <v>45931</v>
      </c>
      <c r="I2" s="119" t="s">
        <v>3</v>
      </c>
      <c r="J2" s="36">
        <v>46113</v>
      </c>
      <c r="K2" s="90"/>
      <c r="L2" s="37" t="s">
        <v>4</v>
      </c>
      <c r="M2" s="38">
        <v>27028</v>
      </c>
      <c r="N2" s="39" t="s">
        <v>5</v>
      </c>
      <c r="O2" s="40">
        <v>183</v>
      </c>
      <c r="P2" s="90"/>
      <c r="Q2" s="90"/>
      <c r="R2" s="90"/>
      <c r="S2" s="90"/>
      <c r="T2" s="90"/>
      <c r="U2" s="90"/>
      <c r="V2" s="90"/>
      <c r="W2" s="90"/>
    </row>
    <row r="3" spans="1:24" ht="61.15" customHeight="1" x14ac:dyDescent="0.45">
      <c r="A3" s="113"/>
      <c r="B3" s="91"/>
      <c r="C3" s="121" t="s">
        <v>6</v>
      </c>
      <c r="D3" s="122"/>
      <c r="E3" s="123"/>
      <c r="F3" s="92"/>
      <c r="G3" s="118"/>
      <c r="H3" s="94">
        <v>46112</v>
      </c>
      <c r="I3" s="120"/>
      <c r="J3" s="42">
        <v>46295</v>
      </c>
      <c r="K3" s="90"/>
      <c r="L3" s="43" t="s">
        <v>7</v>
      </c>
      <c r="M3" s="44">
        <v>12696</v>
      </c>
      <c r="N3" s="45" t="s">
        <v>8</v>
      </c>
      <c r="O3" s="41">
        <v>182</v>
      </c>
      <c r="P3" s="90"/>
      <c r="Q3" s="90"/>
      <c r="R3" s="90"/>
      <c r="S3" s="90"/>
      <c r="T3" s="90"/>
      <c r="U3" s="90"/>
      <c r="V3" s="90"/>
      <c r="W3" s="90"/>
    </row>
    <row r="4" spans="1:24" ht="30.65" customHeight="1" x14ac:dyDescent="0.3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</row>
    <row r="5" spans="1:24" s="4" customFormat="1" ht="74.150000000000006" customHeight="1" x14ac:dyDescent="0.35">
      <c r="A5" s="46" t="s">
        <v>9</v>
      </c>
      <c r="B5" s="47" t="s">
        <v>10</v>
      </c>
      <c r="C5" s="47" t="s">
        <v>11</v>
      </c>
      <c r="D5" s="47" t="s">
        <v>12</v>
      </c>
      <c r="E5" s="47" t="s">
        <v>13</v>
      </c>
      <c r="F5" s="47" t="s">
        <v>14</v>
      </c>
      <c r="G5" s="48" t="s">
        <v>15</v>
      </c>
      <c r="H5" s="48" t="s">
        <v>16</v>
      </c>
      <c r="I5" s="48" t="s">
        <v>17</v>
      </c>
      <c r="J5" s="95" t="s">
        <v>18</v>
      </c>
      <c r="K5" s="95" t="s">
        <v>19</v>
      </c>
      <c r="L5" s="95" t="s">
        <v>20</v>
      </c>
      <c r="M5" s="95" t="s">
        <v>21</v>
      </c>
      <c r="N5" s="95" t="s">
        <v>22</v>
      </c>
      <c r="O5" s="95" t="s">
        <v>23</v>
      </c>
      <c r="P5" s="95" t="s">
        <v>24</v>
      </c>
      <c r="Q5" s="95" t="s">
        <v>25</v>
      </c>
      <c r="R5" s="82" t="s">
        <v>26</v>
      </c>
      <c r="S5" s="49" t="s">
        <v>27</v>
      </c>
      <c r="T5" s="49" t="s">
        <v>28</v>
      </c>
      <c r="U5" s="49" t="s">
        <v>29</v>
      </c>
      <c r="V5" s="49" t="s">
        <v>30</v>
      </c>
      <c r="W5" s="49" t="s">
        <v>31</v>
      </c>
      <c r="X5" s="15" t="s">
        <v>32</v>
      </c>
    </row>
    <row r="6" spans="1:24" s="1" customFormat="1" ht="39" customHeight="1" x14ac:dyDescent="0.45">
      <c r="A6" s="50" t="s">
        <v>33</v>
      </c>
      <c r="B6" s="96" t="s">
        <v>34</v>
      </c>
      <c r="C6" s="96" t="s">
        <v>35</v>
      </c>
      <c r="D6" s="96" t="s">
        <v>36</v>
      </c>
      <c r="E6" s="96" t="s">
        <v>37</v>
      </c>
      <c r="F6" s="96"/>
      <c r="G6" s="97" t="s">
        <v>38</v>
      </c>
      <c r="H6" s="97"/>
      <c r="I6" s="97" t="s">
        <v>39</v>
      </c>
      <c r="J6" s="98">
        <v>45986</v>
      </c>
      <c r="K6" s="98">
        <v>45764</v>
      </c>
      <c r="L6" s="98">
        <v>46295</v>
      </c>
      <c r="M6" s="55">
        <v>100</v>
      </c>
      <c r="N6" s="55">
        <v>1927</v>
      </c>
      <c r="O6" s="55"/>
      <c r="P6" s="55"/>
      <c r="Q6" s="55"/>
      <c r="R6" s="55" t="s">
        <v>40</v>
      </c>
      <c r="S6" s="99" t="b">
        <v>1</v>
      </c>
      <c r="T6" s="100" t="b">
        <v>1</v>
      </c>
      <c r="U6" s="99">
        <v>15.18</v>
      </c>
      <c r="V6" s="99">
        <v>7.13</v>
      </c>
      <c r="W6" s="56">
        <v>10</v>
      </c>
      <c r="X6" s="26">
        <v>6</v>
      </c>
    </row>
    <row r="7" spans="1:24" s="1" customFormat="1" ht="39" customHeight="1" x14ac:dyDescent="0.45">
      <c r="A7" s="50" t="s">
        <v>41</v>
      </c>
      <c r="B7" s="96" t="s">
        <v>34</v>
      </c>
      <c r="C7" s="96" t="s">
        <v>35</v>
      </c>
      <c r="D7" s="96" t="s">
        <v>42</v>
      </c>
      <c r="E7" s="96" t="s">
        <v>37</v>
      </c>
      <c r="F7" s="96"/>
      <c r="G7" s="97" t="s">
        <v>38</v>
      </c>
      <c r="H7" s="97"/>
      <c r="I7" s="97" t="s">
        <v>39</v>
      </c>
      <c r="J7" s="98">
        <v>45986</v>
      </c>
      <c r="K7" s="98">
        <v>45798</v>
      </c>
      <c r="L7" s="98">
        <v>46295</v>
      </c>
      <c r="M7" s="55">
        <v>100</v>
      </c>
      <c r="N7" s="55"/>
      <c r="O7" s="55"/>
      <c r="P7" s="55" t="s">
        <v>43</v>
      </c>
      <c r="Q7" s="55" t="s">
        <v>44</v>
      </c>
      <c r="R7" s="55" t="s">
        <v>40</v>
      </c>
      <c r="S7" s="99" t="b">
        <v>1</v>
      </c>
      <c r="T7" s="100" t="b">
        <v>1</v>
      </c>
      <c r="U7" s="99">
        <v>0</v>
      </c>
      <c r="V7" s="99">
        <v>0</v>
      </c>
      <c r="W7" s="56">
        <v>11</v>
      </c>
      <c r="X7" s="25">
        <v>7</v>
      </c>
    </row>
    <row r="8" spans="1:24" s="1" customFormat="1" ht="39" customHeight="1" x14ac:dyDescent="0.45">
      <c r="A8" s="50" t="s">
        <v>45</v>
      </c>
      <c r="B8" s="100" t="s">
        <v>46</v>
      </c>
      <c r="C8" s="100" t="s">
        <v>47</v>
      </c>
      <c r="D8" s="100" t="s">
        <v>48</v>
      </c>
      <c r="E8" s="100" t="s">
        <v>49</v>
      </c>
      <c r="F8" s="100" t="s">
        <v>50</v>
      </c>
      <c r="G8" s="100" t="s">
        <v>51</v>
      </c>
      <c r="H8" s="100"/>
      <c r="I8" s="100" t="s">
        <v>52</v>
      </c>
      <c r="J8" s="101">
        <v>45853</v>
      </c>
      <c r="K8" s="101">
        <v>45901</v>
      </c>
      <c r="L8" s="101">
        <v>46112</v>
      </c>
      <c r="M8" s="100">
        <v>3</v>
      </c>
      <c r="N8" s="100">
        <v>586</v>
      </c>
      <c r="O8" s="100" t="s">
        <v>53</v>
      </c>
      <c r="P8" s="100"/>
      <c r="Q8" s="100" t="s">
        <v>54</v>
      </c>
      <c r="R8" s="100" t="s">
        <v>40</v>
      </c>
      <c r="S8" s="99" t="b">
        <v>0</v>
      </c>
      <c r="T8" s="57" t="b">
        <v>0</v>
      </c>
      <c r="U8" s="58">
        <v>0</v>
      </c>
      <c r="V8" s="58">
        <v>0</v>
      </c>
      <c r="W8" s="56">
        <v>30</v>
      </c>
      <c r="X8" s="26">
        <v>9</v>
      </c>
    </row>
    <row r="9" spans="1:24" s="1" customFormat="1" ht="39" customHeight="1" x14ac:dyDescent="0.45">
      <c r="A9" s="50" t="s">
        <v>55</v>
      </c>
      <c r="B9" s="96" t="s">
        <v>56</v>
      </c>
      <c r="C9" s="96" t="s">
        <v>35</v>
      </c>
      <c r="D9" s="96" t="s">
        <v>48</v>
      </c>
      <c r="E9" s="96" t="s">
        <v>57</v>
      </c>
      <c r="F9" s="96"/>
      <c r="G9" s="97" t="s">
        <v>58</v>
      </c>
      <c r="H9" s="97"/>
      <c r="I9" s="97" t="s">
        <v>39</v>
      </c>
      <c r="J9" s="98">
        <v>45853</v>
      </c>
      <c r="K9" s="60">
        <v>45566</v>
      </c>
      <c r="L9" s="60">
        <v>46904</v>
      </c>
      <c r="M9" s="59">
        <v>0</v>
      </c>
      <c r="N9" s="59">
        <v>133.37</v>
      </c>
      <c r="O9" s="55"/>
      <c r="P9" s="55"/>
      <c r="Q9" s="55" t="s">
        <v>59</v>
      </c>
      <c r="R9" s="55" t="s">
        <v>40</v>
      </c>
      <c r="S9" s="99" t="b">
        <v>0</v>
      </c>
      <c r="T9" s="57" t="b">
        <v>1</v>
      </c>
      <c r="U9" s="58">
        <v>0</v>
      </c>
      <c r="V9" s="58">
        <v>0.49</v>
      </c>
      <c r="W9" s="61">
        <v>33</v>
      </c>
      <c r="X9" s="25">
        <v>10</v>
      </c>
    </row>
    <row r="10" spans="1:24" s="1" customFormat="1" ht="39" customHeight="1" x14ac:dyDescent="0.45">
      <c r="A10" s="50" t="s">
        <v>60</v>
      </c>
      <c r="B10" s="63" t="s">
        <v>61</v>
      </c>
      <c r="C10" s="63" t="s">
        <v>35</v>
      </c>
      <c r="D10" s="63" t="s">
        <v>62</v>
      </c>
      <c r="E10" s="63" t="s">
        <v>49</v>
      </c>
      <c r="F10" s="63"/>
      <c r="G10" s="64" t="s">
        <v>63</v>
      </c>
      <c r="H10" s="65"/>
      <c r="I10" s="66" t="s">
        <v>64</v>
      </c>
      <c r="J10" s="60">
        <v>45951</v>
      </c>
      <c r="K10" s="60">
        <v>45962</v>
      </c>
      <c r="L10" s="60">
        <v>46111</v>
      </c>
      <c r="M10" s="59">
        <v>55</v>
      </c>
      <c r="N10" s="59">
        <v>0.1</v>
      </c>
      <c r="O10" s="59"/>
      <c r="P10" s="55" t="s">
        <v>65</v>
      </c>
      <c r="Q10" s="55" t="s">
        <v>66</v>
      </c>
      <c r="R10" s="59" t="s">
        <v>67</v>
      </c>
      <c r="S10" s="58" t="b">
        <v>1</v>
      </c>
      <c r="T10" s="57" t="b">
        <v>0</v>
      </c>
      <c r="U10" s="58">
        <v>0</v>
      </c>
      <c r="V10" s="58">
        <v>0</v>
      </c>
      <c r="W10" s="56">
        <v>53</v>
      </c>
      <c r="X10" s="25">
        <v>14</v>
      </c>
    </row>
    <row r="11" spans="1:24" ht="39" customHeight="1" x14ac:dyDescent="0.45">
      <c r="A11" s="50" t="s">
        <v>60</v>
      </c>
      <c r="B11" s="63" t="s">
        <v>61</v>
      </c>
      <c r="C11" s="63" t="s">
        <v>35</v>
      </c>
      <c r="D11" s="63" t="s">
        <v>62</v>
      </c>
      <c r="E11" s="63" t="s">
        <v>49</v>
      </c>
      <c r="F11" s="63"/>
      <c r="G11" s="64" t="s">
        <v>63</v>
      </c>
      <c r="H11" s="65"/>
      <c r="I11" s="64" t="s">
        <v>64</v>
      </c>
      <c r="J11" s="60">
        <v>45951</v>
      </c>
      <c r="K11" s="60">
        <v>46142</v>
      </c>
      <c r="L11" s="60">
        <v>46446</v>
      </c>
      <c r="M11" s="59">
        <v>30</v>
      </c>
      <c r="N11" s="59">
        <v>0.1</v>
      </c>
      <c r="O11" s="59"/>
      <c r="P11" s="55" t="s">
        <v>65</v>
      </c>
      <c r="Q11" s="55" t="s">
        <v>68</v>
      </c>
      <c r="R11" s="59" t="s">
        <v>67</v>
      </c>
      <c r="S11" s="58" t="b">
        <v>1</v>
      </c>
      <c r="T11" s="57" t="b">
        <v>0</v>
      </c>
      <c r="U11" s="58">
        <v>0</v>
      </c>
      <c r="V11" s="58">
        <v>0</v>
      </c>
      <c r="W11" s="61">
        <v>54</v>
      </c>
      <c r="X11" s="25">
        <v>17</v>
      </c>
    </row>
    <row r="12" spans="1:24" s="3" customFormat="1" ht="39" customHeight="1" x14ac:dyDescent="0.45">
      <c r="A12" s="50" t="s">
        <v>69</v>
      </c>
      <c r="B12" s="63" t="s">
        <v>70</v>
      </c>
      <c r="C12" s="63" t="s">
        <v>47</v>
      </c>
      <c r="D12" s="63" t="s">
        <v>71</v>
      </c>
      <c r="E12" s="63" t="s">
        <v>57</v>
      </c>
      <c r="F12" s="63"/>
      <c r="G12" s="111"/>
      <c r="H12" s="64"/>
      <c r="I12" s="64" t="s">
        <v>64</v>
      </c>
      <c r="J12" s="60">
        <v>45908</v>
      </c>
      <c r="K12" s="60">
        <v>46204</v>
      </c>
      <c r="L12" s="60">
        <v>46295</v>
      </c>
      <c r="M12" s="59">
        <v>3</v>
      </c>
      <c r="N12" s="59">
        <v>78.540000000000006</v>
      </c>
      <c r="O12" s="59"/>
      <c r="P12" s="55" t="s">
        <v>72</v>
      </c>
      <c r="Q12" s="55" t="s">
        <v>73</v>
      </c>
      <c r="R12" s="59" t="s">
        <v>67</v>
      </c>
      <c r="S12" s="58" t="b">
        <v>0</v>
      </c>
      <c r="T12" s="57" t="b">
        <v>1</v>
      </c>
      <c r="U12" s="58">
        <v>0</v>
      </c>
      <c r="V12" s="58">
        <v>0.28999999999999998</v>
      </c>
      <c r="W12" s="56">
        <v>56</v>
      </c>
      <c r="X12" s="25">
        <v>22</v>
      </c>
    </row>
    <row r="13" spans="1:24" ht="39" customHeight="1" x14ac:dyDescent="0.45">
      <c r="A13" s="50" t="s">
        <v>74</v>
      </c>
      <c r="B13" s="63" t="s">
        <v>75</v>
      </c>
      <c r="C13" s="63" t="s">
        <v>47</v>
      </c>
      <c r="D13" s="63" t="s">
        <v>71</v>
      </c>
      <c r="E13" s="63" t="s">
        <v>57</v>
      </c>
      <c r="F13" s="63"/>
      <c r="G13" s="111"/>
      <c r="H13" s="65"/>
      <c r="I13" s="64" t="s">
        <v>64</v>
      </c>
      <c r="J13" s="60">
        <v>45908</v>
      </c>
      <c r="K13" s="60">
        <v>46141</v>
      </c>
      <c r="L13" s="60">
        <v>46151</v>
      </c>
      <c r="M13" s="59">
        <v>3</v>
      </c>
      <c r="N13" s="59">
        <v>78.540000000000006</v>
      </c>
      <c r="O13" s="59"/>
      <c r="P13" s="55" t="s">
        <v>72</v>
      </c>
      <c r="Q13" s="59" t="s">
        <v>73</v>
      </c>
      <c r="R13" s="59" t="s">
        <v>67</v>
      </c>
      <c r="S13" s="58" t="b">
        <v>0</v>
      </c>
      <c r="T13" s="57" t="b">
        <v>1</v>
      </c>
      <c r="U13" s="58">
        <v>0</v>
      </c>
      <c r="V13" s="58">
        <v>0.28999999999999998</v>
      </c>
      <c r="W13" s="61">
        <v>57</v>
      </c>
      <c r="X13" s="25">
        <v>23</v>
      </c>
    </row>
    <row r="14" spans="1:24" s="3" customFormat="1" ht="39" customHeight="1" x14ac:dyDescent="0.45">
      <c r="A14" s="50" t="s">
        <v>76</v>
      </c>
      <c r="B14" s="63" t="s">
        <v>77</v>
      </c>
      <c r="C14" s="63" t="s">
        <v>47</v>
      </c>
      <c r="D14" s="63" t="s">
        <v>78</v>
      </c>
      <c r="E14" s="63" t="s">
        <v>57</v>
      </c>
      <c r="F14" s="63"/>
      <c r="G14" s="111"/>
      <c r="H14" s="64"/>
      <c r="I14" s="64" t="s">
        <v>64</v>
      </c>
      <c r="J14" s="60">
        <v>45966</v>
      </c>
      <c r="K14" s="60">
        <v>46113</v>
      </c>
      <c r="L14" s="60">
        <v>46295</v>
      </c>
      <c r="M14" s="59">
        <v>10</v>
      </c>
      <c r="N14" s="59">
        <v>100</v>
      </c>
      <c r="O14" s="59"/>
      <c r="P14" s="55" t="s">
        <v>79</v>
      </c>
      <c r="Q14" s="55" t="s">
        <v>80</v>
      </c>
      <c r="R14" s="59" t="s">
        <v>67</v>
      </c>
      <c r="S14" s="58" t="b">
        <v>0</v>
      </c>
      <c r="T14" s="57" t="b">
        <v>1</v>
      </c>
      <c r="U14" s="58">
        <v>0</v>
      </c>
      <c r="V14" s="58">
        <v>0.37</v>
      </c>
      <c r="W14" s="56">
        <v>65</v>
      </c>
      <c r="X14" s="25">
        <v>32</v>
      </c>
    </row>
    <row r="15" spans="1:24" s="3" customFormat="1" ht="39" customHeight="1" x14ac:dyDescent="0.45">
      <c r="A15" s="50" t="s">
        <v>81</v>
      </c>
      <c r="B15" s="63" t="s">
        <v>77</v>
      </c>
      <c r="C15" s="63" t="s">
        <v>47</v>
      </c>
      <c r="D15" s="63" t="s">
        <v>82</v>
      </c>
      <c r="E15" s="63" t="s">
        <v>57</v>
      </c>
      <c r="F15" s="63"/>
      <c r="G15" s="111"/>
      <c r="H15" s="64"/>
      <c r="I15" s="64" t="s">
        <v>64</v>
      </c>
      <c r="J15" s="60">
        <v>45966</v>
      </c>
      <c r="K15" s="60">
        <v>46113</v>
      </c>
      <c r="L15" s="60">
        <v>46295</v>
      </c>
      <c r="M15" s="59">
        <v>3</v>
      </c>
      <c r="N15" s="59">
        <v>1950</v>
      </c>
      <c r="O15" s="59"/>
      <c r="P15" s="55" t="s">
        <v>79</v>
      </c>
      <c r="Q15" s="55" t="s">
        <v>83</v>
      </c>
      <c r="R15" s="59" t="s">
        <v>67</v>
      </c>
      <c r="S15" s="58" t="b">
        <v>0</v>
      </c>
      <c r="T15" s="57" t="b">
        <v>1</v>
      </c>
      <c r="U15" s="58">
        <v>0</v>
      </c>
      <c r="V15" s="58">
        <v>7.21</v>
      </c>
      <c r="W15" s="61">
        <v>66</v>
      </c>
      <c r="X15" s="26">
        <v>33</v>
      </c>
    </row>
    <row r="16" spans="1:24" s="3" customFormat="1" ht="46.5" customHeight="1" x14ac:dyDescent="0.45">
      <c r="A16" s="50" t="s">
        <v>84</v>
      </c>
      <c r="B16" s="63" t="s">
        <v>77</v>
      </c>
      <c r="C16" s="63" t="s">
        <v>47</v>
      </c>
      <c r="D16" s="63" t="s">
        <v>48</v>
      </c>
      <c r="E16" s="63" t="s">
        <v>57</v>
      </c>
      <c r="F16" s="63"/>
      <c r="G16" s="111"/>
      <c r="H16" s="64"/>
      <c r="I16" s="64" t="s">
        <v>64</v>
      </c>
      <c r="J16" s="60">
        <v>45966</v>
      </c>
      <c r="K16" s="60">
        <v>46143</v>
      </c>
      <c r="L16" s="60">
        <v>46203</v>
      </c>
      <c r="M16" s="59">
        <v>5</v>
      </c>
      <c r="N16" s="59">
        <v>650</v>
      </c>
      <c r="O16" s="59"/>
      <c r="P16" s="55" t="s">
        <v>79</v>
      </c>
      <c r="Q16" s="55"/>
      <c r="R16" s="59" t="s">
        <v>67</v>
      </c>
      <c r="S16" s="58" t="b">
        <v>0</v>
      </c>
      <c r="T16" s="57" t="b">
        <v>1</v>
      </c>
      <c r="U16" s="58">
        <v>0</v>
      </c>
      <c r="V16" s="58">
        <v>2.4</v>
      </c>
      <c r="W16" s="56">
        <v>67</v>
      </c>
      <c r="X16" s="26">
        <v>36</v>
      </c>
    </row>
    <row r="17" spans="1:24" ht="39" customHeight="1" x14ac:dyDescent="0.45">
      <c r="A17" s="50" t="s">
        <v>85</v>
      </c>
      <c r="B17" s="63" t="s">
        <v>77</v>
      </c>
      <c r="C17" s="63" t="s">
        <v>47</v>
      </c>
      <c r="D17" s="63" t="s">
        <v>86</v>
      </c>
      <c r="E17" s="63" t="s">
        <v>57</v>
      </c>
      <c r="F17" s="63"/>
      <c r="G17" s="111"/>
      <c r="H17" s="64"/>
      <c r="I17" s="64" t="s">
        <v>64</v>
      </c>
      <c r="J17" s="60">
        <v>45966</v>
      </c>
      <c r="K17" s="60">
        <v>46113</v>
      </c>
      <c r="L17" s="60">
        <v>46295</v>
      </c>
      <c r="M17" s="59">
        <v>3</v>
      </c>
      <c r="N17" s="59">
        <v>450</v>
      </c>
      <c r="O17" s="59"/>
      <c r="P17" s="55" t="s">
        <v>87</v>
      </c>
      <c r="Q17" s="55"/>
      <c r="R17" s="59" t="s">
        <v>67</v>
      </c>
      <c r="S17" s="58" t="b">
        <v>0</v>
      </c>
      <c r="T17" s="57" t="b">
        <v>1</v>
      </c>
      <c r="U17" s="58">
        <v>0</v>
      </c>
      <c r="V17" s="58">
        <v>1.66</v>
      </c>
      <c r="W17" s="56">
        <v>70</v>
      </c>
      <c r="X17" s="25">
        <v>40</v>
      </c>
    </row>
    <row r="18" spans="1:24" ht="39" customHeight="1" x14ac:dyDescent="0.45">
      <c r="A18" s="50" t="s">
        <v>88</v>
      </c>
      <c r="B18" s="63" t="s">
        <v>77</v>
      </c>
      <c r="C18" s="63" t="s">
        <v>47</v>
      </c>
      <c r="D18" s="63" t="s">
        <v>86</v>
      </c>
      <c r="E18" s="63" t="s">
        <v>57</v>
      </c>
      <c r="F18" s="63"/>
      <c r="G18" s="111"/>
      <c r="H18" s="64"/>
      <c r="I18" s="64" t="s">
        <v>64</v>
      </c>
      <c r="J18" s="60">
        <v>45966</v>
      </c>
      <c r="K18" s="60">
        <v>46113</v>
      </c>
      <c r="L18" s="60">
        <v>46203</v>
      </c>
      <c r="M18" s="59">
        <v>2</v>
      </c>
      <c r="N18" s="59">
        <v>800</v>
      </c>
      <c r="O18" s="59"/>
      <c r="P18" s="55" t="s">
        <v>89</v>
      </c>
      <c r="Q18" s="55"/>
      <c r="R18" s="59" t="s">
        <v>67</v>
      </c>
      <c r="S18" s="58" t="b">
        <v>0</v>
      </c>
      <c r="T18" s="57" t="b">
        <v>1</v>
      </c>
      <c r="U18" s="58">
        <v>0</v>
      </c>
      <c r="V18" s="58">
        <v>2.96</v>
      </c>
      <c r="W18" s="56">
        <v>71</v>
      </c>
      <c r="X18" s="25">
        <v>46</v>
      </c>
    </row>
    <row r="19" spans="1:24" ht="39" customHeight="1" x14ac:dyDescent="0.45">
      <c r="A19" s="50" t="s">
        <v>90</v>
      </c>
      <c r="B19" s="63" t="s">
        <v>91</v>
      </c>
      <c r="C19" s="63" t="s">
        <v>35</v>
      </c>
      <c r="D19" s="63" t="s">
        <v>82</v>
      </c>
      <c r="E19" s="63" t="s">
        <v>57</v>
      </c>
      <c r="F19" s="63"/>
      <c r="G19" s="64" t="s">
        <v>92</v>
      </c>
      <c r="H19" s="64"/>
      <c r="I19" s="64" t="s">
        <v>64</v>
      </c>
      <c r="J19" s="60">
        <v>45951</v>
      </c>
      <c r="K19" s="60">
        <v>46113</v>
      </c>
      <c r="L19" s="60">
        <v>46233</v>
      </c>
      <c r="M19" s="59">
        <v>1</v>
      </c>
      <c r="N19" s="59">
        <v>380.13</v>
      </c>
      <c r="O19" s="59"/>
      <c r="P19" s="55"/>
      <c r="Q19" s="55" t="s">
        <v>93</v>
      </c>
      <c r="R19" s="102" t="s">
        <v>40</v>
      </c>
      <c r="S19" s="58" t="b">
        <v>0</v>
      </c>
      <c r="T19" s="57" t="b">
        <v>1</v>
      </c>
      <c r="U19" s="58">
        <v>0</v>
      </c>
      <c r="V19" s="58">
        <v>1.41</v>
      </c>
      <c r="W19" s="56">
        <v>73</v>
      </c>
      <c r="X19" s="26">
        <v>48</v>
      </c>
    </row>
    <row r="20" spans="1:24" ht="39" customHeight="1" x14ac:dyDescent="0.45">
      <c r="A20" s="50" t="s">
        <v>94</v>
      </c>
      <c r="B20" s="63" t="s">
        <v>34</v>
      </c>
      <c r="C20" s="63" t="s">
        <v>35</v>
      </c>
      <c r="D20" s="63" t="s">
        <v>42</v>
      </c>
      <c r="E20" s="63" t="s">
        <v>37</v>
      </c>
      <c r="F20" s="63"/>
      <c r="G20" s="64" t="s">
        <v>38</v>
      </c>
      <c r="H20" s="64"/>
      <c r="I20" s="64" t="s">
        <v>39</v>
      </c>
      <c r="J20" s="60">
        <v>45986</v>
      </c>
      <c r="K20" s="60">
        <v>45798</v>
      </c>
      <c r="L20" s="98">
        <v>46295</v>
      </c>
      <c r="M20" s="59">
        <v>100</v>
      </c>
      <c r="N20" s="59"/>
      <c r="O20" s="59"/>
      <c r="P20" s="59" t="s">
        <v>43</v>
      </c>
      <c r="Q20" s="55" t="s">
        <v>95</v>
      </c>
      <c r="R20" s="102" t="s">
        <v>40</v>
      </c>
      <c r="S20" s="58" t="b">
        <v>1</v>
      </c>
      <c r="T20" s="57" t="b">
        <v>1</v>
      </c>
      <c r="U20" s="58">
        <v>0</v>
      </c>
      <c r="V20" s="58">
        <v>0</v>
      </c>
      <c r="W20" s="56">
        <v>74</v>
      </c>
      <c r="X20" s="25">
        <v>49</v>
      </c>
    </row>
    <row r="21" spans="1:24" ht="39" customHeight="1" x14ac:dyDescent="0.45">
      <c r="A21" s="50" t="s">
        <v>90</v>
      </c>
      <c r="B21" s="63" t="s">
        <v>91</v>
      </c>
      <c r="C21" s="63" t="s">
        <v>35</v>
      </c>
      <c r="D21" s="63" t="s">
        <v>82</v>
      </c>
      <c r="E21" s="63" t="s">
        <v>57</v>
      </c>
      <c r="F21" s="63"/>
      <c r="G21" s="64" t="s">
        <v>92</v>
      </c>
      <c r="H21" s="65"/>
      <c r="I21" s="64" t="s">
        <v>64</v>
      </c>
      <c r="J21" s="60">
        <v>45951</v>
      </c>
      <c r="K21" s="60">
        <v>46113</v>
      </c>
      <c r="L21" s="60">
        <v>46233</v>
      </c>
      <c r="M21" s="103">
        <v>1</v>
      </c>
      <c r="N21" s="103">
        <v>380.13</v>
      </c>
      <c r="O21" s="59"/>
      <c r="P21" s="55"/>
      <c r="Q21" s="83" t="s">
        <v>93</v>
      </c>
      <c r="R21" s="104" t="s">
        <v>40</v>
      </c>
      <c r="S21" s="58" t="b">
        <v>0</v>
      </c>
      <c r="T21" s="57" t="b">
        <v>1</v>
      </c>
      <c r="U21" s="58">
        <v>0</v>
      </c>
      <c r="V21" s="58">
        <v>1.41</v>
      </c>
      <c r="W21" s="61">
        <v>75</v>
      </c>
      <c r="X21" s="26">
        <v>51</v>
      </c>
    </row>
    <row r="22" spans="1:24" ht="39" customHeight="1" x14ac:dyDescent="0.45">
      <c r="A22" s="84" t="s">
        <v>96</v>
      </c>
      <c r="B22" s="85" t="s">
        <v>97</v>
      </c>
      <c r="C22" s="85" t="s">
        <v>35</v>
      </c>
      <c r="D22" s="85" t="s">
        <v>78</v>
      </c>
      <c r="E22" s="85" t="s">
        <v>57</v>
      </c>
      <c r="F22" s="85"/>
      <c r="G22" s="86" t="s">
        <v>98</v>
      </c>
      <c r="H22" s="86"/>
      <c r="I22" s="86" t="s">
        <v>64</v>
      </c>
      <c r="J22" s="87">
        <v>45993</v>
      </c>
      <c r="K22" s="87">
        <v>45992</v>
      </c>
      <c r="L22" s="87">
        <v>47026</v>
      </c>
      <c r="M22" s="83">
        <v>9</v>
      </c>
      <c r="N22" s="83">
        <v>79</v>
      </c>
      <c r="O22" s="83"/>
      <c r="P22" s="83" t="s">
        <v>99</v>
      </c>
      <c r="Q22" s="55" t="s">
        <v>100</v>
      </c>
      <c r="R22" s="105" t="s">
        <v>40</v>
      </c>
      <c r="S22" s="99" t="b">
        <v>0</v>
      </c>
      <c r="T22" s="100" t="b">
        <v>1</v>
      </c>
      <c r="U22" s="99">
        <v>0</v>
      </c>
      <c r="V22" s="99">
        <v>0.28999999999999998</v>
      </c>
      <c r="W22" s="56"/>
      <c r="X22" s="25">
        <v>52</v>
      </c>
    </row>
    <row r="23" spans="1:24" ht="18.5" x14ac:dyDescent="0.45">
      <c r="A23" s="88" t="s">
        <v>101</v>
      </c>
      <c r="B23" s="106" t="s">
        <v>102</v>
      </c>
      <c r="C23" s="106" t="s">
        <v>47</v>
      </c>
      <c r="D23" s="106" t="s">
        <v>71</v>
      </c>
      <c r="E23" s="106" t="s">
        <v>57</v>
      </c>
      <c r="F23" s="106" t="s">
        <v>103</v>
      </c>
      <c r="G23" s="107" t="s">
        <v>104</v>
      </c>
      <c r="H23" s="107" t="s">
        <v>105</v>
      </c>
      <c r="I23" s="107" t="s">
        <v>39</v>
      </c>
      <c r="J23" s="108"/>
      <c r="K23" s="109">
        <v>46083</v>
      </c>
      <c r="L23" s="109">
        <v>46173</v>
      </c>
      <c r="M23" s="108">
        <v>1</v>
      </c>
      <c r="N23" s="108">
        <v>78.540000000000006</v>
      </c>
      <c r="O23" s="108" t="s">
        <v>105</v>
      </c>
      <c r="P23" s="108"/>
      <c r="Q23" s="108"/>
      <c r="R23" s="110" t="s">
        <v>67</v>
      </c>
      <c r="S23" s="58" t="b">
        <v>0</v>
      </c>
      <c r="T23" s="57" t="b">
        <v>1</v>
      </c>
      <c r="U23" s="58">
        <v>0</v>
      </c>
      <c r="V23" s="58">
        <v>0.28999999999999998</v>
      </c>
      <c r="W23" s="89">
        <v>57</v>
      </c>
      <c r="X23" s="25">
        <v>53</v>
      </c>
    </row>
    <row r="24" spans="1:24" ht="44.5" x14ac:dyDescent="0.45">
      <c r="A24" s="50" t="s">
        <v>60</v>
      </c>
      <c r="B24" s="63" t="s">
        <v>61</v>
      </c>
      <c r="C24" s="63" t="s">
        <v>35</v>
      </c>
      <c r="D24" s="63" t="s">
        <v>62</v>
      </c>
      <c r="E24" s="63" t="s">
        <v>49</v>
      </c>
      <c r="F24" s="63"/>
      <c r="G24" s="64" t="s">
        <v>63</v>
      </c>
      <c r="H24" s="65"/>
      <c r="I24" s="66" t="s">
        <v>64</v>
      </c>
      <c r="J24" s="60">
        <v>45951</v>
      </c>
      <c r="K24" s="60">
        <v>45962</v>
      </c>
      <c r="L24" s="60">
        <v>46111</v>
      </c>
      <c r="M24" s="59">
        <v>55</v>
      </c>
      <c r="N24" s="59">
        <v>0.1</v>
      </c>
      <c r="O24" s="59"/>
      <c r="P24" s="55" t="s">
        <v>65</v>
      </c>
      <c r="Q24" s="55" t="s">
        <v>66</v>
      </c>
      <c r="R24" s="58" t="b">
        <v>1</v>
      </c>
      <c r="S24" s="57" t="b">
        <v>0</v>
      </c>
      <c r="T24" s="58">
        <v>0</v>
      </c>
      <c r="U24" s="58">
        <v>0</v>
      </c>
      <c r="V24" s="56">
        <v>53</v>
      </c>
      <c r="W24" s="24">
        <f>IF(Table13[[#This Row],[Include in Winter Calendar]],Table13[[#This Row],[Area Overlap with SAC (km2)]]*100/$M$2,0)</f>
        <v>0</v>
      </c>
      <c r="X24" s="26">
        <v>54</v>
      </c>
    </row>
    <row r="25" spans="1:24" ht="44.5" x14ac:dyDescent="0.45">
      <c r="A25" s="50" t="s">
        <v>60</v>
      </c>
      <c r="B25" s="63" t="s">
        <v>61</v>
      </c>
      <c r="C25" s="63" t="s">
        <v>35</v>
      </c>
      <c r="D25" s="63" t="s">
        <v>62</v>
      </c>
      <c r="E25" s="63" t="s">
        <v>49</v>
      </c>
      <c r="F25" s="63"/>
      <c r="G25" s="64" t="s">
        <v>63</v>
      </c>
      <c r="H25" s="65"/>
      <c r="I25" s="64" t="s">
        <v>64</v>
      </c>
      <c r="J25" s="60">
        <v>45951</v>
      </c>
      <c r="K25" s="60">
        <v>46142</v>
      </c>
      <c r="L25" s="60">
        <v>46446</v>
      </c>
      <c r="M25" s="59">
        <v>30</v>
      </c>
      <c r="N25" s="59">
        <v>0.1</v>
      </c>
      <c r="O25" s="59"/>
      <c r="P25" s="55" t="s">
        <v>65</v>
      </c>
      <c r="Q25" s="55" t="s">
        <v>68</v>
      </c>
      <c r="R25" s="58" t="b">
        <v>1</v>
      </c>
      <c r="S25" s="57" t="b">
        <v>0</v>
      </c>
      <c r="T25" s="58">
        <v>0</v>
      </c>
      <c r="U25" s="58">
        <v>0</v>
      </c>
      <c r="V25" s="61">
        <v>54</v>
      </c>
      <c r="W25" s="24">
        <f>IF(Table13[[#This Row],[Include in Winter Calendar]],Table13[[#This Row],[Area Overlap with SAC (km2)]]*100/$M$2,0)</f>
        <v>0</v>
      </c>
      <c r="X25" s="25">
        <v>61</v>
      </c>
    </row>
    <row r="26" spans="1:24" ht="18.5" x14ac:dyDescent="0.45">
      <c r="A26" s="50" t="s">
        <v>106</v>
      </c>
      <c r="B26" s="51" t="s">
        <v>75</v>
      </c>
      <c r="C26" s="51" t="s">
        <v>47</v>
      </c>
      <c r="D26" s="51" t="s">
        <v>48</v>
      </c>
      <c r="E26" s="51" t="s">
        <v>57</v>
      </c>
      <c r="F26" s="51"/>
      <c r="G26" s="51" t="s">
        <v>107</v>
      </c>
      <c r="H26" s="62"/>
      <c r="I26" s="51" t="s">
        <v>108</v>
      </c>
      <c r="J26" s="53">
        <v>45915</v>
      </c>
      <c r="K26" s="53">
        <v>45915</v>
      </c>
      <c r="L26" s="53">
        <v>45930</v>
      </c>
      <c r="M26" s="51">
        <v>15</v>
      </c>
      <c r="N26" s="51">
        <v>275.2</v>
      </c>
      <c r="O26" s="51"/>
      <c r="P26" s="51"/>
      <c r="Q26" s="51"/>
      <c r="R26" s="51" t="b">
        <v>0</v>
      </c>
      <c r="S26" s="51" t="b">
        <v>1</v>
      </c>
      <c r="T26" s="51">
        <v>0</v>
      </c>
      <c r="U26" s="51">
        <v>1.02</v>
      </c>
      <c r="V26" s="54">
        <v>61</v>
      </c>
      <c r="W26" s="24">
        <f>IF(Table13[[#This Row],[Include in Winter Calendar]],Table13[[#This Row],[Area Overlap with SAC (km2)]]*100/$M$2,0)</f>
        <v>1.0182033446795915</v>
      </c>
      <c r="X26" s="25">
        <v>68</v>
      </c>
    </row>
    <row r="27" spans="1:24" ht="44.5" x14ac:dyDescent="0.45">
      <c r="A27" s="50" t="s">
        <v>109</v>
      </c>
      <c r="B27" s="51"/>
      <c r="C27" s="51" t="s">
        <v>47</v>
      </c>
      <c r="D27" s="51" t="s">
        <v>48</v>
      </c>
      <c r="E27" s="51" t="s">
        <v>49</v>
      </c>
      <c r="F27" s="51"/>
      <c r="G27" s="51"/>
      <c r="H27" s="62"/>
      <c r="I27" s="51" t="s">
        <v>108</v>
      </c>
      <c r="J27" s="53">
        <v>45951</v>
      </c>
      <c r="K27" s="53">
        <v>46023</v>
      </c>
      <c r="L27" s="53">
        <v>46203</v>
      </c>
      <c r="M27" s="51"/>
      <c r="N27" s="51"/>
      <c r="O27" s="51"/>
      <c r="P27" s="51"/>
      <c r="Q27" s="52" t="s">
        <v>110</v>
      </c>
      <c r="R27" s="51" t="b">
        <v>1</v>
      </c>
      <c r="S27" s="51" t="b">
        <v>0</v>
      </c>
      <c r="T27" s="51">
        <v>0</v>
      </c>
      <c r="U27" s="51">
        <v>0</v>
      </c>
      <c r="V27" s="54">
        <v>62</v>
      </c>
      <c r="W27" s="24">
        <f>IF(Table13[[#This Row],[Include in Winter Calendar]],Table13[[#This Row],[Area Overlap with SAC (km2)]]*100/$M$2,0)</f>
        <v>0</v>
      </c>
      <c r="X27" s="26">
        <v>69</v>
      </c>
    </row>
    <row r="28" spans="1:24" ht="27" customHeight="1" x14ac:dyDescent="0.45">
      <c r="A28" s="67" t="s">
        <v>111</v>
      </c>
      <c r="B28" s="68" t="s">
        <v>77</v>
      </c>
      <c r="C28" s="68" t="s">
        <v>47</v>
      </c>
      <c r="D28" s="68" t="s">
        <v>62</v>
      </c>
      <c r="E28" s="68" t="s">
        <v>57</v>
      </c>
      <c r="F28" s="68"/>
      <c r="G28" s="68"/>
      <c r="H28" s="69"/>
      <c r="I28" s="68"/>
      <c r="J28" s="70">
        <v>45966</v>
      </c>
      <c r="K28" s="70">
        <v>46204</v>
      </c>
      <c r="L28" s="70">
        <v>46265</v>
      </c>
      <c r="M28" s="68">
        <v>0</v>
      </c>
      <c r="N28" s="68">
        <v>0</v>
      </c>
      <c r="O28" s="68"/>
      <c r="P28" s="71" t="s">
        <v>79</v>
      </c>
      <c r="Q28" s="71" t="s">
        <v>112</v>
      </c>
      <c r="R28" s="72" t="b">
        <v>0</v>
      </c>
      <c r="S28" s="68" t="b">
        <v>1</v>
      </c>
      <c r="T28" s="72">
        <v>0</v>
      </c>
      <c r="U28" s="72">
        <v>0</v>
      </c>
      <c r="V28" s="73">
        <v>68</v>
      </c>
      <c r="W28" s="23">
        <f>IF(Table13[[#This Row],[Include in Winter Calendar]],Table13[[#This Row],[Area Overlap with SAC (km2)]]*100/$M$2,0)</f>
        <v>0</v>
      </c>
      <c r="X28" s="25"/>
    </row>
    <row r="29" spans="1:24" ht="29.25" customHeight="1" x14ac:dyDescent="0.45">
      <c r="A29" s="67" t="s">
        <v>113</v>
      </c>
      <c r="B29" s="68" t="s">
        <v>77</v>
      </c>
      <c r="C29" s="68" t="s">
        <v>47</v>
      </c>
      <c r="D29" s="68" t="s">
        <v>86</v>
      </c>
      <c r="E29" s="68" t="s">
        <v>57</v>
      </c>
      <c r="F29" s="68"/>
      <c r="G29" s="68"/>
      <c r="H29" s="68"/>
      <c r="I29" s="68"/>
      <c r="J29" s="70">
        <v>45966</v>
      </c>
      <c r="K29" s="70">
        <v>46113</v>
      </c>
      <c r="L29" s="70">
        <v>46203</v>
      </c>
      <c r="M29" s="68">
        <v>0</v>
      </c>
      <c r="N29" s="68">
        <v>0</v>
      </c>
      <c r="O29" s="68"/>
      <c r="P29" s="71" t="s">
        <v>89</v>
      </c>
      <c r="Q29" s="71"/>
      <c r="R29" s="72" t="b">
        <v>0</v>
      </c>
      <c r="S29" s="68" t="b">
        <v>1</v>
      </c>
      <c r="T29" s="72">
        <v>0</v>
      </c>
      <c r="U29" s="72">
        <v>0</v>
      </c>
      <c r="V29" s="73">
        <v>69</v>
      </c>
      <c r="W29" s="24">
        <f>IF(Table13[[#This Row],[Include in Winter Calendar]],Table13[[#This Row],[Area Overlap with SAC (km2)]]*100/$M$2,0)</f>
        <v>0</v>
      </c>
      <c r="X29" s="25"/>
    </row>
    <row r="30" spans="1:24" ht="18.5" x14ac:dyDescent="0.45">
      <c r="A30" s="74" t="s">
        <v>101</v>
      </c>
      <c r="B30" s="75" t="s">
        <v>102</v>
      </c>
      <c r="C30" s="75" t="s">
        <v>47</v>
      </c>
      <c r="D30" s="75" t="s">
        <v>71</v>
      </c>
      <c r="E30" s="75" t="s">
        <v>57</v>
      </c>
      <c r="F30" s="75" t="s">
        <v>103</v>
      </c>
      <c r="G30" s="76" t="s">
        <v>104</v>
      </c>
      <c r="H30" s="76"/>
      <c r="I30" s="64" t="s">
        <v>39</v>
      </c>
      <c r="K30" s="78">
        <v>46083</v>
      </c>
      <c r="L30" s="78">
        <v>46173</v>
      </c>
      <c r="M30" s="77">
        <v>1</v>
      </c>
      <c r="N30" s="77">
        <v>78.540000000000006</v>
      </c>
      <c r="O30" s="77" t="s">
        <v>105</v>
      </c>
      <c r="P30" s="77"/>
      <c r="Q30" s="77"/>
      <c r="R30" s="79" t="s">
        <v>67</v>
      </c>
      <c r="T30" s="80" t="b">
        <v>0</v>
      </c>
      <c r="U30" s="81" t="b">
        <v>1</v>
      </c>
      <c r="V30" s="80">
        <v>0</v>
      </c>
      <c r="W30" s="24">
        <v>0.28999999999999998</v>
      </c>
      <c r="X30" s="25">
        <v>57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2" type="noConversion"/>
  <conditionalFormatting sqref="X6:X23 W24:X27">
    <cfRule type="expression" dxfId="5" priority="38" stopIfTrue="1">
      <formula>$I6="Completed"</formula>
    </cfRule>
    <cfRule type="expression" dxfId="4" priority="39" stopIfTrue="1">
      <formula>OR($I6="Cancelled",$I6="Postponed")</formula>
    </cfRule>
  </conditionalFormatting>
  <dataValidations count="1">
    <dataValidation allowBlank="1" showInputMessage="1" showErrorMessage="1" errorTitle="Incorrect ID" error="ID already exists in table - choose another" sqref="X5:X30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7" t="s">
        <v>114</v>
      </c>
      <c r="C2" s="34" t="s">
        <v>57</v>
      </c>
      <c r="E2" s="7" t="s">
        <v>115</v>
      </c>
      <c r="F2" s="30">
        <f>IF(C2="Summer",'Noisy Activities'!J2,'Noisy Activities'!H2)</f>
        <v>46113</v>
      </c>
      <c r="G2" s="9" t="s">
        <v>116</v>
      </c>
      <c r="H2" s="10">
        <f>F3-F2+1</f>
        <v>183</v>
      </c>
      <c r="K2" s="27"/>
      <c r="L2" s="18"/>
    </row>
    <row r="3" spans="1:12" ht="59.15" customHeight="1" thickBot="1" x14ac:dyDescent="0.4">
      <c r="B3" s="7" t="s">
        <v>117</v>
      </c>
      <c r="C3" s="35">
        <f ca="1">TODAY()</f>
        <v>46097</v>
      </c>
      <c r="E3" s="5" t="s">
        <v>118</v>
      </c>
      <c r="F3" s="28">
        <f>IF(C2="Summer",'Noisy Activities'!J3,'Noisy Activities'!H3)</f>
        <v>46295</v>
      </c>
      <c r="G3" s="7" t="s">
        <v>119</v>
      </c>
      <c r="H3" s="8">
        <f>IF(C2="Summer",27028,12696)</f>
        <v>27028</v>
      </c>
      <c r="K3" s="27"/>
      <c r="L3" s="18"/>
    </row>
    <row r="4" spans="1:12" ht="15" thickBot="1" x14ac:dyDescent="0.4"/>
    <row r="5" spans="1:12" ht="46.5" customHeight="1" thickBot="1" x14ac:dyDescent="0.4">
      <c r="C5" s="124" t="s">
        <v>120</v>
      </c>
      <c r="D5" s="125"/>
      <c r="E5" s="125"/>
      <c r="F5" s="126"/>
    </row>
    <row r="6" spans="1:12" ht="60.65" customHeight="1" thickBot="1" x14ac:dyDescent="0.4">
      <c r="C6" s="21" t="s">
        <v>121</v>
      </c>
      <c r="D6" s="3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9" t="s">
        <v>122</v>
      </c>
      <c r="F6" s="32">
        <f ca="1">_xlfn.AGGREGATE(9,6,Table44[Contribution to seasonal disturbance (absolute worst case)])</f>
        <v>0</v>
      </c>
    </row>
    <row r="7" spans="1:12" ht="61.5" customHeight="1" thickBot="1" x14ac:dyDescent="0.4">
      <c r="C7" s="22" t="s">
        <v>123</v>
      </c>
      <c r="D7" s="2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6" t="s">
        <v>124</v>
      </c>
      <c r="F7" s="33">
        <f ca="1">_xlfn.AGGREGATE(9,6,Table44[Contribution to seasonal disturbance (realistic worst case)])</f>
        <v>0</v>
      </c>
    </row>
    <row r="8" spans="1:12" ht="64.5" customHeight="1" thickBot="1" x14ac:dyDescent="0.4">
      <c r="C8" s="127" t="s">
        <v>125</v>
      </c>
      <c r="D8" s="128"/>
      <c r="E8" s="128"/>
      <c r="F8" s="129"/>
    </row>
    <row r="9" spans="1:12" ht="12.65" customHeight="1" x14ac:dyDescent="0.35">
      <c r="B9" s="20"/>
      <c r="C9" s="20"/>
      <c r="D9" s="20"/>
      <c r="E9" s="20"/>
    </row>
    <row r="10" spans="1:12" ht="23.5" x14ac:dyDescent="0.55000000000000004">
      <c r="B10" s="19" t="s">
        <v>126</v>
      </c>
    </row>
    <row r="12" spans="1:12" ht="75.650000000000006" customHeight="1" x14ac:dyDescent="0.35">
      <c r="A12" s="14" t="s">
        <v>127</v>
      </c>
      <c r="B12" s="13" t="s">
        <v>128</v>
      </c>
      <c r="C12" s="13" t="s">
        <v>12</v>
      </c>
      <c r="D12" s="13" t="s">
        <v>129</v>
      </c>
      <c r="E12" s="13" t="s">
        <v>130</v>
      </c>
      <c r="F12" s="13" t="s">
        <v>131</v>
      </c>
      <c r="G12" s="13" t="s">
        <v>132</v>
      </c>
      <c r="H12" s="13" t="s">
        <v>133</v>
      </c>
      <c r="I12" s="13" t="s">
        <v>134</v>
      </c>
      <c r="J12" s="13" t="s">
        <v>135</v>
      </c>
    </row>
    <row r="13" spans="1:12" x14ac:dyDescent="0.35">
      <c r="A13" s="2" t="e" cm="1">
        <f t="array" ref="A13">IF(C2="Summer",_xlfn._xlws.FILTER(ID,Table13[Include in Winter Calendar]*(#REF!="Yes")),_xlfn._xlws.FILTER(ID,Table13[Include in assessment?]*(#REF!="Yes")))</f>
        <v>#REF!</v>
      </c>
      <c r="B13" t="str">
        <f>IFERROR(_xlfn.XLOOKUP(A13,Table13[TrackerID3],Table13[Project/Activity Name]),"")</f>
        <v/>
      </c>
      <c r="C13" t="str">
        <f>IFERROR(_xlfn.XLOOKUP(A13,Table13[TrackerID3],Table13[Activity Type]),"")</f>
        <v/>
      </c>
      <c r="D13" s="16" t="str">
        <f>IFERROR(_xlfn.XLOOKUP(A13,Table13[TrackerID3],Table13[Start Date]),"")</f>
        <v/>
      </c>
      <c r="E13" s="16" t="str">
        <f>IFERROR(_xlfn.XLOOKUP(A13,Table13[TrackerID3],Table13[End Date]),"")</f>
        <v/>
      </c>
      <c r="F13" t="str">
        <f>IFERROR(_xlfn.XLOOKUP(A13,Table13[TrackerID3],Table13[Duration of Activity Impacting SAC (days)]),"")</f>
        <v/>
      </c>
      <c r="G13" t="str" cm="1">
        <f t="array" ref="G13">IFERROR(_xlfn.XLOOKUP(A13,Table13[TrackerID3],IF(C2="Summer",Table13[Abatement/Mitigation
(MMO only)],Table13[Any Other Comments])),"")</f>
        <v/>
      </c>
      <c r="H13" s="12" t="str">
        <f>IFERROR(Table44[[#This Row],[Impact on SAC (km2)]]/$H$3,"")</f>
        <v/>
      </c>
      <c r="I13" s="12" t="str">
        <f>IFERROR(Table44[[#This Row],[Impact on SAC (%)]]*(MIN(Table44[[#This Row],[Proposed End Date]],$F$3)-MAX(Table44[[#This Row],[Proposed Start Date]],$F$2)+1)/$H$2,"")</f>
        <v/>
      </c>
      <c r="J13" s="12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IFERROR(_xlfn.XLOOKUP(A14,Table13[TrackerID3],Table13[Project/Activity Name]),"")</f>
        <v>NEP Phase 1 Pin Piling Monitoring Equipment - CANCELLED</v>
      </c>
      <c r="C14" t="str">
        <f>IFERROR(_xlfn.XLOOKUP(A14,Table13[TrackerID3],Table13[Activity Type]),"")</f>
        <v>Pin Piling</v>
      </c>
      <c r="D14" s="16">
        <f>IFERROR(_xlfn.XLOOKUP(A14,Table13[TrackerID3],Table13[Start Date]),"")</f>
        <v>46204</v>
      </c>
      <c r="E14" s="16">
        <f>IFERROR(_xlfn.XLOOKUP(A14,Table13[TrackerID3],Table13[End Date]),"")</f>
        <v>46265</v>
      </c>
      <c r="F14">
        <f>IFERROR(_xlfn.XLOOKUP(A14,Table13[TrackerID3],Table13[Duration of Activity Impacting SAC (days)]),"")</f>
        <v>0</v>
      </c>
      <c r="G14" s="17" t="str" cm="1">
        <f t="array" aca="1" ref="G14" ca="1">IFERROR(_xlfn.XLOOKUP(A14,Table13[TrackerID3],IF(C3="Summer",Table13[Abatement/Mitigation
(MMO only)],Table13[Any Other Comments])),"")</f>
        <v>Instalation methodology tbc. Pin piling worst case assumption</v>
      </c>
      <c r="H14" s="12" t="str">
        <f ca="1">IFERROR(Table44[[#This Row],[Impact on SAC (km2)]]/$H$3,"")</f>
        <v/>
      </c>
      <c r="I14" s="12" t="str">
        <f ca="1">IFERROR(Table44[[#This Row],[Impact on SAC (%)]]*(MIN(Table44[[#This Row],[Proposed End Date]],$F$3)-MAX(Table44[[#This Row],[Proposed Start Date]],$F$2)+1)/$H$2,"")</f>
        <v/>
      </c>
      <c r="J14" s="12" t="str">
        <f ca="1">IFERROR(Table44[[#This Row],[Impact on SAC (%)]]*Table44[[#This Row],[Proposed days]]/$H$2,"")</f>
        <v/>
      </c>
    </row>
    <row r="15" spans="1:12" x14ac:dyDescent="0.35">
      <c r="A15" s="2"/>
      <c r="B15" t="str">
        <f>IFERROR(_xlfn.XLOOKUP(A15,Table13[TrackerID3],Table13[Project/Activity Name]),"")</f>
        <v>NEP Phase 1 Pin Piling Monitoring Equipment - CANCELLED</v>
      </c>
      <c r="C15" t="str">
        <f>IFERROR(_xlfn.XLOOKUP(A15,Table13[TrackerID3],Table13[Activity Type]),"")</f>
        <v>Pin Piling</v>
      </c>
      <c r="D15" s="16">
        <f>IFERROR(_xlfn.XLOOKUP(A15,Table13[TrackerID3],Table13[Start Date]),"")</f>
        <v>46204</v>
      </c>
      <c r="E15" s="16">
        <f>IFERROR(_xlfn.XLOOKUP(A15,Table13[TrackerID3],Table13[End Date]),"")</f>
        <v>46265</v>
      </c>
      <c r="F15">
        <f>IFERROR(_xlfn.XLOOKUP(A15,Table13[TrackerID3],Table13[Duration of Activity Impacting SAC (days)]),"")</f>
        <v>0</v>
      </c>
      <c r="G15" s="17" t="str" cm="1">
        <f t="array" ref="G15">IFERROR(_xlfn.XLOOKUP(A15,Table13[TrackerID3],IF(C4="Summer",Table13[Abatement/Mitigation
(MMO only)],Table13[Any Other Comments])),"")</f>
        <v>Instalation methodology tbc. Pin piling worst case assumption</v>
      </c>
      <c r="H15" s="12" t="str">
        <f>IFERROR(Table44[[#This Row],[Impact on SAC (km2)]]/$H$3,"")</f>
        <v/>
      </c>
      <c r="I15" s="12" t="str">
        <f>IFERROR(Table44[[#This Row],[Impact on SAC (%)]]*(MIN(Table44[[#This Row],[Proposed End Date]],$F$3)-MAX(Table44[[#This Row],[Proposed Start Date]],$F$2)+1)/$H$2,"")</f>
        <v/>
      </c>
      <c r="J15" s="12" t="str">
        <f>IFERROR(Table44[[#This Row],[Impact on SAC (%)]]*Table44[[#This Row],[Proposed days]]/$H$2,"")</f>
        <v/>
      </c>
    </row>
    <row r="16" spans="1:12" x14ac:dyDescent="0.35">
      <c r="A16" s="2"/>
      <c r="B16" t="str">
        <f>IFERROR(_xlfn.XLOOKUP(A16,Table13[TrackerID3],Table13[Project/Activity Name]),"")</f>
        <v>NEP Phase 1 Pin Piling Monitoring Equipment - CANCELLED</v>
      </c>
      <c r="C16" t="str">
        <f>IFERROR(_xlfn.XLOOKUP(A16,Table13[TrackerID3],Table13[Activity Type]),"")</f>
        <v>Pin Piling</v>
      </c>
      <c r="D16" s="16">
        <f>IFERROR(_xlfn.XLOOKUP(A16,Table13[TrackerID3],Table13[Start Date]),"")</f>
        <v>46204</v>
      </c>
      <c r="E16" s="16">
        <f>IFERROR(_xlfn.XLOOKUP(A16,Table13[TrackerID3],Table13[End Date]),"")</f>
        <v>46265</v>
      </c>
      <c r="F16">
        <f>IFERROR(_xlfn.XLOOKUP(A16,Table13[TrackerID3],Table13[Duration of Activity Impacting SAC (days)]),"")</f>
        <v>0</v>
      </c>
      <c r="G16" s="17" t="str" cm="1">
        <f t="array" ref="G16">IFERROR(_xlfn.XLOOKUP(A16,Table13[TrackerID3],IF(C5="Summer",Table13[Abatement/Mitigation
(MMO only)],Table13[Any Other Comments])),"")</f>
        <v>Instalation methodology tbc. Pin piling worst case assumption</v>
      </c>
      <c r="H16" s="12" t="str">
        <f>IFERROR(Table44[[#This Row],[Impact on SAC (km2)]]/$H$3,"")</f>
        <v/>
      </c>
      <c r="I16" s="12" t="str">
        <f>IFERROR(Table44[[#This Row],[Impact on SAC (%)]]*(MIN(Table44[[#This Row],[Proposed End Date]],$F$3)-MAX(Table44[[#This Row],[Proposed Start Date]],$F$2)+1)/$H$2,"")</f>
        <v/>
      </c>
      <c r="J16" s="12" t="str">
        <f>IFERROR(Table44[[#This Row],[Impact on SAC (%)]]*Table44[[#This Row],[Proposed days]]/$H$2,"")</f>
        <v/>
      </c>
    </row>
    <row r="17" spans="1:10" x14ac:dyDescent="0.35">
      <c r="A17" s="2"/>
      <c r="B17" t="str">
        <f>IFERROR(_xlfn.XLOOKUP(A17,Table13[TrackerID3],Table13[Project/Activity Name]),"")</f>
        <v>NEP Phase 1 Pin Piling Monitoring Equipment - CANCELLED</v>
      </c>
      <c r="C17" t="str">
        <f>IFERROR(_xlfn.XLOOKUP(A17,Table13[TrackerID3],Table13[Activity Type]),"")</f>
        <v>Pin Piling</v>
      </c>
      <c r="D17" s="16">
        <f>IFERROR(_xlfn.XLOOKUP(A17,Table13[TrackerID3],Table13[Start Date]),"")</f>
        <v>46204</v>
      </c>
      <c r="E17" s="16">
        <f>IFERROR(_xlfn.XLOOKUP(A17,Table13[TrackerID3],Table13[End Date]),"")</f>
        <v>46265</v>
      </c>
      <c r="F17">
        <f>IFERROR(_xlfn.XLOOKUP(A17,Table13[TrackerID3],Table13[Duration of Activity Impacting SAC (days)]),"")</f>
        <v>0</v>
      </c>
      <c r="G17" s="17" t="str" cm="1">
        <f t="array" ref="G17">IFERROR(_xlfn.XLOOKUP(A17,Table13[TrackerID3],IF(C6="Summer",Table13[Abatement/Mitigation
(MMO only)],Table13[Any Other Comments])),"")</f>
        <v>Instalation methodology tbc. Pin piling worst case assumption</v>
      </c>
      <c r="H17" s="12" t="str">
        <f>IFERROR(Table44[[#This Row],[Impact on SAC (km2)]]/$H$3,"")</f>
        <v/>
      </c>
      <c r="I17" s="12" t="str">
        <f>IFERROR(Table44[[#This Row],[Impact on SAC (%)]]*(MIN(Table44[[#This Row],[Proposed End Date]],$F$3)-MAX(Table44[[#This Row],[Proposed Start Date]],$F$2)+1)/$H$2,"")</f>
        <v/>
      </c>
      <c r="J17" s="12" t="str">
        <f>IFERROR(Table44[[#This Row],[Impact on SAC (%)]]*Table44[[#This Row],[Proposed days]]/$H$2,"")</f>
        <v/>
      </c>
    </row>
    <row r="18" spans="1:10" x14ac:dyDescent="0.35">
      <c r="A18" s="2"/>
      <c r="B18" t="str">
        <f>IFERROR(_xlfn.XLOOKUP(A18,Table13[TrackerID3],Table13[Project/Activity Name]),"")</f>
        <v>NEP Phase 1 Pin Piling Monitoring Equipment - CANCELLED</v>
      </c>
      <c r="C18" t="str">
        <f>IFERROR(_xlfn.XLOOKUP(A18,Table13[TrackerID3],Table13[Activity Type]),"")</f>
        <v>Pin Piling</v>
      </c>
      <c r="D18" s="16">
        <f>IFERROR(_xlfn.XLOOKUP(A18,Table13[TrackerID3],Table13[Start Date]),"")</f>
        <v>46204</v>
      </c>
      <c r="E18" s="16">
        <f>IFERROR(_xlfn.XLOOKUP(A18,Table13[TrackerID3],Table13[End Date]),"")</f>
        <v>46265</v>
      </c>
      <c r="F18">
        <f>IFERROR(_xlfn.XLOOKUP(A18,Table13[TrackerID3],Table13[Duration of Activity Impacting SAC (days)]),"")</f>
        <v>0</v>
      </c>
      <c r="G18" s="17" t="str" cm="1">
        <f t="array" ref="G18">IFERROR(_xlfn.XLOOKUP(A18,Table13[TrackerID3],IF(C7="Summer",Table13[Abatement/Mitigation
(MMO only)],Table13[Any Other Comments])),"")</f>
        <v>Instalation methodology tbc. Pin piling worst case assumption</v>
      </c>
      <c r="H18" s="12" t="str">
        <f>IFERROR(Table44[[#This Row],[Impact on SAC (km2)]]/$H$3,"")</f>
        <v/>
      </c>
      <c r="I18" s="12" t="str">
        <f>IFERROR(Table44[[#This Row],[Impact on SAC (%)]]*(MIN(Table44[[#This Row],[Proposed End Date]],$F$3)-MAX(Table44[[#This Row],[Proposed Start Date]],$F$2)+1)/$H$2,"")</f>
        <v/>
      </c>
      <c r="J18" s="12" t="str">
        <f>IFERROR(Table44[[#This Row],[Impact on SAC (%)]]*Table44[[#This Row],[Proposed days]]/$H$2,"")</f>
        <v/>
      </c>
    </row>
    <row r="19" spans="1:10" x14ac:dyDescent="0.35">
      <c r="A19" s="2"/>
      <c r="B19" t="str">
        <f>IFERROR(_xlfn.XLOOKUP(A19,Table13[TrackerID3],Table13[Project/Activity Name]),"")</f>
        <v>NEP Phase 1 Pin Piling Monitoring Equipment - CANCELLED</v>
      </c>
      <c r="C19" t="str">
        <f>IFERROR(_xlfn.XLOOKUP(A19,Table13[TrackerID3],Table13[Activity Type]),"")</f>
        <v>Pin Piling</v>
      </c>
      <c r="D19" s="16">
        <f>IFERROR(_xlfn.XLOOKUP(A19,Table13[TrackerID3],Table13[Start Date]),"")</f>
        <v>46204</v>
      </c>
      <c r="E19" s="16">
        <f>IFERROR(_xlfn.XLOOKUP(A19,Table13[TrackerID3],Table13[End Date]),"")</f>
        <v>46265</v>
      </c>
      <c r="F19">
        <f>IFERROR(_xlfn.XLOOKUP(A19,Table13[TrackerID3],Table13[Duration of Activity Impacting SAC (days)]),"")</f>
        <v>0</v>
      </c>
      <c r="G19" s="17" t="str" cm="1">
        <f t="array" ref="G19">IFERROR(_xlfn.XLOOKUP(A19,Table13[TrackerID3],IF(C8="Summer",Table13[Abatement/Mitigation
(MMO only)],Table13[Any Other Comments])),"")</f>
        <v>Instalation methodology tbc. Pin piling worst case assumption</v>
      </c>
      <c r="H19" s="12" t="str">
        <f>IFERROR(Table44[[#This Row],[Impact on SAC (km2)]]/$H$3,"")</f>
        <v/>
      </c>
      <c r="I19" s="12" t="str">
        <f>IFERROR(Table44[[#This Row],[Impact on SAC (%)]]*(MIN(Table44[[#This Row],[Proposed End Date]],$F$3)-MAX(Table44[[#This Row],[Proposed Start Date]],$F$2)+1)/$H$2,"")</f>
        <v/>
      </c>
      <c r="J19" s="12" t="str">
        <f>IFERROR(Table44[[#This Row],[Impact on SAC (%)]]*Table44[[#This Row],[Proposed days]]/$H$2,"")</f>
        <v/>
      </c>
    </row>
    <row r="20" spans="1:10" x14ac:dyDescent="0.35">
      <c r="A20" s="2"/>
      <c r="B20" t="str">
        <f>IFERROR(_xlfn.XLOOKUP(A20,Table13[TrackerID3],Table13[Project/Activity Name]),"")</f>
        <v>NEP Phase 1 Pin Piling Monitoring Equipment - CANCELLED</v>
      </c>
      <c r="C20" t="str">
        <f>IFERROR(_xlfn.XLOOKUP(A20,Table13[TrackerID3],Table13[Activity Type]),"")</f>
        <v>Pin Piling</v>
      </c>
      <c r="D20" s="16">
        <f>IFERROR(_xlfn.XLOOKUP(A20,Table13[TrackerID3],Table13[Start Date]),"")</f>
        <v>46204</v>
      </c>
      <c r="E20" s="16">
        <f>IFERROR(_xlfn.XLOOKUP(A20,Table13[TrackerID3],Table13[End Date]),"")</f>
        <v>46265</v>
      </c>
      <c r="F20">
        <f>IFERROR(_xlfn.XLOOKUP(A20,Table13[TrackerID3],Table13[Duration of Activity Impacting SAC (days)]),"")</f>
        <v>0</v>
      </c>
      <c r="G20" s="17" t="str" cm="1">
        <f t="array" ref="G20">IFERROR(_xlfn.XLOOKUP(A20,Table13[TrackerID3],IF(C9="Summer",Table13[Abatement/Mitigation
(MMO only)],Table13[Any Other Comments])),"")</f>
        <v>Instalation methodology tbc. Pin piling worst case assumption</v>
      </c>
      <c r="H20" s="12" t="str">
        <f>IFERROR(Table44[[#This Row],[Impact on SAC (km2)]]/$H$3,"")</f>
        <v/>
      </c>
      <c r="I20" s="12" t="str">
        <f>IFERROR(Table44[[#This Row],[Impact on SAC (%)]]*(MIN(Table44[[#This Row],[Proposed End Date]],$F$3)-MAX(Table44[[#This Row],[Proposed Start Date]],$F$2)+1)/$H$2,"")</f>
        <v/>
      </c>
      <c r="J20" s="12" t="str">
        <f>IFERROR(Table44[[#This Row],[Impact on SAC (%)]]*Table44[[#This Row],[Proposed days]]/$H$2,"")</f>
        <v/>
      </c>
    </row>
    <row r="21" spans="1:10" x14ac:dyDescent="0.35">
      <c r="A21" s="2"/>
      <c r="B21" t="str">
        <f>IFERROR(_xlfn.XLOOKUP(A21,Table13[TrackerID3],Table13[Project/Activity Name]),"")</f>
        <v>NEP Phase 1 Pin Piling Monitoring Equipment - CANCELLED</v>
      </c>
      <c r="C21" t="str">
        <f>IFERROR(_xlfn.XLOOKUP(A21,Table13[TrackerID3],Table13[Activity Type]),"")</f>
        <v>Pin Piling</v>
      </c>
      <c r="D21" s="16">
        <f>IFERROR(_xlfn.XLOOKUP(A21,Table13[TrackerID3],Table13[Start Date]),"")</f>
        <v>46204</v>
      </c>
      <c r="E21" s="16">
        <f>IFERROR(_xlfn.XLOOKUP(A21,Table13[TrackerID3],Table13[End Date]),"")</f>
        <v>46265</v>
      </c>
      <c r="F21">
        <f>IFERROR(_xlfn.XLOOKUP(A21,Table13[TrackerID3],Table13[Duration of Activity Impacting SAC (days)]),"")</f>
        <v>0</v>
      </c>
      <c r="G21" s="17" t="str" cm="1">
        <f t="array" ref="G21">IFERROR(_xlfn.XLOOKUP(A21,Table13[TrackerID3],IF(C10="Summer",Table13[Abatement/Mitigation
(MMO only)],Table13[Any Other Comments])),"")</f>
        <v>Instalation methodology tbc. Pin piling worst case assumption</v>
      </c>
      <c r="H21" s="12" t="str">
        <f>IFERROR(Table44[[#This Row],[Impact on SAC (km2)]]/$H$3,"")</f>
        <v/>
      </c>
      <c r="I21" s="12" t="str">
        <f>IFERROR(Table44[[#This Row],[Impact on SAC (%)]]*(MIN(Table44[[#This Row],[Proposed End Date]],$F$3)-MAX(Table44[[#This Row],[Proposed Start Date]],$F$2)+1)/$H$2,"")</f>
        <v/>
      </c>
      <c r="J21" s="12" t="str">
        <f>IFERROR(Table44[[#This Row],[Impact on SAC (%)]]*Table44[[#This Row],[Proposed days]]/$H$2,"")</f>
        <v/>
      </c>
    </row>
    <row r="22" spans="1:10" x14ac:dyDescent="0.35">
      <c r="A22" s="2"/>
      <c r="B22" t="str">
        <f>IFERROR(_xlfn.XLOOKUP(A22,Table13[TrackerID3],Table13[Project/Activity Name]),"")</f>
        <v>NEP Phase 1 Pin Piling Monitoring Equipment - CANCELLED</v>
      </c>
      <c r="C22" t="str">
        <f>IFERROR(_xlfn.XLOOKUP(A22,Table13[TrackerID3],Table13[Activity Type]),"")</f>
        <v>Pin Piling</v>
      </c>
      <c r="D22" s="16">
        <f>IFERROR(_xlfn.XLOOKUP(A22,Table13[TrackerID3],Table13[Start Date]),"")</f>
        <v>46204</v>
      </c>
      <c r="E22" s="16">
        <f>IFERROR(_xlfn.XLOOKUP(A22,Table13[TrackerID3],Table13[End Date]),"")</f>
        <v>46265</v>
      </c>
      <c r="F22">
        <f>IFERROR(_xlfn.XLOOKUP(A22,Table13[TrackerID3],Table13[Duration of Activity Impacting SAC (days)]),"")</f>
        <v>0</v>
      </c>
      <c r="G22" s="17" t="str" cm="1">
        <f t="array" ref="G22">IFERROR(_xlfn.XLOOKUP(A22,Table13[TrackerID3],IF(C11="Summer",Table13[Abatement/Mitigation
(MMO only)],Table13[Any Other Comments])),"")</f>
        <v>Instalation methodology tbc. Pin piling worst case assumption</v>
      </c>
      <c r="H22" s="12" t="str">
        <f>IFERROR(Table44[[#This Row],[Impact on SAC (km2)]]/$H$3,"")</f>
        <v/>
      </c>
      <c r="I22" s="12" t="str">
        <f>IFERROR(Table44[[#This Row],[Impact on SAC (%)]]*(MIN(Table44[[#This Row],[Proposed End Date]],$F$3)-MAX(Table44[[#This Row],[Proposed Start Date]],$F$2)+1)/$H$2,"")</f>
        <v/>
      </c>
      <c r="J22" s="12" t="str">
        <f>IFERROR(Table44[[#This Row],[Impact on SAC (%)]]*Table44[[#This Row],[Proposed days]]/$H$2,"")</f>
        <v/>
      </c>
    </row>
    <row r="23" spans="1:10" x14ac:dyDescent="0.35">
      <c r="A23" s="2"/>
      <c r="B23" t="str">
        <f>IFERROR(_xlfn.XLOOKUP(A23,Table13[TrackerID3],Table13[Project/Activity Name]),"")</f>
        <v>NEP Phase 1 Pin Piling Monitoring Equipment - CANCELLED</v>
      </c>
      <c r="C23" t="str">
        <f>IFERROR(_xlfn.XLOOKUP(A23,Table13[TrackerID3],Table13[Activity Type]),"")</f>
        <v>Pin Piling</v>
      </c>
      <c r="D23" s="16">
        <f>IFERROR(_xlfn.XLOOKUP(A23,Table13[TrackerID3],Table13[Start Date]),"")</f>
        <v>46204</v>
      </c>
      <c r="E23" s="16">
        <f>IFERROR(_xlfn.XLOOKUP(A23,Table13[TrackerID3],Table13[End Date]),"")</f>
        <v>46265</v>
      </c>
      <c r="F23">
        <f>IFERROR(_xlfn.XLOOKUP(A23,Table13[TrackerID3],Table13[Duration of Activity Impacting SAC (days)]),"")</f>
        <v>0</v>
      </c>
      <c r="G23" s="17" t="str" cm="1">
        <f t="array" ref="G23">IFERROR(_xlfn.XLOOKUP(A23,Table13[TrackerID3],IF(C12="Summer",Table13[Abatement/Mitigation
(MMO only)],Table13[Any Other Comments])),"")</f>
        <v>Instalation methodology tbc. Pin piling worst case assumption</v>
      </c>
      <c r="H23" s="12" t="str">
        <f>IFERROR(Table44[[#This Row],[Impact on SAC (km2)]]/$H$3,"")</f>
        <v/>
      </c>
      <c r="I23" s="12" t="str">
        <f>IFERROR(Table44[[#This Row],[Impact on SAC (%)]]*(MIN(Table44[[#This Row],[Proposed End Date]],$F$3)-MAX(Table44[[#This Row],[Proposed Start Date]],$F$2)+1)/$H$2,"")</f>
        <v/>
      </c>
      <c r="J23" s="12" t="str">
        <f>IFERROR(Table44[[#This Row],[Impact on SAC (%)]]*Table44[[#This Row],[Proposed days]]/$H$2,"")</f>
        <v/>
      </c>
    </row>
    <row r="24" spans="1:10" x14ac:dyDescent="0.35">
      <c r="A24" s="2"/>
      <c r="B24" t="str">
        <f>IFERROR(_xlfn.XLOOKUP(A24,Table13[TrackerID3],Table13[Project/Activity Name]),"")</f>
        <v>NEP Phase 1 Pin Piling Monitoring Equipment - CANCELLED</v>
      </c>
      <c r="C24" t="str">
        <f>IFERROR(_xlfn.XLOOKUP(A24,Table13[TrackerID3],Table13[Activity Type]),"")</f>
        <v>Pin Piling</v>
      </c>
      <c r="D24" s="16">
        <f>IFERROR(_xlfn.XLOOKUP(A24,Table13[TrackerID3],Table13[Start Date]),"")</f>
        <v>46204</v>
      </c>
      <c r="E24" s="16">
        <f>IFERROR(_xlfn.XLOOKUP(A24,Table13[TrackerID3],Table13[End Date]),"")</f>
        <v>46265</v>
      </c>
      <c r="F24">
        <f>IFERROR(_xlfn.XLOOKUP(A24,Table13[TrackerID3],Table13[Duration of Activity Impacting SAC (days)]),"")</f>
        <v>0</v>
      </c>
      <c r="G24" s="17" t="str" cm="1">
        <f t="array" ref="G24">IFERROR(_xlfn.XLOOKUP(A24,Table13[TrackerID3],IF(C13="Summer",Table13[Abatement/Mitigation
(MMO only)],Table13[Any Other Comments])),"")</f>
        <v>Instalation methodology tbc. Pin piling worst case assumption</v>
      </c>
      <c r="H24" s="12" t="str">
        <f>IFERROR(Table44[[#This Row],[Impact on SAC (km2)]]/$H$3,"")</f>
        <v/>
      </c>
      <c r="I24" s="12" t="str">
        <f>IFERROR(Table44[[#This Row],[Impact on SAC (%)]]*(MIN(Table44[[#This Row],[Proposed End Date]],$F$3)-MAX(Table44[[#This Row],[Proposed Start Date]],$F$2)+1)/$H$2,"")</f>
        <v/>
      </c>
      <c r="J24" s="12" t="str">
        <f>IFERROR(Table44[[#This Row],[Impact on SAC (%)]]*Table44[[#This Row],[Proposed days]]/$H$2,"")</f>
        <v/>
      </c>
    </row>
    <row r="25" spans="1:10" x14ac:dyDescent="0.35">
      <c r="A25" s="2"/>
      <c r="B25" t="str">
        <f>IFERROR(_xlfn.XLOOKUP(A25,Table13[TrackerID3],Table13[Project/Activity Name]),"")</f>
        <v>NEP Phase 1 Pin Piling Monitoring Equipment - CANCELLED</v>
      </c>
      <c r="C25" t="str">
        <f>IFERROR(_xlfn.XLOOKUP(A25,Table13[TrackerID3],Table13[Activity Type]),"")</f>
        <v>Pin Piling</v>
      </c>
      <c r="D25" s="16">
        <f>IFERROR(_xlfn.XLOOKUP(A25,Table13[TrackerID3],Table13[Start Date]),"")</f>
        <v>46204</v>
      </c>
      <c r="E25" s="16">
        <f>IFERROR(_xlfn.XLOOKUP(A25,Table13[TrackerID3],Table13[End Date]),"")</f>
        <v>46265</v>
      </c>
      <c r="F25">
        <f>IFERROR(_xlfn.XLOOKUP(A25,Table13[TrackerID3],Table13[Duration of Activity Impacting SAC (days)]),"")</f>
        <v>0</v>
      </c>
      <c r="G25" s="17" t="str" cm="1">
        <f t="array" ref="G25">IFERROR(_xlfn.XLOOKUP(A25,Table13[TrackerID3],IF(C14="Summer",Table13[Abatement/Mitigation
(MMO only)],Table13[Any Other Comments])),"")</f>
        <v>Instalation methodology tbc. Pin piling worst case assumption</v>
      </c>
      <c r="H25" s="12" t="str">
        <f>IFERROR(Table44[[#This Row],[Impact on SAC (km2)]]/$H$3,"")</f>
        <v/>
      </c>
      <c r="I25" s="12" t="str">
        <f>IFERROR(Table44[[#This Row],[Impact on SAC (%)]]*(MIN(Table44[[#This Row],[Proposed End Date]],$F$3)-MAX(Table44[[#This Row],[Proposed Start Date]],$F$2)+1)/$H$2,"")</f>
        <v/>
      </c>
      <c r="J25" s="12" t="str">
        <f>IFERROR(Table44[[#This Row],[Impact on SAC (%)]]*Table44[[#This Row],[Proposed days]]/$H$2,"")</f>
        <v/>
      </c>
    </row>
    <row r="26" spans="1:10" x14ac:dyDescent="0.35">
      <c r="A26" s="2"/>
      <c r="B26" t="str">
        <f>IFERROR(_xlfn.XLOOKUP(A26,Table13[TrackerID3],Table13[Project/Activity Name]),"")</f>
        <v>NEP Phase 1 Pin Piling Monitoring Equipment - CANCELLED</v>
      </c>
      <c r="C26" t="str">
        <f>IFERROR(_xlfn.XLOOKUP(A26,Table13[TrackerID3],Table13[Activity Type]),"")</f>
        <v>Pin Piling</v>
      </c>
      <c r="D26" s="16">
        <f>IFERROR(_xlfn.XLOOKUP(A26,Table13[TrackerID3],Table13[Start Date]),"")</f>
        <v>46204</v>
      </c>
      <c r="E26" s="16">
        <f>IFERROR(_xlfn.XLOOKUP(A26,Table13[TrackerID3],Table13[End Date]),"")</f>
        <v>46265</v>
      </c>
      <c r="F26">
        <f>IFERROR(_xlfn.XLOOKUP(A26,Table13[TrackerID3],Table13[Duration of Activity Impacting SAC (days)]),"")</f>
        <v>0</v>
      </c>
      <c r="G26" s="17" t="str" cm="1">
        <f t="array" ref="G26">IFERROR(_xlfn.XLOOKUP(A26,Table13[TrackerID3],IF(C15="Summer",Table13[Abatement/Mitigation
(MMO only)],Table13[Any Other Comments])),"")</f>
        <v>Instalation methodology tbc. Pin piling worst case assumption</v>
      </c>
      <c r="H26" s="12" t="str">
        <f>IFERROR(Table44[[#This Row],[Impact on SAC (km2)]]/$H$3,"")</f>
        <v/>
      </c>
      <c r="I26" s="12" t="str">
        <f>IFERROR(Table44[[#This Row],[Impact on SAC (%)]]*(MIN(Table44[[#This Row],[Proposed End Date]],$F$3)-MAX(Table44[[#This Row],[Proposed Start Date]],$F$2)+1)/$H$2,"")</f>
        <v/>
      </c>
      <c r="J26" s="12" t="str">
        <f>IFERROR(Table44[[#This Row],[Impact on SAC (%)]]*Table44[[#This Row],[Proposed days]]/$H$2,"")</f>
        <v/>
      </c>
    </row>
    <row r="27" spans="1:10" x14ac:dyDescent="0.35">
      <c r="A27" s="2"/>
      <c r="B27" t="str">
        <f>IFERROR(_xlfn.XLOOKUP(A27,Table13[TrackerID3],Table13[Project/Activity Name]),"")</f>
        <v>NEP Phase 1 Pin Piling Monitoring Equipment - CANCELLED</v>
      </c>
      <c r="C27" t="str">
        <f>IFERROR(_xlfn.XLOOKUP(A27,Table13[TrackerID3],Table13[Activity Type]),"")</f>
        <v>Pin Piling</v>
      </c>
      <c r="D27" s="16">
        <f>IFERROR(_xlfn.XLOOKUP(A27,Table13[TrackerID3],Table13[Start Date]),"")</f>
        <v>46204</v>
      </c>
      <c r="E27" s="16">
        <f>IFERROR(_xlfn.XLOOKUP(A27,Table13[TrackerID3],Table13[End Date]),"")</f>
        <v>46265</v>
      </c>
      <c r="F27">
        <f>IFERROR(_xlfn.XLOOKUP(A27,Table13[TrackerID3],Table13[Duration of Activity Impacting SAC (days)]),"")</f>
        <v>0</v>
      </c>
      <c r="G27" s="17" t="str" cm="1">
        <f t="array" ref="G27">IFERROR(_xlfn.XLOOKUP(A27,Table13[TrackerID3],IF(C16="Summer",Table13[Abatement/Mitigation
(MMO only)],Table13[Any Other Comments])),"")</f>
        <v>Instalation methodology tbc. Pin piling worst case assumption</v>
      </c>
      <c r="H27" s="12" t="str">
        <f>IFERROR(Table44[[#This Row],[Impact on SAC (km2)]]/$H$3,"")</f>
        <v/>
      </c>
      <c r="I27" s="12" t="str">
        <f>IFERROR(Table44[[#This Row],[Impact on SAC (%)]]*(MIN(Table44[[#This Row],[Proposed End Date]],$F$3)-MAX(Table44[[#This Row],[Proposed Start Date]],$F$2)+1)/$H$2,"")</f>
        <v/>
      </c>
      <c r="J27" s="12" t="str">
        <f>IFERROR(Table44[[#This Row],[Impact on SAC (%)]]*Table44[[#This Row],[Proposed days]]/$H$2,"")</f>
        <v/>
      </c>
    </row>
    <row r="28" spans="1:10" x14ac:dyDescent="0.35">
      <c r="A28" s="2"/>
      <c r="B28" t="str">
        <f>IFERROR(_xlfn.XLOOKUP(A28,Table13[TrackerID3],Table13[Project/Activity Name]),"")</f>
        <v>NEP Phase 1 Pin Piling Monitoring Equipment - CANCELLED</v>
      </c>
      <c r="C28" t="str">
        <f>IFERROR(_xlfn.XLOOKUP(A28,Table13[TrackerID3],Table13[Activity Type]),"")</f>
        <v>Pin Piling</v>
      </c>
      <c r="D28" s="16">
        <f>IFERROR(_xlfn.XLOOKUP(A28,Table13[TrackerID3],Table13[Start Date]),"")</f>
        <v>46204</v>
      </c>
      <c r="E28" s="16">
        <f>IFERROR(_xlfn.XLOOKUP(A28,Table13[TrackerID3],Table13[End Date]),"")</f>
        <v>46265</v>
      </c>
      <c r="F28">
        <f>IFERROR(_xlfn.XLOOKUP(A28,Table13[TrackerID3],Table13[Duration of Activity Impacting SAC (days)]),"")</f>
        <v>0</v>
      </c>
      <c r="G28" s="17" t="str" cm="1">
        <f t="array" ref="G28">IFERROR(_xlfn.XLOOKUP(A28,Table13[TrackerID3],IF(C17="Summer",Table13[Abatement/Mitigation
(MMO only)],Table13[Any Other Comments])),"")</f>
        <v>Instalation methodology tbc. Pin piling worst case assumption</v>
      </c>
      <c r="H28" s="12" t="str">
        <f>IFERROR(Table44[[#This Row],[Impact on SAC (km2)]]/$H$3,"")</f>
        <v/>
      </c>
      <c r="I28" s="12" t="str">
        <f>IFERROR(Table44[[#This Row],[Impact on SAC (%)]]*(MIN(Table44[[#This Row],[Proposed End Date]],$F$3)-MAX(Table44[[#This Row],[Proposed Start Date]],$F$2)+1)/$H$2,"")</f>
        <v/>
      </c>
      <c r="J28" s="12" t="str">
        <f>IFERROR(Table44[[#This Row],[Impact on SAC (%)]]*Table44[[#This Row],[Proposed days]]/$H$2,"")</f>
        <v/>
      </c>
    </row>
    <row r="29" spans="1:10" x14ac:dyDescent="0.35">
      <c r="A29" s="2"/>
      <c r="B29" t="str">
        <f>IFERROR(_xlfn.XLOOKUP(A29,Table13[TrackerID3],Table13[Project/Activity Name]),"")</f>
        <v>NEP Phase 1 Pin Piling Monitoring Equipment - CANCELLED</v>
      </c>
      <c r="C29" t="str">
        <f>IFERROR(_xlfn.XLOOKUP(A29,Table13[TrackerID3],Table13[Activity Type]),"")</f>
        <v>Pin Piling</v>
      </c>
      <c r="D29" s="16">
        <f>IFERROR(_xlfn.XLOOKUP(A29,Table13[TrackerID3],Table13[Start Date]),"")</f>
        <v>46204</v>
      </c>
      <c r="E29" s="16">
        <f>IFERROR(_xlfn.XLOOKUP(A29,Table13[TrackerID3],Table13[End Date]),"")</f>
        <v>46265</v>
      </c>
      <c r="F29">
        <f>IFERROR(_xlfn.XLOOKUP(A29,Table13[TrackerID3],Table13[Duration of Activity Impacting SAC (days)]),"")</f>
        <v>0</v>
      </c>
      <c r="G29" s="17" t="str" cm="1">
        <f t="array" ref="G29">IFERROR(_xlfn.XLOOKUP(A29,Table13[TrackerID3],IF(C18="Summer",Table13[Abatement/Mitigation
(MMO only)],Table13[Any Other Comments])),"")</f>
        <v>Instalation methodology tbc. Pin piling worst case assumption</v>
      </c>
      <c r="H29" s="12" t="str">
        <f>IFERROR(Table44[[#This Row],[Impact on SAC (km2)]]/$H$3,"")</f>
        <v/>
      </c>
      <c r="I29" s="12" t="str">
        <f>IFERROR(Table44[[#This Row],[Impact on SAC (%)]]*(MIN(Table44[[#This Row],[Proposed End Date]],$F$3)-MAX(Table44[[#This Row],[Proposed Start Date]],$F$2)+1)/$H$2,"")</f>
        <v/>
      </c>
      <c r="J29" s="12" t="str">
        <f>IFERROR(Table44[[#This Row],[Impact on SAC (%)]]*Table44[[#This Row],[Proposed days]]/$H$2,"")</f>
        <v/>
      </c>
    </row>
    <row r="30" spans="1:10" x14ac:dyDescent="0.35">
      <c r="A30" s="2"/>
      <c r="B30" t="str">
        <f>IFERROR(_xlfn.XLOOKUP(A30,Table13[TrackerID3],Table13[Project/Activity Name]),"")</f>
        <v>NEP Phase 1 Pin Piling Monitoring Equipment - CANCELLED</v>
      </c>
      <c r="C30" t="str">
        <f>IFERROR(_xlfn.XLOOKUP(A30,Table13[TrackerID3],Table13[Activity Type]),"")</f>
        <v>Pin Piling</v>
      </c>
      <c r="D30" s="16">
        <f>IFERROR(_xlfn.XLOOKUP(A30,Table13[TrackerID3],Table13[Start Date]),"")</f>
        <v>46204</v>
      </c>
      <c r="E30" s="16">
        <f>IFERROR(_xlfn.XLOOKUP(A30,Table13[TrackerID3],Table13[End Date]),"")</f>
        <v>46265</v>
      </c>
      <c r="F30">
        <f>IFERROR(_xlfn.XLOOKUP(A30,Table13[TrackerID3],Table13[Duration of Activity Impacting SAC (days)]),"")</f>
        <v>0</v>
      </c>
      <c r="G30" s="17" t="str" cm="1">
        <f t="array" ref="G30">IFERROR(_xlfn.XLOOKUP(A30,Table13[TrackerID3],IF(C19="Summer",Table13[Abatement/Mitigation
(MMO only)],Table13[Any Other Comments])),"")</f>
        <v>Instalation methodology tbc. Pin piling worst case assumption</v>
      </c>
      <c r="H30" s="12" t="str">
        <f>IFERROR(Table44[[#This Row],[Impact on SAC (km2)]]/$H$3,"")</f>
        <v/>
      </c>
      <c r="I30" s="12" t="str">
        <f>IFERROR(Table44[[#This Row],[Impact on SAC (%)]]*(MIN(Table44[[#This Row],[Proposed End Date]],$F$3)-MAX(Table44[[#This Row],[Proposed Start Date]],$F$2)+1)/$H$2,"")</f>
        <v/>
      </c>
      <c r="J30" s="12" t="str">
        <f>IFERROR(Table44[[#This Row],[Impact on SAC (%)]]*Table44[[#This Row],[Proposed days]]/$H$2,"")</f>
        <v/>
      </c>
    </row>
    <row r="31" spans="1:10" x14ac:dyDescent="0.35">
      <c r="A31" s="2"/>
      <c r="B31" t="str">
        <f>IFERROR(_xlfn.XLOOKUP(A31,Table13[TrackerID3],Table13[Project/Activity Name]),"")</f>
        <v>NEP Phase 1 Pin Piling Monitoring Equipment - CANCELLED</v>
      </c>
      <c r="C31" t="str">
        <f>IFERROR(_xlfn.XLOOKUP(A31,Table13[TrackerID3],Table13[Activity Type]),"")</f>
        <v>Pin Piling</v>
      </c>
      <c r="D31" s="16">
        <f>IFERROR(_xlfn.XLOOKUP(A31,Table13[TrackerID3],Table13[Start Date]),"")</f>
        <v>46204</v>
      </c>
      <c r="E31" s="16">
        <f>IFERROR(_xlfn.XLOOKUP(A31,Table13[TrackerID3],Table13[End Date]),"")</f>
        <v>46265</v>
      </c>
      <c r="F31">
        <f>IFERROR(_xlfn.XLOOKUP(A31,Table13[TrackerID3],Table13[Duration of Activity Impacting SAC (days)]),"")</f>
        <v>0</v>
      </c>
      <c r="G31" s="17" t="str" cm="1">
        <f t="array" ref="G31">IFERROR(_xlfn.XLOOKUP(A31,Table13[TrackerID3],IF(C20="Summer",Table13[Abatement/Mitigation
(MMO only)],Table13[Any Other Comments])),"")</f>
        <v>Instalation methodology tbc. Pin piling worst case assumption</v>
      </c>
      <c r="H31" s="12" t="str">
        <f>IFERROR(Table44[[#This Row],[Impact on SAC (km2)]]/$H$3,"")</f>
        <v/>
      </c>
      <c r="I31" s="12" t="str">
        <f>IFERROR(Table44[[#This Row],[Impact on SAC (%)]]*(MIN(Table44[[#This Row],[Proposed End Date]],$F$3)-MAX(Table44[[#This Row],[Proposed Start Date]],$F$2)+1)/$H$2,"")</f>
        <v/>
      </c>
      <c r="J31" s="12" t="str">
        <f>IFERROR(Table44[[#This Row],[Impact on SAC (%)]]*Table44[[#This Row],[Proposed days]]/$H$2,"")</f>
        <v/>
      </c>
    </row>
    <row r="32" spans="1:10" x14ac:dyDescent="0.35">
      <c r="A32" s="2"/>
      <c r="B32" t="str">
        <f>IFERROR(_xlfn.XLOOKUP(A32,Table13[TrackerID3],Table13[Project/Activity Name]),"")</f>
        <v>NEP Phase 1 Pin Piling Monitoring Equipment - CANCELLED</v>
      </c>
      <c r="C32" t="str">
        <f>IFERROR(_xlfn.XLOOKUP(A32,Table13[TrackerID3],Table13[Activity Type]),"")</f>
        <v>Pin Piling</v>
      </c>
      <c r="D32" s="16">
        <f>IFERROR(_xlfn.XLOOKUP(A32,Table13[TrackerID3],Table13[Start Date]),"")</f>
        <v>46204</v>
      </c>
      <c r="E32" s="16">
        <f>IFERROR(_xlfn.XLOOKUP(A32,Table13[TrackerID3],Table13[End Date]),"")</f>
        <v>46265</v>
      </c>
      <c r="F32">
        <f>IFERROR(_xlfn.XLOOKUP(A32,Table13[TrackerID3],Table13[Duration of Activity Impacting SAC (days)]),"")</f>
        <v>0</v>
      </c>
      <c r="G32" s="17" t="str" cm="1">
        <f t="array" ref="G32">IFERROR(_xlfn.XLOOKUP(A32,Table13[TrackerID3],IF(C21="Summer",Table13[Abatement/Mitigation
(MMO only)],Table13[Any Other Comments])),"")</f>
        <v>Instalation methodology tbc. Pin piling worst case assumption</v>
      </c>
      <c r="H32" s="12" t="str">
        <f>IFERROR(Table44[[#This Row],[Impact on SAC (km2)]]/$H$3,"")</f>
        <v/>
      </c>
      <c r="I32" s="12" t="str">
        <f>IFERROR(Table44[[#This Row],[Impact on SAC (%)]]*(MIN(Table44[[#This Row],[Proposed End Date]],$F$3)-MAX(Table44[[#This Row],[Proposed Start Date]],$F$2)+1)/$H$2,"")</f>
        <v/>
      </c>
      <c r="J32" s="12" t="str">
        <f>IFERROR(Table44[[#This Row],[Impact on SAC (%)]]*Table44[[#This Row],[Proposed days]]/$H$2,"")</f>
        <v/>
      </c>
    </row>
    <row r="33" spans="1:10" x14ac:dyDescent="0.35">
      <c r="A33" s="2"/>
      <c r="B33" t="str">
        <f>IFERROR(_xlfn.XLOOKUP(A33,Table13[TrackerID3],Table13[Project/Activity Name]),"")</f>
        <v>NEP Phase 1 Pin Piling Monitoring Equipment - CANCELLED</v>
      </c>
      <c r="C33" t="str">
        <f>IFERROR(_xlfn.XLOOKUP(A33,Table13[TrackerID3],Table13[Activity Type]),"")</f>
        <v>Pin Piling</v>
      </c>
      <c r="D33" s="16">
        <f>IFERROR(_xlfn.XLOOKUP(A33,Table13[TrackerID3],Table13[Start Date]),"")</f>
        <v>46204</v>
      </c>
      <c r="E33" s="16">
        <f>IFERROR(_xlfn.XLOOKUP(A33,Table13[TrackerID3],Table13[End Date]),"")</f>
        <v>46265</v>
      </c>
      <c r="F33">
        <f>IFERROR(_xlfn.XLOOKUP(A33,Table13[TrackerID3],Table13[Duration of Activity Impacting SAC (days)]),"")</f>
        <v>0</v>
      </c>
      <c r="G33" s="17" t="str" cm="1">
        <f t="array" ref="G33">IFERROR(_xlfn.XLOOKUP(A33,Table13[TrackerID3],IF(C22="Summer",Table13[Abatement/Mitigation
(MMO only)],Table13[Any Other Comments])),"")</f>
        <v>Instalation methodology tbc. Pin piling worst case assumption</v>
      </c>
      <c r="H33" s="12" t="str">
        <f>IFERROR(Table44[[#This Row],[Impact on SAC (km2)]]/$H$3,"")</f>
        <v/>
      </c>
      <c r="I33" s="12" t="str">
        <f>IFERROR(Table44[[#This Row],[Impact on SAC (%)]]*(MIN(Table44[[#This Row],[Proposed End Date]],$F$3)-MAX(Table44[[#This Row],[Proposed Start Date]],$F$2)+1)/$H$2,"")</f>
        <v/>
      </c>
      <c r="J33" s="12" t="str">
        <f>IFERROR(Table44[[#This Row],[Impact on SAC (%)]]*Table44[[#This Row],[Proposed days]]/$H$2,"")</f>
        <v/>
      </c>
    </row>
    <row r="34" spans="1:10" x14ac:dyDescent="0.35">
      <c r="A34" s="2"/>
      <c r="B34" t="str">
        <f>IFERROR(_xlfn.XLOOKUP(A34,Table13[TrackerID3],Table13[Project/Activity Name]),"")</f>
        <v>NEP Phase 1 Pin Piling Monitoring Equipment - CANCELLED</v>
      </c>
      <c r="C34" t="str">
        <f>IFERROR(_xlfn.XLOOKUP(A34,Table13[TrackerID3],Table13[Activity Type]),"")</f>
        <v>Pin Piling</v>
      </c>
      <c r="D34" s="16">
        <f>IFERROR(_xlfn.XLOOKUP(A34,Table13[TrackerID3],Table13[Start Date]),"")</f>
        <v>46204</v>
      </c>
      <c r="E34" s="16">
        <f>IFERROR(_xlfn.XLOOKUP(A34,Table13[TrackerID3],Table13[End Date]),"")</f>
        <v>46265</v>
      </c>
      <c r="F34">
        <f>IFERROR(_xlfn.XLOOKUP(A34,Table13[TrackerID3],Table13[Duration of Activity Impacting SAC (days)]),"")</f>
        <v>0</v>
      </c>
      <c r="G34" s="17" t="str" cm="1">
        <f t="array" ref="G34">IFERROR(_xlfn.XLOOKUP(A34,Table13[TrackerID3],IF(C23="Summer",Table13[Abatement/Mitigation
(MMO only)],Table13[Any Other Comments])),"")</f>
        <v>Instalation methodology tbc. Pin piling worst case assumption</v>
      </c>
      <c r="H34" s="12" t="str">
        <f>IFERROR(Table44[[#This Row],[Impact on SAC (km2)]]/$H$3,"")</f>
        <v/>
      </c>
      <c r="I34" s="12" t="str">
        <f>IFERROR(Table44[[#This Row],[Impact on SAC (%)]]*(MIN(Table44[[#This Row],[Proposed End Date]],$F$3)-MAX(Table44[[#This Row],[Proposed Start Date]],$F$2)+1)/$H$2,"")</f>
        <v/>
      </c>
      <c r="J34" s="12" t="str">
        <f>IFERROR(Table44[[#This Row],[Impact on SAC (%)]]*Table44[[#This Row],[Proposed days]]/$H$2,"")</f>
        <v/>
      </c>
    </row>
    <row r="35" spans="1:10" x14ac:dyDescent="0.35">
      <c r="A35" s="2"/>
      <c r="B35" t="str">
        <f>IFERROR(_xlfn.XLOOKUP(A35,Table13[TrackerID3],Table13[Project/Activity Name]),"")</f>
        <v>NEP Phase 1 Pin Piling Monitoring Equipment - CANCELLED</v>
      </c>
      <c r="C35" t="str">
        <f>IFERROR(_xlfn.XLOOKUP(A35,Table13[TrackerID3],Table13[Activity Type]),"")</f>
        <v>Pin Piling</v>
      </c>
      <c r="D35" s="16">
        <f>IFERROR(_xlfn.XLOOKUP(A35,Table13[TrackerID3],Table13[Start Date]),"")</f>
        <v>46204</v>
      </c>
      <c r="E35" s="16">
        <f>IFERROR(_xlfn.XLOOKUP(A35,Table13[TrackerID3],Table13[End Date]),"")</f>
        <v>46265</v>
      </c>
      <c r="F35">
        <f>IFERROR(_xlfn.XLOOKUP(A35,Table13[TrackerID3],Table13[Duration of Activity Impacting SAC (days)]),"")</f>
        <v>0</v>
      </c>
      <c r="G35" s="17" t="str" cm="1">
        <f t="array" ref="G35">IFERROR(_xlfn.XLOOKUP(A35,Table13[TrackerID3],IF(C24="Summer",Table13[Abatement/Mitigation
(MMO only)],Table13[Any Other Comments])),"")</f>
        <v>Instalation methodology tbc. Pin piling worst case assumption</v>
      </c>
      <c r="H35" s="12" t="str">
        <f>IFERROR(Table44[[#This Row],[Impact on SAC (km2)]]/$H$3,"")</f>
        <v/>
      </c>
      <c r="I35" s="12" t="str">
        <f>IFERROR(Table44[[#This Row],[Impact on SAC (%)]]*(MIN(Table44[[#This Row],[Proposed End Date]],$F$3)-MAX(Table44[[#This Row],[Proposed Start Date]],$F$2)+1)/$H$2,"")</f>
        <v/>
      </c>
      <c r="J35" s="12" t="str">
        <f>IFERROR(Table44[[#This Row],[Impact on SAC (%)]]*Table44[[#This Row],[Proposed days]]/$H$2,"")</f>
        <v/>
      </c>
    </row>
    <row r="36" spans="1:10" x14ac:dyDescent="0.35">
      <c r="A36" s="2"/>
      <c r="B36" t="str">
        <f>IFERROR(_xlfn.XLOOKUP(A36,Table13[TrackerID3],Table13[Project/Activity Name]),"")</f>
        <v>NEP Phase 1 Pin Piling Monitoring Equipment - CANCELLED</v>
      </c>
      <c r="C36" t="str">
        <f>IFERROR(_xlfn.XLOOKUP(A36,Table13[TrackerID3],Table13[Activity Type]),"")</f>
        <v>Pin Piling</v>
      </c>
      <c r="D36" s="16">
        <f>IFERROR(_xlfn.XLOOKUP(A36,Table13[TrackerID3],Table13[Start Date]),"")</f>
        <v>46204</v>
      </c>
      <c r="E36" s="16">
        <f>IFERROR(_xlfn.XLOOKUP(A36,Table13[TrackerID3],Table13[End Date]),"")</f>
        <v>46265</v>
      </c>
      <c r="F36">
        <f>IFERROR(_xlfn.XLOOKUP(A36,Table13[TrackerID3],Table13[Duration of Activity Impacting SAC (days)]),"")</f>
        <v>0</v>
      </c>
      <c r="G36" s="17" t="str" cm="1">
        <f t="array" ref="G36">IFERROR(_xlfn.XLOOKUP(A36,Table13[TrackerID3],IF(C25="Summer",Table13[Abatement/Mitigation
(MMO only)],Table13[Any Other Comments])),"")</f>
        <v>Instalation methodology tbc. Pin piling worst case assumption</v>
      </c>
      <c r="H36" s="12" t="str">
        <f>IFERROR(Table44[[#This Row],[Impact on SAC (km2)]]/$H$3,"")</f>
        <v/>
      </c>
      <c r="I36" s="12" t="str">
        <f>IFERROR(Table44[[#This Row],[Impact on SAC (%)]]*(MIN(Table44[[#This Row],[Proposed End Date]],$F$3)-MAX(Table44[[#This Row],[Proposed Start Date]],$F$2)+1)/$H$2,"")</f>
        <v/>
      </c>
      <c r="J36" s="12" t="str">
        <f>IFERROR(Table44[[#This Row],[Impact on SAC (%)]]*Table44[[#This Row],[Proposed days]]/$H$2,"")</f>
        <v/>
      </c>
    </row>
    <row r="37" spans="1:10" x14ac:dyDescent="0.35">
      <c r="A37" s="2"/>
      <c r="B37" t="str">
        <f>IFERROR(_xlfn.XLOOKUP(A37,Table13[TrackerID3],Table13[Project/Activity Name]),"")</f>
        <v>NEP Phase 1 Pin Piling Monitoring Equipment - CANCELLED</v>
      </c>
      <c r="C37" t="str">
        <f>IFERROR(_xlfn.XLOOKUP(A37,Table13[TrackerID3],Table13[Activity Type]),"")</f>
        <v>Pin Piling</v>
      </c>
      <c r="D37" s="16">
        <f>IFERROR(_xlfn.XLOOKUP(A37,Table13[TrackerID3],Table13[Start Date]),"")</f>
        <v>46204</v>
      </c>
      <c r="E37" s="16">
        <f>IFERROR(_xlfn.XLOOKUP(A37,Table13[TrackerID3],Table13[End Date]),"")</f>
        <v>46265</v>
      </c>
      <c r="F37">
        <f>IFERROR(_xlfn.XLOOKUP(A37,Table13[TrackerID3],Table13[Duration of Activity Impacting SAC (days)]),"")</f>
        <v>0</v>
      </c>
      <c r="G37" s="17" t="str" cm="1">
        <f t="array" ref="G37">IFERROR(_xlfn.XLOOKUP(A37,Table13[TrackerID3],IF(C26="Summer",Table13[Abatement/Mitigation
(MMO only)],Table13[Any Other Comments])),"")</f>
        <v>Instalation methodology tbc. Pin piling worst case assumption</v>
      </c>
      <c r="H37" s="12" t="str">
        <f>IFERROR(Table44[[#This Row],[Impact on SAC (km2)]]/$H$3,"")</f>
        <v/>
      </c>
      <c r="I37" s="12" t="str">
        <f>IFERROR(Table44[[#This Row],[Impact on SAC (%)]]*(MIN(Table44[[#This Row],[Proposed End Date]],$F$3)-MAX(Table44[[#This Row],[Proposed Start Date]],$F$2)+1)/$H$2,"")</f>
        <v/>
      </c>
      <c r="J37" s="12" t="str">
        <f>IFERROR(Table44[[#This Row],[Impact on SAC (%)]]*Table44[[#This Row],[Proposed days]]/$H$2,"")</f>
        <v/>
      </c>
    </row>
    <row r="38" spans="1:10" x14ac:dyDescent="0.35">
      <c r="A38" s="2"/>
      <c r="B38" t="str">
        <f>IFERROR(_xlfn.XLOOKUP(A38,Table13[TrackerID3],Table13[Project/Activity Name]),"")</f>
        <v>NEP Phase 1 Pin Piling Monitoring Equipment - CANCELLED</v>
      </c>
      <c r="C38" t="str">
        <f>IFERROR(_xlfn.XLOOKUP(A38,Table13[TrackerID3],Table13[Activity Type]),"")</f>
        <v>Pin Piling</v>
      </c>
      <c r="D38" s="16">
        <f>IFERROR(_xlfn.XLOOKUP(A38,Table13[TrackerID3],Table13[Start Date]),"")</f>
        <v>46204</v>
      </c>
      <c r="E38" s="16">
        <f>IFERROR(_xlfn.XLOOKUP(A38,Table13[TrackerID3],Table13[End Date]),"")</f>
        <v>46265</v>
      </c>
      <c r="F38">
        <f>IFERROR(_xlfn.XLOOKUP(A38,Table13[TrackerID3],Table13[Duration of Activity Impacting SAC (days)]),"")</f>
        <v>0</v>
      </c>
      <c r="G38" s="17" t="str" cm="1">
        <f t="array" ref="G38">IFERROR(_xlfn.XLOOKUP(A38,Table13[TrackerID3],IF(C27="Summer",Table13[Abatement/Mitigation
(MMO only)],Table13[Any Other Comments])),"")</f>
        <v>Instalation methodology tbc. Pin piling worst case assumption</v>
      </c>
      <c r="H38" s="12" t="str">
        <f>IFERROR(Table44[[#This Row],[Impact on SAC (km2)]]/$H$3,"")</f>
        <v/>
      </c>
      <c r="I38" s="12" t="str">
        <f>IFERROR(Table44[[#This Row],[Impact on SAC (%)]]*(MIN(Table44[[#This Row],[Proposed End Date]],$F$3)-MAX(Table44[[#This Row],[Proposed Start Date]],$F$2)+1)/$H$2,"")</f>
        <v/>
      </c>
      <c r="J38" s="12" t="str">
        <f>IFERROR(Table44[[#This Row],[Impact on SAC (%)]]*Table44[[#This Row],[Proposed days]]/$H$2,"")</f>
        <v/>
      </c>
    </row>
    <row r="39" spans="1:10" x14ac:dyDescent="0.35">
      <c r="A39" s="2"/>
      <c r="B39" t="str">
        <f>IFERROR(_xlfn.XLOOKUP(A39,Table13[TrackerID3],Table13[Project/Activity Name]),"")</f>
        <v>NEP Phase 1 Pin Piling Monitoring Equipment - CANCELLED</v>
      </c>
      <c r="C39" t="str">
        <f>IFERROR(_xlfn.XLOOKUP(A39,Table13[TrackerID3],Table13[Activity Type]),"")</f>
        <v>Pin Piling</v>
      </c>
      <c r="D39" s="16">
        <f>IFERROR(_xlfn.XLOOKUP(A39,Table13[TrackerID3],Table13[Start Date]),"")</f>
        <v>46204</v>
      </c>
      <c r="E39" s="16">
        <f>IFERROR(_xlfn.XLOOKUP(A39,Table13[TrackerID3],Table13[End Date]),"")</f>
        <v>46265</v>
      </c>
      <c r="F39">
        <f>IFERROR(_xlfn.XLOOKUP(A39,Table13[TrackerID3],Table13[Duration of Activity Impacting SAC (days)]),"")</f>
        <v>0</v>
      </c>
      <c r="G39" s="17" t="str" cm="1">
        <f t="array" ref="G39">IFERROR(_xlfn.XLOOKUP(A39,Table13[TrackerID3],IF(C28="Summer",Table13[Abatement/Mitigation
(MMO only)],Table13[Any Other Comments])),"")</f>
        <v>Instalation methodology tbc. Pin piling worst case assumption</v>
      </c>
      <c r="H39" s="12" t="str">
        <f>IFERROR(Table44[[#This Row],[Impact on SAC (km2)]]/$H$3,"")</f>
        <v/>
      </c>
      <c r="I39" s="12" t="str">
        <f>IFERROR(Table44[[#This Row],[Impact on SAC (%)]]*(MIN(Table44[[#This Row],[Proposed End Date]],$F$3)-MAX(Table44[[#This Row],[Proposed Start Date]],$F$2)+1)/$H$2,"")</f>
        <v/>
      </c>
      <c r="J39" s="12" t="str">
        <f>IFERROR(Table44[[#This Row],[Impact on SAC (%)]]*Table44[[#This Row],[Proposed days]]/$H$2,"")</f>
        <v/>
      </c>
    </row>
    <row r="40" spans="1:10" x14ac:dyDescent="0.35">
      <c r="B40" t="str">
        <f>IFERROR(_xlfn.XLOOKUP(A40,Table13[TrackerID3],Table13[Project/Activity Name]),"")</f>
        <v>NEP Phase 1 Pin Piling Monitoring Equipment - CANCELLED</v>
      </c>
      <c r="C40" t="str">
        <f>IFERROR(_xlfn.XLOOKUP(A40,Table13[TrackerID3],Table13[Activity Type]),"")</f>
        <v>Pin Piling</v>
      </c>
      <c r="D40" s="16">
        <f>IFERROR(_xlfn.XLOOKUP(A40,Table13[TrackerID3],Table13[Start Date]),"")</f>
        <v>46204</v>
      </c>
      <c r="E40" s="16">
        <f>IFERROR(_xlfn.XLOOKUP(A40,Table13[TrackerID3],Table13[End Date]),"")</f>
        <v>46265</v>
      </c>
      <c r="F40">
        <f>IFERROR(_xlfn.XLOOKUP(A40,Table13[TrackerID3],Table13[Duration of Activity Impacting SAC (days)]),"")</f>
        <v>0</v>
      </c>
      <c r="G40" s="17" t="str" cm="1">
        <f t="array" ref="G40">IFERROR(_xlfn.XLOOKUP(A40,Table13[TrackerID3],IF(C29="Summer",Table13[Abatement/Mitigation
(MMO only)],Table13[Any Other Comments])),"")</f>
        <v>Instalation methodology tbc. Pin piling worst case assumption</v>
      </c>
      <c r="H40" s="12" t="str">
        <f>IFERROR(Table44[[#This Row],[Impact on SAC (km2)]]/$H$3,"")</f>
        <v/>
      </c>
      <c r="I40" s="12" t="str">
        <f>IFERROR(Table44[[#This Row],[Impact on SAC (%)]]*(MIN(Table44[[#This Row],[Proposed End Date]],$F$3)-MAX(Table44[[#This Row],[Proposed Start Date]],$F$2)+1)/$H$2,"")</f>
        <v/>
      </c>
      <c r="J40" s="12" t="str">
        <f>IFERROR(Table44[[#This Row],[Impact on SAC (%)]]*Table44[[#This Row],[Proposed days]]/$H$2,"")</f>
        <v/>
      </c>
    </row>
    <row r="41" spans="1:10" x14ac:dyDescent="0.35">
      <c r="B41" t="str">
        <f>IFERROR(_xlfn.XLOOKUP(A41,Table13[TrackerID3],Table13[Project/Activity Name]),"")</f>
        <v>NEP Phase 1 Pin Piling Monitoring Equipment - CANCELLED</v>
      </c>
      <c r="C41" t="str">
        <f>IFERROR(_xlfn.XLOOKUP(A41,Table13[TrackerID3],Table13[Activity Type]),"")</f>
        <v>Pin Piling</v>
      </c>
      <c r="D41" s="16">
        <f>IFERROR(_xlfn.XLOOKUP(A41,Table13[TrackerID3],Table13[Start Date]),"")</f>
        <v>46204</v>
      </c>
      <c r="E41" s="16">
        <f>IFERROR(_xlfn.XLOOKUP(A41,Table13[TrackerID3],Table13[End Date]),"")</f>
        <v>46265</v>
      </c>
      <c r="F41">
        <f>IFERROR(_xlfn.XLOOKUP(A41,Table13[TrackerID3],Table13[Duration of Activity Impacting SAC (days)]),"")</f>
        <v>0</v>
      </c>
      <c r="G41" s="17" t="str" cm="1">
        <f t="array" ref="G41">IFERROR(_xlfn.XLOOKUP(A41,Table13[TrackerID3],IF(C30="Summer",Table13[Abatement/Mitigation
(MMO only)],Table13[Any Other Comments])),"")</f>
        <v>Instalation methodology tbc. Pin piling worst case assumption</v>
      </c>
      <c r="H41" s="12" t="str">
        <f>IFERROR(Table44[[#This Row],[Impact on SAC (km2)]]/$H$3,"")</f>
        <v/>
      </c>
      <c r="I41" s="12" t="str">
        <f>IFERROR(Table44[[#This Row],[Impact on SAC (%)]]*(MIN(Table44[[#This Row],[Proposed End Date]],$F$3)-MAX(Table44[[#This Row],[Proposed Start Date]],$F$2)+1)/$H$2,"")</f>
        <v/>
      </c>
      <c r="J41" s="12" t="str">
        <f>IFERROR(Table44[[#This Row],[Impact on SAC (%)]]*Table44[[#This Row],[Proposed days]]/$H$2,"")</f>
        <v/>
      </c>
    </row>
    <row r="42" spans="1:10" x14ac:dyDescent="0.35">
      <c r="B42" t="str">
        <f>IFERROR(_xlfn.XLOOKUP(A42,Table13[TrackerID3],Table13[Project/Activity Name]),"")</f>
        <v>NEP Phase 1 Pin Piling Monitoring Equipment - CANCELLED</v>
      </c>
      <c r="C42" t="str">
        <f>IFERROR(_xlfn.XLOOKUP(A42,Table13[TrackerID3],Table13[Activity Type]),"")</f>
        <v>Pin Piling</v>
      </c>
      <c r="D42" s="16">
        <f>IFERROR(_xlfn.XLOOKUP(A42,Table13[TrackerID3],Table13[Start Date]),"")</f>
        <v>46204</v>
      </c>
      <c r="E42" s="16">
        <f>IFERROR(_xlfn.XLOOKUP(A42,Table13[TrackerID3],Table13[End Date]),"")</f>
        <v>46265</v>
      </c>
      <c r="F42">
        <f>IFERROR(_xlfn.XLOOKUP(A42,Table13[TrackerID3],Table13[Duration of Activity Impacting SAC (days)]),"")</f>
        <v>0</v>
      </c>
      <c r="G42" s="17" t="str" cm="1">
        <f t="array" ref="G42">IFERROR(_xlfn.XLOOKUP(A42,Table13[TrackerID3],IF(C31="Summer",Table13[Abatement/Mitigation
(MMO only)],Table13[Any Other Comments])),"")</f>
        <v>Instalation methodology tbc. Pin piling worst case assumption</v>
      </c>
      <c r="H42" s="12" t="str">
        <f>IFERROR(Table44[[#This Row],[Impact on SAC (km2)]]/$H$3,"")</f>
        <v/>
      </c>
      <c r="I42" s="12" t="str">
        <f>IFERROR(Table44[[#This Row],[Impact on SAC (%)]]*(MIN(Table44[[#This Row],[Proposed End Date]],$F$3)-MAX(Table44[[#This Row],[Proposed Start Date]],$F$2)+1)/$H$2,"")</f>
        <v/>
      </c>
      <c r="J42" s="12" t="str">
        <f>IFERROR(Table44[[#This Row],[Impact on SAC (%)]]*Table44[[#This Row],[Proposed days]]/$H$2,"")</f>
        <v/>
      </c>
    </row>
    <row r="43" spans="1:10" x14ac:dyDescent="0.35">
      <c r="B43" t="str">
        <f>IFERROR(_xlfn.XLOOKUP(A43,Table13[TrackerID3],Table13[Project/Activity Name]),"")</f>
        <v>NEP Phase 1 Pin Piling Monitoring Equipment - CANCELLED</v>
      </c>
      <c r="C43" t="str">
        <f>IFERROR(_xlfn.XLOOKUP(A43,Table13[TrackerID3],Table13[Activity Type]),"")</f>
        <v>Pin Piling</v>
      </c>
      <c r="D43" s="16">
        <f>IFERROR(_xlfn.XLOOKUP(A43,Table13[TrackerID3],Table13[Start Date]),"")</f>
        <v>46204</v>
      </c>
      <c r="E43" s="16">
        <f>IFERROR(_xlfn.XLOOKUP(A43,Table13[TrackerID3],Table13[End Date]),"")</f>
        <v>46265</v>
      </c>
      <c r="F43">
        <f>IFERROR(_xlfn.XLOOKUP(A43,Table13[TrackerID3],Table13[Duration of Activity Impacting SAC (days)]),"")</f>
        <v>0</v>
      </c>
      <c r="G43" s="17" t="str" cm="1">
        <f t="array" ref="G43">IFERROR(_xlfn.XLOOKUP(A43,Table13[TrackerID3],IF(C32="Summer",Table13[Abatement/Mitigation
(MMO only)],Table13[Any Other Comments])),"")</f>
        <v>Instalation methodology tbc. Pin piling worst case assumption</v>
      </c>
      <c r="H43" s="12" t="str">
        <f>IFERROR(Table44[[#This Row],[Impact on SAC (km2)]]/$H$3,"")</f>
        <v/>
      </c>
      <c r="I43" s="12" t="str">
        <f>IFERROR(Table44[[#This Row],[Impact on SAC (%)]]*(MIN(Table44[[#This Row],[Proposed End Date]],$F$3)-MAX(Table44[[#This Row],[Proposed Start Date]],$F$2)+1)/$H$2,"")</f>
        <v/>
      </c>
      <c r="J43" s="12" t="str">
        <f>IFERROR(Table44[[#This Row],[Impact on SAC (%)]]*Table44[[#This Row],[Proposed days]]/$H$2,"")</f>
        <v/>
      </c>
    </row>
    <row r="44" spans="1:10" x14ac:dyDescent="0.35">
      <c r="B44" t="str">
        <f>IFERROR(_xlfn.XLOOKUP(A44,Table13[TrackerID3],Table13[Project/Activity Name]),"")</f>
        <v>NEP Phase 1 Pin Piling Monitoring Equipment - CANCELLED</v>
      </c>
      <c r="C44" t="str">
        <f>IFERROR(_xlfn.XLOOKUP(A44,Table13[TrackerID3],Table13[Activity Type]),"")</f>
        <v>Pin Piling</v>
      </c>
      <c r="D44" s="16">
        <f>IFERROR(_xlfn.XLOOKUP(A44,Table13[TrackerID3],Table13[Start Date]),"")</f>
        <v>46204</v>
      </c>
      <c r="E44" s="16">
        <f>IFERROR(_xlfn.XLOOKUP(A44,Table13[TrackerID3],Table13[End Date]),"")</f>
        <v>46265</v>
      </c>
      <c r="F44">
        <f>IFERROR(_xlfn.XLOOKUP(A44,Table13[TrackerID3],Table13[Duration of Activity Impacting SAC (days)]),"")</f>
        <v>0</v>
      </c>
      <c r="G44" s="17" t="str" cm="1">
        <f t="array" ref="G44">IFERROR(_xlfn.XLOOKUP(A44,Table13[TrackerID3],IF(C33="Summer",Table13[Abatement/Mitigation
(MMO only)],Table13[Any Other Comments])),"")</f>
        <v>Instalation methodology tbc. Pin piling worst case assumption</v>
      </c>
      <c r="H44" s="12" t="str">
        <f>IFERROR(Table44[[#This Row],[Impact on SAC (km2)]]/$H$3,"")</f>
        <v/>
      </c>
      <c r="I44" s="12" t="str">
        <f>IFERROR(Table44[[#This Row],[Impact on SAC (%)]]*(MIN(Table44[[#This Row],[Proposed End Date]],$F$3)-MAX(Table44[[#This Row],[Proposed Start Date]],$F$2)+1)/$H$2,"")</f>
        <v/>
      </c>
      <c r="J44" s="12" t="str">
        <f>IFERROR(Table44[[#This Row],[Impact on SAC (%)]]*Table44[[#This Row],[Proposed days]]/$H$2,"")</f>
        <v/>
      </c>
    </row>
    <row r="45" spans="1:10" x14ac:dyDescent="0.35">
      <c r="B45" t="str">
        <f>IFERROR(_xlfn.XLOOKUP(A45,Table13[TrackerID3],Table13[Project/Activity Name]),"")</f>
        <v>NEP Phase 1 Pin Piling Monitoring Equipment - CANCELLED</v>
      </c>
      <c r="C45" t="str">
        <f>IFERROR(_xlfn.XLOOKUP(A45,Table13[TrackerID3],Table13[Activity Type]),"")</f>
        <v>Pin Piling</v>
      </c>
      <c r="D45" s="16">
        <f>IFERROR(_xlfn.XLOOKUP(A45,Table13[TrackerID3],Table13[Start Date]),"")</f>
        <v>46204</v>
      </c>
      <c r="E45" s="16">
        <f>IFERROR(_xlfn.XLOOKUP(A45,Table13[TrackerID3],Table13[End Date]),"")</f>
        <v>46265</v>
      </c>
      <c r="F45">
        <f>IFERROR(_xlfn.XLOOKUP(A45,Table13[TrackerID3],Table13[Duration of Activity Impacting SAC (days)]),"")</f>
        <v>0</v>
      </c>
      <c r="G45" s="17" t="str" cm="1">
        <f t="array" ref="G45">IFERROR(_xlfn.XLOOKUP(A45,Table13[TrackerID3],IF(C34="Summer",Table13[Abatement/Mitigation
(MMO only)],Table13[Any Other Comments])),"")</f>
        <v>Instalation methodology tbc. Pin piling worst case assumption</v>
      </c>
      <c r="H45" s="12" t="str">
        <f>IFERROR(Table44[[#This Row],[Impact on SAC (km2)]]/$H$3,"")</f>
        <v/>
      </c>
      <c r="I45" s="12" t="str">
        <f>IFERROR(Table44[[#This Row],[Impact on SAC (%)]]*(MIN(Table44[[#This Row],[Proposed End Date]],$F$3)-MAX(Table44[[#This Row],[Proposed Start Date]],$F$2)+1)/$H$2,"")</f>
        <v/>
      </c>
      <c r="J45" s="12" t="str">
        <f>IFERROR(Table44[[#This Row],[Impact on SAC (%)]]*Table44[[#This Row],[Proposed days]]/$H$2,"")</f>
        <v/>
      </c>
    </row>
    <row r="46" spans="1:10" x14ac:dyDescent="0.35">
      <c r="B46" t="str">
        <f>IFERROR(_xlfn.XLOOKUP(A46,Table13[TrackerID3],Table13[Project/Activity Name]),"")</f>
        <v>NEP Phase 1 Pin Piling Monitoring Equipment - CANCELLED</v>
      </c>
      <c r="C46" t="str">
        <f>IFERROR(_xlfn.XLOOKUP(A46,Table13[TrackerID3],Table13[Activity Type]),"")</f>
        <v>Pin Piling</v>
      </c>
      <c r="D46" s="16">
        <f>IFERROR(_xlfn.XLOOKUP(A46,Table13[TrackerID3],Table13[Start Date]),"")</f>
        <v>46204</v>
      </c>
      <c r="E46" s="16">
        <f>IFERROR(_xlfn.XLOOKUP(A46,Table13[TrackerID3],Table13[End Date]),"")</f>
        <v>46265</v>
      </c>
      <c r="F46">
        <f>IFERROR(_xlfn.XLOOKUP(A46,Table13[TrackerID3],Table13[Duration of Activity Impacting SAC (days)]),"")</f>
        <v>0</v>
      </c>
      <c r="G46" s="17" t="str" cm="1">
        <f t="array" ref="G46">IFERROR(_xlfn.XLOOKUP(A46,Table13[TrackerID3],IF(C35="Summer",Table13[Abatement/Mitigation
(MMO only)],Table13[Any Other Comments])),"")</f>
        <v>Instalation methodology tbc. Pin piling worst case assumption</v>
      </c>
      <c r="H46" s="12" t="str">
        <f>IFERROR(Table44[[#This Row],[Impact on SAC (km2)]]/$H$3,"")</f>
        <v/>
      </c>
      <c r="I46" s="12" t="str">
        <f>IFERROR(Table44[[#This Row],[Impact on SAC (%)]]*(MIN(Table44[[#This Row],[Proposed End Date]],$F$3)-MAX(Table44[[#This Row],[Proposed Start Date]],$F$2)+1)/$H$2,"")</f>
        <v/>
      </c>
      <c r="J46" s="12" t="str">
        <f>IFERROR(Table44[[#This Row],[Impact on SAC (%)]]*Table44[[#This Row],[Proposed days]]/$H$2,"")</f>
        <v/>
      </c>
    </row>
    <row r="47" spans="1:10" x14ac:dyDescent="0.35">
      <c r="B47" t="str">
        <f>IFERROR(_xlfn.XLOOKUP(A47,Table13[TrackerID3],Table13[Project/Activity Name]),"")</f>
        <v>NEP Phase 1 Pin Piling Monitoring Equipment - CANCELLED</v>
      </c>
      <c r="C47" t="str">
        <f>IFERROR(_xlfn.XLOOKUP(A47,Table13[TrackerID3],Table13[Activity Type]),"")</f>
        <v>Pin Piling</v>
      </c>
      <c r="D47" s="16">
        <f>IFERROR(_xlfn.XLOOKUP(A47,Table13[TrackerID3],Table13[Start Date]),"")</f>
        <v>46204</v>
      </c>
      <c r="E47" s="16">
        <f>IFERROR(_xlfn.XLOOKUP(A47,Table13[TrackerID3],Table13[End Date]),"")</f>
        <v>46265</v>
      </c>
      <c r="F47">
        <f>IFERROR(_xlfn.XLOOKUP(A47,Table13[TrackerID3],Table13[Duration of Activity Impacting SAC (days)]),"")</f>
        <v>0</v>
      </c>
      <c r="G47" s="17" t="str" cm="1">
        <f t="array" ref="G47">IFERROR(_xlfn.XLOOKUP(A47,Table13[TrackerID3],IF(C36="Summer",Table13[Abatement/Mitigation
(MMO only)],Table13[Any Other Comments])),"")</f>
        <v>Instalation methodology tbc. Pin piling worst case assumption</v>
      </c>
      <c r="H47" s="12" t="str">
        <f>IFERROR(Table44[[#This Row],[Impact on SAC (km2)]]/$H$3,"")</f>
        <v/>
      </c>
      <c r="I47" s="12" t="str">
        <f>IFERROR(Table44[[#This Row],[Impact on SAC (%)]]*(MIN(Table44[[#This Row],[Proposed End Date]],$F$3)-MAX(Table44[[#This Row],[Proposed Start Date]],$F$2)+1)/$H$2,"")</f>
        <v/>
      </c>
      <c r="J47" s="12" t="str">
        <f>IFERROR(Table44[[#This Row],[Impact on SAC (%)]]*Table44[[#This Row],[Proposed days]]/$H$2,"")</f>
        <v/>
      </c>
    </row>
    <row r="48" spans="1:10" x14ac:dyDescent="0.35">
      <c r="B48" t="str">
        <f>IFERROR(_xlfn.XLOOKUP(A48,Table13[TrackerID3],Table13[Project/Activity Name]),"")</f>
        <v>NEP Phase 1 Pin Piling Monitoring Equipment - CANCELLED</v>
      </c>
      <c r="C48" t="str">
        <f>IFERROR(_xlfn.XLOOKUP(A48,Table13[TrackerID3],Table13[Activity Type]),"")</f>
        <v>Pin Piling</v>
      </c>
      <c r="D48" s="16">
        <f>IFERROR(_xlfn.XLOOKUP(A48,Table13[TrackerID3],Table13[Start Date]),"")</f>
        <v>46204</v>
      </c>
      <c r="E48" s="16">
        <f>IFERROR(_xlfn.XLOOKUP(A48,Table13[TrackerID3],Table13[End Date]),"")</f>
        <v>46265</v>
      </c>
      <c r="F48">
        <f>IFERROR(_xlfn.XLOOKUP(A48,Table13[TrackerID3],Table13[Duration of Activity Impacting SAC (days)]),"")</f>
        <v>0</v>
      </c>
      <c r="G48" s="17" t="str" cm="1">
        <f t="array" ref="G48">IFERROR(_xlfn.XLOOKUP(A48,Table13[TrackerID3],IF(C37="Summer",Table13[Abatement/Mitigation
(MMO only)],Table13[Any Other Comments])),"")</f>
        <v>Instalation methodology tbc. Pin piling worst case assumption</v>
      </c>
      <c r="H48" s="12" t="str">
        <f>IFERROR(Table44[[#This Row],[Impact on SAC (km2)]]/$H$3,"")</f>
        <v/>
      </c>
      <c r="I48" s="12" t="str">
        <f>IFERROR(Table44[[#This Row],[Impact on SAC (%)]]*(MIN(Table44[[#This Row],[Proposed End Date]],$F$3)-MAX(Table44[[#This Row],[Proposed Start Date]],$F$2)+1)/$H$2,"")</f>
        <v/>
      </c>
      <c r="J48" s="12" t="str">
        <f>IFERROR(Table44[[#This Row],[Impact on SAC (%)]]*Table44[[#This Row],[Proposed days]]/$H$2,"")</f>
        <v/>
      </c>
    </row>
    <row r="49" spans="2:10" x14ac:dyDescent="0.35">
      <c r="B49" t="str">
        <f>IFERROR(_xlfn.XLOOKUP(A49,Table13[TrackerID3],Table13[Project/Activity Name]),"")</f>
        <v>NEP Phase 1 Pin Piling Monitoring Equipment - CANCELLED</v>
      </c>
      <c r="C49" t="str">
        <f>IFERROR(_xlfn.XLOOKUP(A49,Table13[TrackerID3],Table13[Activity Type]),"")</f>
        <v>Pin Piling</v>
      </c>
      <c r="D49" s="16">
        <f>IFERROR(_xlfn.XLOOKUP(A49,Table13[TrackerID3],Table13[Start Date]),"")</f>
        <v>46204</v>
      </c>
      <c r="E49" s="16">
        <f>IFERROR(_xlfn.XLOOKUP(A49,Table13[TrackerID3],Table13[End Date]),"")</f>
        <v>46265</v>
      </c>
      <c r="F49">
        <f>IFERROR(_xlfn.XLOOKUP(A49,Table13[TrackerID3],Table13[Duration of Activity Impacting SAC (days)]),"")</f>
        <v>0</v>
      </c>
      <c r="G49" s="17" t="str" cm="1">
        <f t="array" ref="G49">IFERROR(_xlfn.XLOOKUP(A49,Table13[TrackerID3],IF(C38="Summer",Table13[Abatement/Mitigation
(MMO only)],Table13[Any Other Comments])),"")</f>
        <v>Instalation methodology tbc. Pin piling worst case assumption</v>
      </c>
      <c r="H49" s="12" t="str">
        <f>IFERROR(Table44[[#This Row],[Impact on SAC (km2)]]/$H$3,"")</f>
        <v/>
      </c>
      <c r="I49" s="12" t="str">
        <f>IFERROR(Table44[[#This Row],[Impact on SAC (%)]]*(MIN(Table44[[#This Row],[Proposed End Date]],$F$3)-MAX(Table44[[#This Row],[Proposed Start Date]],$F$2)+1)/$H$2,"")</f>
        <v/>
      </c>
      <c r="J49" s="12" t="str">
        <f>IFERROR(Table44[[#This Row],[Impact on SAC (%)]]*Table44[[#This Row],[Proposed days]]/$H$2,"")</f>
        <v/>
      </c>
    </row>
    <row r="50" spans="2:10" x14ac:dyDescent="0.35">
      <c r="B50" t="str">
        <f>IFERROR(_xlfn.XLOOKUP(A50,Table13[TrackerID3],Table13[Project/Activity Name]),"")</f>
        <v>NEP Phase 1 Pin Piling Monitoring Equipment - CANCELLED</v>
      </c>
      <c r="C50" t="str">
        <f>IFERROR(_xlfn.XLOOKUP(A50,Table13[TrackerID3],Table13[Activity Type]),"")</f>
        <v>Pin Piling</v>
      </c>
      <c r="D50" s="16">
        <f>IFERROR(_xlfn.XLOOKUP(A50,Table13[TrackerID3],Table13[Start Date]),"")</f>
        <v>46204</v>
      </c>
      <c r="E50" s="16">
        <f>IFERROR(_xlfn.XLOOKUP(A50,Table13[TrackerID3],Table13[End Date]),"")</f>
        <v>46265</v>
      </c>
      <c r="F50">
        <f>IFERROR(_xlfn.XLOOKUP(A50,Table13[TrackerID3],Table13[Duration of Activity Impacting SAC (days)]),"")</f>
        <v>0</v>
      </c>
      <c r="G50" s="17" t="str" cm="1">
        <f t="array" ref="G50">IFERROR(_xlfn.XLOOKUP(A50,Table13[TrackerID3],IF(C39="Summer",Table13[Abatement/Mitigation
(MMO only)],Table13[Any Other Comments])),"")</f>
        <v>Instalation methodology tbc. Pin piling worst case assumption</v>
      </c>
      <c r="H50" s="12" t="str">
        <f>IFERROR(Table44[[#This Row],[Impact on SAC (km2)]]/$H$3,"")</f>
        <v/>
      </c>
      <c r="I50" s="12" t="str">
        <f>IFERROR(Table44[[#This Row],[Impact on SAC (%)]]*(MIN(Table44[[#This Row],[Proposed End Date]],$F$3)-MAX(Table44[[#This Row],[Proposed Start Date]],$F$2)+1)/$H$2,"")</f>
        <v/>
      </c>
      <c r="J50" s="12" t="str">
        <f>IFERROR(Table44[[#This Row],[Impact on SAC (%)]]*Table44[[#This Row],[Proposed days]]/$H$2,"")</f>
        <v/>
      </c>
    </row>
    <row r="51" spans="2:10" x14ac:dyDescent="0.35">
      <c r="B51" t="str">
        <f>IFERROR(_xlfn.XLOOKUP(A51,Table13[TrackerID3],Table13[Project/Activity Name]),"")</f>
        <v>NEP Phase 1 Pin Piling Monitoring Equipment - CANCELLED</v>
      </c>
      <c r="C51" t="str">
        <f>IFERROR(_xlfn.XLOOKUP(A51,Table13[TrackerID3],Table13[Activity Type]),"")</f>
        <v>Pin Piling</v>
      </c>
      <c r="D51" s="16">
        <f>IFERROR(_xlfn.XLOOKUP(A51,Table13[TrackerID3],Table13[Start Date]),"")</f>
        <v>46204</v>
      </c>
      <c r="E51" s="16">
        <f>IFERROR(_xlfn.XLOOKUP(A51,Table13[TrackerID3],Table13[End Date]),"")</f>
        <v>46265</v>
      </c>
      <c r="F51">
        <f>IFERROR(_xlfn.XLOOKUP(A51,Table13[TrackerID3],Table13[Duration of Activity Impacting SAC (days)]),"")</f>
        <v>0</v>
      </c>
      <c r="G51" s="17" t="str" cm="1">
        <f t="array" ref="G51">IFERROR(_xlfn.XLOOKUP(A51,Table13[TrackerID3],IF(C40="Summer",Table13[Abatement/Mitigation
(MMO only)],Table13[Any Other Comments])),"")</f>
        <v>Instalation methodology tbc. Pin piling worst case assumption</v>
      </c>
      <c r="H51" s="12" t="str">
        <f>IFERROR(Table44[[#This Row],[Impact on SAC (km2)]]/$H$3,"")</f>
        <v/>
      </c>
      <c r="I51" s="12" t="str">
        <f>IFERROR(Table44[[#This Row],[Impact on SAC (%)]]*(MIN(Table44[[#This Row],[Proposed End Date]],$F$3)-MAX(Table44[[#This Row],[Proposed Start Date]],$F$2)+1)/$H$2,"")</f>
        <v/>
      </c>
      <c r="J51" s="12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PFE5XNEKQQZ4-853025249-73099</_dlc_DocId>
    <_dlc_DocIdUrl xmlns="d9dd733d-5918-4031-8251-d30265015c80">
      <Url>https://beisgov.sharepoint.com/sites/OPREDPG-EXT-OS-SACNoiseManagementRegulatorsWorkingGroup/_layouts/15/DocIdRedir.aspx?ID=PFE5XNEKQQZ4-853025249-73099</Url>
      <Description>PFE5XNEKQQZ4-853025249-73099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CD38C20-86E2-4186-B1FB-F89F89F0C0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0f9fa326-da26-4ea8-b6a9-645e8136fe1d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9ff49155-5265-46e4-810b-5c4cca24d74b"/>
    <ds:schemaRef ds:uri="aaacb922-5235-4a66-b188-303b9b46fbd7"/>
    <ds:schemaRef ds:uri="d9dd733d-5918-4031-8251-d30265015c80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3599B1B-AE81-4FF9-8EB1-E202B7312817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2026-03-16T13:24:58Z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5943fccb-ba29-44b3-9f65-e40cf88a7f29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