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defaultThemeVersion="166925"/>
  <mc:AlternateContent xmlns:mc="http://schemas.openxmlformats.org/markup-compatibility/2006">
    <mc:Choice Requires="x15">
      <x15ac:absPath xmlns:x15ac="http://schemas.microsoft.com/office/spreadsheetml/2010/11/ac" url="https://defra-my.sharepoint.com/personal/ayesha_tinsley_defra_gov_uk/Documents/Desktop/"/>
    </mc:Choice>
  </mc:AlternateContent>
  <xr:revisionPtr revIDLastSave="0" documentId="8_{A54AD4AC-D5A3-4EFE-A1B6-60933152DAE4}" xr6:coauthVersionLast="47" xr6:coauthVersionMax="47" xr10:uidLastSave="{00000000-0000-0000-0000-000000000000}"/>
  <workbookProtection workbookAlgorithmName="SHA-512" workbookHashValue="jTICl2maqsnBm5KMrG0iGDr1Hsxcy+pa8J+JHjj1j56qCn11naMjBMLaBRISE2D7AyzM+pCufJxBQJQZlQrjXg==" workbookSaltValue="fpE6QmyfP3BlSRpZDQ1OzA==" workbookSpinCount="100000" lockStructure="1"/>
  <bookViews>
    <workbookView xWindow="-28920" yWindow="-120" windowWidth="29040" windowHeight="15720" tabRatio="801" xr2:uid="{82A04952-E2FF-4A89-87AE-39010027FF5F}"/>
  </bookViews>
  <sheets>
    <sheet name="Instructions" sheetId="23" r:id="rId1"/>
    <sheet name="Nutrients_from_wastewater" sheetId="21" r:id="rId2"/>
    <sheet name="Nutrients_from_current_land_use" sheetId="8" r:id="rId3"/>
    <sheet name="Nutrients_from_future_land_use" sheetId="9" r:id="rId4"/>
    <sheet name="SuDS" sheetId="22" r:id="rId5"/>
    <sheet name="Final_nutrient_budgets" sheetId="10" r:id="rId6"/>
    <sheet name="Value_look_up_tables" sheetId="3" state="hidden" r:id="rId7"/>
  </sheets>
  <externalReferences>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7" i="9"/>
  <c r="C8" i="9"/>
  <c r="C9" i="9"/>
  <c r="C10" i="9"/>
  <c r="C11" i="9"/>
  <c r="C12" i="9"/>
  <c r="C13" i="9"/>
  <c r="C14" i="9"/>
  <c r="C15" i="9"/>
  <c r="C16" i="9"/>
  <c r="C17" i="9"/>
  <c r="C18" i="9"/>
  <c r="C19" i="9"/>
  <c r="C20" i="9"/>
  <c r="C21" i="9"/>
  <c r="C5" i="9"/>
  <c r="D11" i="8"/>
  <c r="A9" i="10" l="1"/>
  <c r="D6" i="22"/>
  <c r="D7" i="22"/>
  <c r="D8" i="22"/>
  <c r="D9" i="22"/>
  <c r="D10" i="22"/>
  <c r="D11" i="22"/>
  <c r="D12" i="22"/>
  <c r="D13" i="22"/>
  <c r="D14" i="22"/>
  <c r="D15" i="22"/>
  <c r="D16" i="22"/>
  <c r="D17" i="22"/>
  <c r="D18" i="22"/>
  <c r="D19" i="22"/>
  <c r="D20" i="22"/>
  <c r="D21" i="22"/>
  <c r="D22" i="22"/>
  <c r="D23" i="22"/>
  <c r="D24" i="22"/>
  <c r="D25" i="22"/>
  <c r="D26" i="22"/>
  <c r="D27" i="22"/>
  <c r="D28" i="22"/>
  <c r="D29" i="22"/>
  <c r="D5" i="22"/>
  <c r="C11" i="8"/>
  <c r="B10" i="21"/>
  <c r="A15" i="21" s="1"/>
  <c r="A22" i="21"/>
  <c r="H20" i="22"/>
  <c r="H21" i="22"/>
  <c r="H22" i="22"/>
  <c r="H23" i="22"/>
  <c r="H24" i="22"/>
  <c r="H25" i="22"/>
  <c r="H26" i="22"/>
  <c r="H27" i="22"/>
  <c r="H28" i="22"/>
  <c r="H29" i="22"/>
  <c r="H11" i="22"/>
  <c r="H12" i="22"/>
  <c r="H13" i="22"/>
  <c r="H14" i="22"/>
  <c r="H15" i="22"/>
  <c r="H16" i="22"/>
  <c r="H17" i="22"/>
  <c r="H18" i="22"/>
  <c r="H19" i="22"/>
  <c r="H6" i="22"/>
  <c r="H7" i="22"/>
  <c r="H8" i="22"/>
  <c r="H9" i="22"/>
  <c r="H10" i="22"/>
  <c r="H5" i="22"/>
  <c r="G26" i="22"/>
  <c r="G27" i="22"/>
  <c r="G28" i="22"/>
  <c r="G29" i="22"/>
  <c r="G20" i="22"/>
  <c r="G21" i="22"/>
  <c r="G22" i="22"/>
  <c r="G23" i="22"/>
  <c r="G24" i="22"/>
  <c r="G25" i="22"/>
  <c r="G11" i="22"/>
  <c r="G12" i="22"/>
  <c r="G13" i="22"/>
  <c r="G14" i="22"/>
  <c r="G15" i="22"/>
  <c r="G16" i="22"/>
  <c r="G17" i="22"/>
  <c r="G18" i="22"/>
  <c r="G19" i="22"/>
  <c r="G6" i="22"/>
  <c r="G7" i="22"/>
  <c r="G8" i="22"/>
  <c r="G9" i="22"/>
  <c r="G10" i="22"/>
  <c r="G5" i="22"/>
  <c r="D23" i="8"/>
  <c r="D24" i="8"/>
  <c r="D25" i="8"/>
  <c r="D26" i="8"/>
  <c r="D27" i="8"/>
  <c r="D17" i="8"/>
  <c r="D18" i="8"/>
  <c r="D19" i="8"/>
  <c r="D20" i="8"/>
  <c r="D21" i="8"/>
  <c r="D22" i="8"/>
  <c r="D12" i="8"/>
  <c r="D13" i="8"/>
  <c r="D14" i="8"/>
  <c r="D15" i="8"/>
  <c r="D16" i="8"/>
  <c r="C26" i="8"/>
  <c r="C27" i="8"/>
  <c r="C19" i="8"/>
  <c r="C20" i="8"/>
  <c r="C21" i="8"/>
  <c r="C22" i="8"/>
  <c r="C23" i="8"/>
  <c r="C24" i="8"/>
  <c r="C25" i="8"/>
  <c r="C13" i="8"/>
  <c r="C14" i="8"/>
  <c r="C15" i="8"/>
  <c r="C16" i="8"/>
  <c r="C17" i="8"/>
  <c r="C18" i="8"/>
  <c r="C12" i="8"/>
  <c r="B16" i="21"/>
  <c r="B17" i="21" s="1"/>
  <c r="B12" i="21"/>
  <c r="A12" i="21"/>
  <c r="A11" i="21"/>
  <c r="B11" i="21"/>
  <c r="H116" i="3"/>
  <c r="H121" i="3"/>
  <c r="B20" i="21" l="1"/>
  <c r="A20" i="21"/>
  <c r="B22" i="21"/>
  <c r="C22" i="9"/>
  <c r="B18" i="21"/>
  <c r="H120" i="3"/>
  <c r="A19" i="21" l="1"/>
  <c r="A210" i="3" a="1"/>
  <c r="A210" i="3" s="1"/>
  <c r="A11" i="10" l="1"/>
  <c r="A12" i="10" s="1"/>
  <c r="A21" i="21"/>
  <c r="B30" i="22"/>
  <c r="B14" i="10" l="1"/>
  <c r="A13" i="10"/>
  <c r="A14" i="10" s="1"/>
  <c r="H122" i="3"/>
  <c r="F122" i="3" l="1"/>
  <c r="F121" i="3"/>
  <c r="F120" i="3"/>
  <c r="F119" i="3"/>
  <c r="F118" i="3"/>
  <c r="F117" i="3"/>
  <c r="F116" i="3"/>
  <c r="F115" i="3"/>
  <c r="B5" i="10" l="1"/>
  <c r="D30" i="22" l="1"/>
  <c r="G30" i="22"/>
  <c r="C28" i="8"/>
  <c r="B6" i="10" l="1"/>
  <c r="B7" i="10" s="1"/>
  <c r="B8" i="10" s="1"/>
  <c r="B10" i="10" s="1"/>
  <c r="B22" i="9"/>
  <c r="B28" i="8"/>
  <c r="B12" i="10" l="1"/>
</calcChain>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uri="{bdbb8cdc-fa1e-496e-a857-3c3f30c029c3}">
          <xda:dynamicArrayProperties fDynamic="1" fCollapsed="0"/>
        </ext>
      </extLst>
    </bk>
  </futureMetadata>
  <futureMetadata name="XLRICHVALUE" count="1">
    <bk>
      <extLst>
        <ext uri="{3e2802c4-a4d2-4d8b-9148-e3be6c30e623}">
          <xlrd:rvb i="0"/>
        </ext>
      </extLst>
    </bk>
  </futureMetadata>
  <cellMetadata count="1">
    <bk>
      <rc t="1" v="0"/>
    </bk>
  </cellMetadata>
  <valueMetadata count="1">
    <bk>
      <rc t="2" v="0"/>
    </bk>
  </valueMetadata>
</metadata>
</file>

<file path=xl/sharedStrings.xml><?xml version="1.0" encoding="utf-8"?>
<sst xmlns="http://schemas.openxmlformats.org/spreadsheetml/2006/main" count="830" uniqueCount="354">
  <si>
    <t>Natural England Nutrient Neutrality budget calculator for the River Camel SAC</t>
  </si>
  <si>
    <t>This calculator was created by Ricardo Energy and Environment.</t>
  </si>
  <si>
    <t>This calculator contains 6 worksheets with 9 tables in total.</t>
  </si>
  <si>
    <t>This is the instructions cover sheet. It tells you how to use the calculator and gives an overview of each worksheet.</t>
  </si>
  <si>
    <t>You can move between worksheets using the tabs at the bottom of the page.</t>
  </si>
  <si>
    <t>If you use screen reading software, you can use 'Ctrl' + 'Page Down' keys to move between the tabs.</t>
  </si>
  <si>
    <t>If you use a keyboard only, to open any link in this form first select the cell with the link and then press the 'Shift' + 'F10' keys or the 'Fn' + the 'Menu' keys, then press the letter 'O' twice to highlight 'Open Hyperlink' and press 'Enter'.</t>
  </si>
  <si>
    <t>If you use a keyboard only, access dropdown lists by clicking the dropdown arrow or pressing the 'Alt' + 'Down' keys when the cell is selected.</t>
  </si>
  <si>
    <t>Table of contents</t>
  </si>
  <si>
    <t>Topic of each table</t>
  </si>
  <si>
    <t>Link to each worksheet</t>
  </si>
  <si>
    <t>Worksheet 1 Nutrient loading from additional wastewater</t>
  </si>
  <si>
    <t>Nutrients from wastewater</t>
  </si>
  <si>
    <t>Worksheet 2 Nutrient loading from current land use</t>
  </si>
  <si>
    <t>Nutrients from current land use</t>
  </si>
  <si>
    <t>Worksheet 3 Nutrient loading from future land use</t>
  </si>
  <si>
    <t>Nutrients from future land use</t>
  </si>
  <si>
    <t>Worksheet 4 Nutrient loading from future land use after treatment through a sustainable urban drainage system (SuDS)</t>
  </si>
  <si>
    <t>SuDS</t>
  </si>
  <si>
    <t>Worksheet 5 Nutrient budget calculations</t>
  </si>
  <si>
    <t>Final_nutrient_budgets</t>
  </si>
  <si>
    <t>General information about the calculator</t>
  </si>
  <si>
    <t xml:space="preserve">This calculator helps you calculate the nutrient budget for a new residential development.  </t>
  </si>
  <si>
    <t>The nutrient budget for a site is calculated in 4 key stages with an additional optional stage in which information about the SuDS features on the site can be entered. Each stage is implemented in worksheets 1-5 of this calculator.</t>
  </si>
  <si>
    <t>Each worksheet is connected through a set of formulas which calculate the nutrient budget. As such, all sheets which represent the four key stages require data inputs in order to calculate the nutrient budget.</t>
  </si>
  <si>
    <t>The total nutrient budget is calculated automatically by adding the values from the 'Nutrients_from_wastewater' and the outputs from the  'Nutrients_from_future_land_use' minus the 'SuDS' (if applicable), and then subtracting the values from the 'Nutrients_from_current_land_use', then adding a 20% precautionary buffer to the result. This calculation is completed in the 'Final_nutrient_budgets' worksheet.</t>
  </si>
  <si>
    <t xml:space="preserve">Before a nutrient budget can be completed using the methodology, certain site-specific details for the development site need to be determined.  </t>
  </si>
  <si>
    <t>The guidance to this calculator and gives further information on the user inputs required.</t>
  </si>
  <si>
    <t>The instructions for completing each stage of the nutrient budget methodology are shown in cell A2 of each worksheet.</t>
  </si>
  <si>
    <t>This calculator uses a set of lookup tables to find relevant values in a hidden spreadsheet titled the 'Value_look_up_tables' worksheet.</t>
  </si>
  <si>
    <t xml:space="preserve">It is advisable to retain a blank copy of this calculator and 'Save as' a new copy each time you calculate a budget to minimise the risk of using incorrect data inputs and to ease the calculation of new nutrient budgets. </t>
  </si>
  <si>
    <t xml:space="preserve">The values already included have been chosen based on research to determine suitable inputs to the nutrient budget that meet the Habitat Regulations Assessment (HRA) tests of beyond reasonable scientific doubt, in perpetuity (practically speaking this is 80 to 125 years) and in accordance with the precautionary principle. </t>
  </si>
  <si>
    <t xml:space="preserve">If editing any values in this calculator, you must make sure there is a sufficient evidence base to justify these changes and that the new inputs are selected in accordance with the precautionary principle.  </t>
  </si>
  <si>
    <t>Notes about the nutrients from wastewater worksheet</t>
  </si>
  <si>
    <t xml:space="preserve">This sheet contains 2 tables. </t>
  </si>
  <si>
    <t>The table under the heading 'Water infrastructure information' allows the user to enter key information about the wastewater generated and water infrastructure on the site. This table contains a mix of user specified values and values that are calculated automatically depending on the user selected inputs.</t>
  </si>
  <si>
    <t>The date of first occupancy is required because some wastewater treatment works (WwTW) may be due an upgrade in 2025 or 2030 which will change the nutrient concentration permit values. This will be shown through 2 or 3 values for the permits and nutrients load from before and after the upgrade.</t>
  </si>
  <si>
    <t>The amount of wastewater generated as a result of the population needs to be calculated using the following:
- an average occupancy rate
- a per capita water usage figure
- the number of new developments
The default water usage value is preset in the worksheet. The default setting for the average occupancy rate is preset in the worksheet and is the national occupancy rate of 2.4 people per dwelling or unit. Only change this value if there is sufficient evidence that the development will be different to the national average. The number of new developments is not preset and must be a whole number.</t>
  </si>
  <si>
    <t xml:space="preserve">If it is uncertain what WwTW the development will drain into, find this information from your sewerage company before completing the calculator. If it is not feasible to connect to a WwTW and a septic tank or package treatment plant is being used, select this option. </t>
  </si>
  <si>
    <t>If the total phosphorus (TP) final effluent concentrations (in mg/l) are specified by the manufacturer, select 'Septic Tank user defined' or 'Package Treatment Plant user defined' and enter the manufacturer specified value in the cell where prompted.</t>
  </si>
  <si>
    <t>The table under the heading 'Final calculation of nutrient load from wastewater' contains the calculation of the nutrient load from additional wastewater. This table may present up to 3 different values for the nutrient load.</t>
  </si>
  <si>
    <t>If a nutrient permit is changing for the selected WwTW as of 01/01/2025, or 01/04/2030, the table will be broken down into up to 3 parts:
- post-2030 wastewater nutrient loading
- pre-2030 wastewater nutrient loading
- pre-2025 wastewater nutrient loading
If applicable, 3 nutrient budgets will be calculated for the loading before and after the 2030 and 2025 WwTW permit upgrades, and will be presented in cells B18, B20 or B22.</t>
  </si>
  <si>
    <t>Notes about the nutrients from current land use worksheet</t>
  </si>
  <si>
    <t>This worksheet contains two tables that are used for calculating the annual nutrient load from existing (pre development) land use on the development site. Environmental information about the current site is required for the first table. The second table requires the user to input the existing type(s) and area(s) of landcover present in order to generate nutrient loads associated with the current landcovers on the site. Only landcovers for the land that is being altered by the development should be entered.</t>
  </si>
  <si>
    <t>The dropdown list of landcover types contains up to 8 agricultural landcover types and 8 different non-agricultural landcover types. The full list of landcovers can be found in the calculator guidance (link incoming) or in the dropdown list. Find out what landcover types are within the development before completing this table. If there is a landcover within the development area that is not in the list select the most similar landcover type.</t>
  </si>
  <si>
    <t>The calculator guidance gives further information about the landcover types used.</t>
  </si>
  <si>
    <t>Sources of information required for nutrients from current land use worksheet</t>
  </si>
  <si>
    <t>Description of the information:</t>
  </si>
  <si>
    <t>The operational catchment within which the development is located can be found using the Environment Agency Catchment Data Explorer</t>
  </si>
  <si>
    <t>The drainage associated with the predominant soil type within the development site can be found using the Soilscapes Map</t>
  </si>
  <si>
    <t>The annual average rainfall that the development will receive can be found using the National River Flow Archive for the '49001 - Camel at Denby'</t>
  </si>
  <si>
    <t>Whether the development is located within a nitrate vulnerable zone (NVZ) can be found using the UK Soil Observatory 'Nitrate Vulnerable Zones - England' map</t>
  </si>
  <si>
    <t>Notes about the nutrients from future land use worksheet</t>
  </si>
  <si>
    <t xml:space="preserve">This worksheet contains one table which is used to calculate the annual nutrient load from new (post-development) land use on the development site. The type(s) and area(s) of landcover present on the new development is required to generate nutrient loads associated with the current landcovers on the site. </t>
  </si>
  <si>
    <t>The type(s) of landcover present on the new development site can be selected from a list of 8 different landcover types:
- greenspace
- woodland
- shrub
- water
- residential urban land
- commercial or industrial urban land
- open urban land
- community food growing
Find out what landcover types will be within the development site before completing this table. If there is a landcover within the development site that is not in the list select the most similar landcover type.</t>
  </si>
  <si>
    <t>The calculator guidance gives further information about the landcover types used in this calculator.</t>
  </si>
  <si>
    <t>Notes about the SuDS worksheet</t>
  </si>
  <si>
    <t xml:space="preserve">This worksheet contains one table in which the user can enter key information about the use of SuDS to treat the runoff from the site and reduce the nutrient loading from future land uses. </t>
  </si>
  <si>
    <t>The table allows the user to enter the SuDS features or SuDS management trains that are proposed to treat the nutrient loading from future land uses. The land covers within the SuDS catchment area and the areas of these landcovers can be entered. Only landcovers entered into the 'Nutrients from future land use' worksheet can be selected. The nutrient loads associated with these landcovers are automatically calculated using the values from the worksheet 'Nutrients from future land use'.
The user must enter the percentage of flow that will be directed through the SuDS. Any numerical value less than or equal to 100% can be entered for the percentage of flow.
Any numerical value less than or equal to 100% can be entered for the removal rates. However, the user will be required to present all evidence of these removal rates to the competent authority. As such, the most up to date SuDS guidance on SuDS for nutrient removal should be followed.
The user can enter any text for the SuDS feature to allow for variability in the names of the SuDS features or management trains planned.</t>
  </si>
  <si>
    <t>Notes about the final nutrient budgets</t>
  </si>
  <si>
    <t>This final stage automatically calculates the results from worksheets 1-5.</t>
  </si>
  <si>
    <t>The value(s) shown represent the nutrient mitigation required in kilograms per year to achieve nutrient neutrality.</t>
  </si>
  <si>
    <t>If there are 2 or 3 values due to changing permits, the calculator will show the total amount of nutrient mitigation that is needed before and after the changing permit date.</t>
  </si>
  <si>
    <r>
      <t xml:space="preserve">This sheet contains 2 tables. The tables are separated by a heading, which describes the following table. 
</t>
    </r>
    <r>
      <rPr>
        <b/>
        <sz val="12"/>
        <rFont val="Arial"/>
        <family val="2"/>
      </rPr>
      <t>Note:</t>
    </r>
    <r>
      <rPr>
        <sz val="12"/>
        <rFont val="Arial"/>
        <family val="2"/>
      </rPr>
      <t xml:space="preserve"> You will need to fill in cells B5 to B9 in the first table 'Water infrastructure information'. Cells B10 is automatically calculated and will state '0.00' unless the user inputs have been entered. Cells A11 to A12 and B11 to B12 are automatically generated and will state 'Not applicable' depending on the inputs to cells B5 and B9. You may need to fill in cell C10 depending on the information you entered in cell B9. Cells C5 to C9 and cells C11 to C12 are intentionally blank cells.
You do not need to fill in any cells in the second table 'Final calculation of nutrient load from wastewater'. Cells B16 to B18 are automatically calculated and will state '0.00' unless the user inputs have been entered to the first table 'Water infrastructure information'. Cells A19 to A22, cells B20 and B22 are automatically generated and will state 'Not applicable' depending on the user inputs to the first table 'Water infrastructure information'. Cell B15, cell B19 and cell B21 are intentionally blank cells. 
</t>
    </r>
    <r>
      <rPr>
        <b/>
        <sz val="12"/>
        <rFont val="Arial"/>
        <family val="2"/>
      </rPr>
      <t>How to fill in the table 'Water infrastructure information'</t>
    </r>
    <r>
      <rPr>
        <sz val="12"/>
        <rFont val="Arial"/>
        <family val="2"/>
      </rPr>
      <t xml:space="preserve">
Cell B5: Enter the date of first occupancy.
Cell B6: Enter the average occupancy rate of the development. The default rate is 2.4, this should not be edited without sufficient evidence.
Cell B7: Enter the water usage. This value should be kept at 120 unless other efficiency measures are used.
Cell B8: Enter the total number of dwellings or units that will be within the development site as of the project completion date.
Cell B9: Choose the receiving wastewater treatment works (WwTW) from the dropdown list.
If you select 'Package Treatment Plant user defined' or 'Septic Tank user defined', you must enter their certified value of total phosphorus (TP) in cell C10. Otherwise the default values will be used in the calculation of the nutrient load associated with wastewater. 
Nutrient permits may be changing for the WwTW you select, from 01/01/2025, or 01/04/2030. If the date of first occupancy is in-between changing permit dates, multiple permit limits may be automatically generated in cells B10 to B12. If applicable, up to 3 values for the nutrient loading associated with wastewater will be presented in cell B18, B20 or B22.</t>
    </r>
  </si>
  <si>
    <t>Water infrastructure information</t>
  </si>
  <si>
    <t>Description of required information</t>
  </si>
  <si>
    <t>Data entry column - user inputs required</t>
  </si>
  <si>
    <t>Additional data entry column - user inputs may be required</t>
  </si>
  <si>
    <t>Date of first occupancy (dd/mm/yyyy):</t>
  </si>
  <si>
    <t>Average occupancy rate (people/dwelling or people/unit):</t>
  </si>
  <si>
    <t>Water usage (litres/person/day):</t>
  </si>
  <si>
    <t>Development proposal (dwellings/units):</t>
  </si>
  <si>
    <t>Wastewater treatment works:</t>
  </si>
  <si>
    <t>Current wastewater treatment works P permit (mg TP/litre):</t>
  </si>
  <si>
    <t/>
  </si>
  <si>
    <t>Final calculation of nutrient load from wastewater</t>
  </si>
  <si>
    <t>Description of values generated</t>
  </si>
  <si>
    <t>Values generated</t>
  </si>
  <si>
    <t>Additional population (people):</t>
  </si>
  <si>
    <t>Wastewater by development (litres/day):</t>
  </si>
  <si>
    <t>Annual wastewater TP load (kg TP/yr):</t>
  </si>
  <si>
    <r>
      <t xml:space="preserve">This sheet contains 2 tables. The tables are separated by a heading, which describes the following table. 
</t>
    </r>
    <r>
      <rPr>
        <b/>
        <sz val="12"/>
        <rFont val="Arial"/>
        <family val="2"/>
      </rPr>
      <t xml:space="preserve">Note: </t>
    </r>
    <r>
      <rPr>
        <sz val="12"/>
        <rFont val="Arial"/>
        <family val="2"/>
      </rPr>
      <t xml:space="preserve">You will need to fill in cells B5 to B8 in the first table 'Current land use information'.  You will need to fill in cells A11 to A27, and B11 to B27 in the second table 'Current land uses'. Cells B28, C11 to C28 are automatically calculated and will state '0.00' unless the user inputs have been entered. Cells D11 to D27 are automatically generated and will state 'Not applicable' depending on automatically generated data in cells C11 to C27. Row 28 is a Total Row. The Total Row states 'Totals:' in cell A28 and automatically calculates the total sum of cells B11 to B27 in cell B28 and C11 to C27 in cell C28. Cell D28 is intentionally blank.
</t>
    </r>
    <r>
      <rPr>
        <b/>
        <sz val="12"/>
        <rFont val="Arial"/>
        <family val="2"/>
      </rPr>
      <t>How to fill in the table 'Current land use information'</t>
    </r>
    <r>
      <rPr>
        <sz val="12"/>
        <rFont val="Arial"/>
        <family val="2"/>
      </rPr>
      <t xml:space="preserve">
Cell B5: Choose the operational catchment the site is located within from the dropdown list.
Cell B6: Choose the soil drainage type associated with the predominant soil type within the development site from the dropdown list.
Cell B7: Choose the annual average rainfall the development will receive from the dropdown list. If the rainfall volume is not on the list, select the nearest value.
Cell B8: Choose whether the development is in a nitrate vulnerable zone (NVZ) from the dropdown list.
</t>
    </r>
    <r>
      <rPr>
        <b/>
        <sz val="12"/>
        <rFont val="Arial"/>
        <family val="2"/>
      </rPr>
      <t>How to fill in the table 'Current land uses'</t>
    </r>
    <r>
      <rPr>
        <sz val="12"/>
        <rFont val="Arial"/>
        <family val="2"/>
      </rPr>
      <t xml:space="preserve">
Cell A11-A27: Choose the existing (pre-development) land use type(s) from the dropdown list.
Cells B11-B27: Enter the area in hectares of each land use type.
The nutrient load from current land uses is shown in cells C11-C27 for total phosphorus (TP).
The total nutrient load from current land uses is shown in cell C28 for TP.</t>
    </r>
  </si>
  <si>
    <t>Current land use information</t>
  </si>
  <si>
    <t>Operational catchment:</t>
  </si>
  <si>
    <t>Soil drainage type:</t>
  </si>
  <si>
    <t>Annual average rainfall (mm):</t>
  </si>
  <si>
    <t>Within nitrate vulnerable zone (NVZ):</t>
  </si>
  <si>
    <t>Current land uses</t>
  </si>
  <si>
    <t>Existing land use type(s) - user inputs required</t>
  </si>
  <si>
    <t>Area (ha) - user inputs required</t>
  </si>
  <si>
    <t>Annual phosphorus export  
(kg TP/yr)</t>
  </si>
  <si>
    <t>Notes on data</t>
  </si>
  <si>
    <t>Totals:</t>
  </si>
  <si>
    <r>
      <t xml:space="preserve">This sheet contains one table. 
</t>
    </r>
    <r>
      <rPr>
        <b/>
        <sz val="12"/>
        <rFont val="Arial"/>
        <family val="2"/>
      </rPr>
      <t>Note:</t>
    </r>
    <r>
      <rPr>
        <sz val="12"/>
        <rFont val="Arial"/>
        <family val="2"/>
      </rPr>
      <t xml:space="preserve"> You will need to fill in cells A5 to A21 and B5 to B21. Cells B22 and C5 to C22 are automatically generated calculations and will state '0.00' unless the user inputs have been entered. Row 22 is a Total Row. The Total Row states 'Totals:' in cell A22 and automatically calculates the total sum of cells B5 to B21 in cell B22 and C5 to C21 in cell C22.
</t>
    </r>
    <r>
      <rPr>
        <b/>
        <sz val="12"/>
        <rFont val="Arial"/>
        <family val="2"/>
      </rPr>
      <t>How to fill in the table 'Future land uses'</t>
    </r>
    <r>
      <rPr>
        <sz val="12"/>
        <rFont val="Arial"/>
        <family val="2"/>
      </rPr>
      <t xml:space="preserve">
Cells A5-A21: Choose the future (post-development) land use type(s) of landcover present on the new site from the dropdown list 
Cells B5-B21: Enter the area in hectares of each land use type.
The nutrient load from future land uses is shown in cells C5 to C21 for total phosphorus (TP). 
The total nutrient load from future land uses is shown in cell C22 for TP. </t>
    </r>
  </si>
  <si>
    <t>Future land uses</t>
  </si>
  <si>
    <t>New land use type(s) - user inputs required</t>
  </si>
  <si>
    <t>Annual phosphorus export
(kg TP/yr)</t>
  </si>
  <si>
    <t>Nutrients from future land use after sustainable urban drainage system (SuDS) treatment</t>
  </si>
  <si>
    <r>
      <t xml:space="preserve">This sheet contains one table. 
</t>
    </r>
    <r>
      <rPr>
        <b/>
        <sz val="12"/>
        <rFont val="Arial"/>
        <family val="2"/>
      </rPr>
      <t>Note:</t>
    </r>
    <r>
      <rPr>
        <sz val="12"/>
        <rFont val="Arial"/>
        <family val="2"/>
      </rPr>
      <t xml:space="preserve"> You will need to fill in cells A5 to A29, cells B5 to B29, cells C5 to C29, cells E5 to E29 and cells F5 to F29  if you are including SuDS to remove nutrients from the surface runoff. Cells B30, D5 to D30 and cells G5 to G30 are automatically calculated and will state '0.00' unless the user inputs have been entered. Cells H5 to H29 are automatically generated and will state 'Not applicable' unless the total area of the landcover entered is larger than the total area of the landcover entered into the worksheet 'Nutrients_from_future_land_use'. Row 30 is a Total Row. The Total Row states 'Totals:' in cell A30 and automatically calculates the total sum of cells B5 to B29 in cell B30, cells D5 to D29 in cell D30 and cells G5 to G29 in cell G30. Cell C30, cell E30, cell F30 and cell H30 are intentionally blank.
</t>
    </r>
    <r>
      <rPr>
        <b/>
        <sz val="12"/>
        <rFont val="Arial"/>
        <family val="2"/>
      </rPr>
      <t>How to fill in the table 'SuDS information'</t>
    </r>
    <r>
      <rPr>
        <sz val="12"/>
        <rFont val="Arial"/>
        <family val="2"/>
      </rPr>
      <t xml:space="preserve">
Cells A5 to A29: Choose the future (post-development) land use type(s) of landcover present on the new site within the SuDS catchment area from the dropdown list. Only landcovers entered into the worksheet titled 'Nutrients_from_future_land_use' can be entered.
Cells B5 to B29: Enter the area in hectares of each new land use type within the SuDS catchment area.
Cells C5 to C29: Enter the percentage of the flow entering the SuDS feature. If all flow is being diverted to the SuDS feature then this value should be set to 100%.
The annual total phosphorus (TP) loads associated with the landcovers in the SuDS catchment area are automatically calculated in cells D5 to D29.
Cells E5 to E29: Enter the name of the SuDS features used to intercept surface flows can be entered in. Any text can be entered into these cells.
Cells F5 to F29: Enter the nutrient removal rates associated with the SuDS features for TP.
Values for column F must be identified by the user and must be specific to the SuDS features being implemented.
The annual TP load removed by the SuDS features are automatically calculated in cells G5 to G29. These values are subtracted from the nutrient budget.
You do not need to fill in column H 'Notes on data'. It will state "Not applicable" unless the total area of each landcover within the SuDS catchment area exceeds the area of the landcovers entered into the worksheet titled 'Nutrients_from_future_land_use'.
The total nutrient load removed through the SuDS features is shown in cell G30 for TP.</t>
    </r>
  </si>
  <si>
    <t>SuDS information</t>
  </si>
  <si>
    <t>New land use type(s) within SuDS catchment area - user inputs required</t>
  </si>
  <si>
    <t>SuDS catchment area (ha) - user inputs required</t>
  </si>
  <si>
    <t>Percentage of flow entering the SuDS (%) - user inputs required</t>
  </si>
  <si>
    <t>Annual phosphorus inputs to SuDS feature(s)
(kg T/yr)</t>
  </si>
  <si>
    <t>Name of SuDS feature(s) - user inputs required</t>
  </si>
  <si>
    <t>TP removal rate for features - user specified (%) - user inputs required</t>
  </si>
  <si>
    <t>Annual phosphorus load removed by SuDS
(kg TP/yr)</t>
  </si>
  <si>
    <t>Final nutrient budgets</t>
  </si>
  <si>
    <r>
      <t xml:space="preserve">This worksheet contains one table. This table is automatically populated using the outputs from the previous worksheets. 
</t>
    </r>
    <r>
      <rPr>
        <b/>
        <sz val="12"/>
        <color theme="1"/>
        <rFont val="Arial"/>
        <family val="2"/>
      </rPr>
      <t>Note:</t>
    </r>
    <r>
      <rPr>
        <sz val="12"/>
        <color theme="1"/>
        <rFont val="Arial"/>
        <family val="2"/>
      </rPr>
      <t xml:space="preserve"> You do not need to fill in any cells in the table. 
Cells B5 to B8 and cells B10 are automatically calculated and will state '0.00' unless the user inputs have been entered to all of the required worksheets. 
Cells A11 to A14, cell B12 and cell B14  are automatically generated and will state 'Not applicable' depending on the user inputs to the worksheet 'Nutrients_from_wastewater'. 
Cell B9, B11 and B13 are intentionally blank. 
This table presents calculations that underpin the final annual nutrient budget for the development site. Up to 3 values for the nutrient budget may be presented in cells B10, B12 and B24 for total phosphorus (TP).</t>
    </r>
  </si>
  <si>
    <t>Total nutrient budget calculations</t>
  </si>
  <si>
    <t>Wastewater TP load (kg TP/year):</t>
  </si>
  <si>
    <t>Net land use TP change (kg TP/year):</t>
  </si>
  <si>
    <t>TP budget:</t>
  </si>
  <si>
    <t>TP budget + 20% buffer:</t>
  </si>
  <si>
    <t>The total annual phosphorus load to mitigate is (kg TP/yr):</t>
  </si>
  <si>
    <t>This sheet contains nine tables. A blank row seperates the end of each table from the header for the next table.</t>
  </si>
  <si>
    <t>Table 1: Stage 1 WwTW lookup</t>
  </si>
  <si>
    <t>Discharge Site Name</t>
  </si>
  <si>
    <t>Phosphorus, Total as P (mg/l)</t>
  </si>
  <si>
    <t>Phosphorus, Total as P (mg/l), permit post 2025</t>
  </si>
  <si>
    <t>Phosphorus, Total as P (mg/l), permit post 2030</t>
  </si>
  <si>
    <t>Blisland STW</t>
  </si>
  <si>
    <t>Bodmin Nanstallon WwTW</t>
  </si>
  <si>
    <t>Bodmin Scarletts Well STW</t>
  </si>
  <si>
    <t>Camelford Station (Cottages) STW</t>
  </si>
  <si>
    <t>Camelford WwTW</t>
  </si>
  <si>
    <t>Delabole WwTW</t>
  </si>
  <si>
    <t>Helstone STW</t>
  </si>
  <si>
    <t>St Breward STW</t>
  </si>
  <si>
    <t>St Mabyn WwTW</t>
  </si>
  <si>
    <t>St Teath WwTW</t>
  </si>
  <si>
    <t>Package Treatment Plant default</t>
  </si>
  <si>
    <t>Septic Tank default</t>
  </si>
  <si>
    <t>Package Treatment Plant user defined</t>
  </si>
  <si>
    <t>Septic Tank user defined</t>
  </si>
  <si>
    <t>Table 2: Stage 2 and 3 Landcover lookup</t>
  </si>
  <si>
    <t>Catchment</t>
  </si>
  <si>
    <t>Farmscoper Farm Term</t>
  </si>
  <si>
    <t>NVZ</t>
  </si>
  <si>
    <t>Climate</t>
  </si>
  <si>
    <t>Farmscoper Soil Drainage Term</t>
  </si>
  <si>
    <t>Lookup</t>
  </si>
  <si>
    <t>Column3</t>
  </si>
  <si>
    <t>Phosphorus export coefficient</t>
  </si>
  <si>
    <t>Farm Lookup</t>
  </si>
  <si>
    <t>Column1</t>
  </si>
  <si>
    <t>Mean P export of farm type and climate combination</t>
  </si>
  <si>
    <t>Column2</t>
  </si>
  <si>
    <t>Mean P export of farm type</t>
  </si>
  <si>
    <t>Camel</t>
  </si>
  <si>
    <t>Cereals</t>
  </si>
  <si>
    <t>900to1200</t>
  </si>
  <si>
    <t>FreeDrain</t>
  </si>
  <si>
    <t>Camel|Cereals|FALSE|900to1200|FreeDrain</t>
  </si>
  <si>
    <t>Cereals|900to1200</t>
  </si>
  <si>
    <t>DrainedAr</t>
  </si>
  <si>
    <t>Camel|Cereals|FALSE|900to1200|DrainedAr</t>
  </si>
  <si>
    <t>1200to1500</t>
  </si>
  <si>
    <t>Camel|Cereals|FALSE|1200to1500|FreeDrain</t>
  </si>
  <si>
    <t>Cereals|1200to1500</t>
  </si>
  <si>
    <t>Over1500</t>
  </si>
  <si>
    <t>Camel|Cereals|FALSE|Over1500|FreeDrain</t>
  </si>
  <si>
    <t>Cereals|Over1500</t>
  </si>
  <si>
    <t>General</t>
  </si>
  <si>
    <t>Camel|General|FALSE|900to1200|FreeDrain</t>
  </si>
  <si>
    <t>General|900to1200</t>
  </si>
  <si>
    <t>Camel|General|FALSE|900to1200|DrainedAr</t>
  </si>
  <si>
    <t>Camel|General|FALSE|1200to1500|FreeDrain</t>
  </si>
  <si>
    <t>General|1200to1500</t>
  </si>
  <si>
    <t>Camel|General|FALSE|1200to1500|DrainedAr</t>
  </si>
  <si>
    <t>Camel|General|FALSE|Over1500|FreeDrain</t>
  </si>
  <si>
    <t>General|Over1500</t>
  </si>
  <si>
    <t>Horticulture</t>
  </si>
  <si>
    <t>Camel|Horticulture|FALSE|900to1200|FreeDrain</t>
  </si>
  <si>
    <t>Horticulture|900to1200</t>
  </si>
  <si>
    <t>Camel|Horticulture|FALSE|900to1200|DrainedAr</t>
  </si>
  <si>
    <t>Camel|Horticulture|FALSE|1200to1500|FreeDrain</t>
  </si>
  <si>
    <t>Horticulture|1200to1500</t>
  </si>
  <si>
    <t>Camel|Horticulture|FALSE|Over1500|FreeDrain</t>
  </si>
  <si>
    <t>Horticulture|Over1500</t>
  </si>
  <si>
    <t>Pig</t>
  </si>
  <si>
    <t>Camel|Pig|FALSE|1200to1500|FreeDrain</t>
  </si>
  <si>
    <t>Pig|1200to1500</t>
  </si>
  <si>
    <t>Poultry</t>
  </si>
  <si>
    <t>Camel|Poultry|FALSE|1200to1500|FreeDrain</t>
  </si>
  <si>
    <t>Poultry|1200to1500</t>
  </si>
  <si>
    <t>Camel|Poultry|FALSE|Over1500|FreeDrain</t>
  </si>
  <si>
    <t>Poultry|Over1500</t>
  </si>
  <si>
    <t>Dairy</t>
  </si>
  <si>
    <t>Camel|Dairy|FALSE|900to1200|FreeDrain</t>
  </si>
  <si>
    <t>Dairy|900to1200</t>
  </si>
  <si>
    <t>Camel|Dairy|FALSE|900to1200|DrainedAr</t>
  </si>
  <si>
    <t>Camel|Dairy|FALSE|1200to1500|FreeDrain</t>
  </si>
  <si>
    <t>Dairy|1200to1500</t>
  </si>
  <si>
    <t>LFA</t>
  </si>
  <si>
    <t>Camel|LFA|FALSE|900to1200|FreeDrain</t>
  </si>
  <si>
    <t>LFA|900to1200</t>
  </si>
  <si>
    <t>Camel|LFA|FALSE|900to1200|DrainedAr</t>
  </si>
  <si>
    <t>Camel|LFA|FALSE|1200to1500|FreeDrain</t>
  </si>
  <si>
    <t>LFA|1200to1500</t>
  </si>
  <si>
    <t>Camel|LFA|FALSE|1200to1500|DrainedAr</t>
  </si>
  <si>
    <t>Camel|LFA|FALSE|Over1500|FreeDrain</t>
  </si>
  <si>
    <t>LFA|Over1500</t>
  </si>
  <si>
    <t>Lowland</t>
  </si>
  <si>
    <t>Camel|Lowland|FALSE|900to1200|FreeDrain</t>
  </si>
  <si>
    <t>Lowland|900to1200</t>
  </si>
  <si>
    <t>Camel|Lowland|FALSE|900to1200|DrainedAr</t>
  </si>
  <si>
    <t>Camel|Lowland|FALSE|1200to1500|FreeDrain</t>
  </si>
  <si>
    <t>Lowland|1200to1500</t>
  </si>
  <si>
    <t>Camel|Lowland|FALSE|1200to1500|DrainedAr</t>
  </si>
  <si>
    <t>Camel|Lowland|FALSE|Over1500|FreeDrain</t>
  </si>
  <si>
    <t>Lowland|Over1500</t>
  </si>
  <si>
    <t>Mixed</t>
  </si>
  <si>
    <t>Camel|Mixed|FALSE|900to1200|FreeDrain</t>
  </si>
  <si>
    <t>Mixed|900to1200</t>
  </si>
  <si>
    <t>Camel|Mixed|FALSE|900to1200|DrainedAr</t>
  </si>
  <si>
    <t>Camel|Mixed|FALSE|1200to1500|FreeDrain</t>
  </si>
  <si>
    <t>Mixed|1200to1500</t>
  </si>
  <si>
    <t>Camel|Mixed|FALSE|Over1500|FreeDrain</t>
  </si>
  <si>
    <t>Mixed|Over1500</t>
  </si>
  <si>
    <t>North Cornwall</t>
  </si>
  <si>
    <t>Cereals|FALSE|900to1200|FreeDrain</t>
  </si>
  <si>
    <t>Cereals|FALSE|900to1200|DrainedAr</t>
  </si>
  <si>
    <t>DrainedArGr</t>
  </si>
  <si>
    <t>Cereals|FALSE|900to1200|DrainedArGr</t>
  </si>
  <si>
    <t>Cereals|FALSE|1200to1500|FreeDrain</t>
  </si>
  <si>
    <t>Cereals|FALSE|Over1500|FreeDrain</t>
  </si>
  <si>
    <t>700to900</t>
  </si>
  <si>
    <t>General|FALSE|700to900|FreeDrain</t>
  </si>
  <si>
    <t>General|FALSE|900to1200|FreeDrain</t>
  </si>
  <si>
    <t>General|FALSE|900to1200|DrainedAr</t>
  </si>
  <si>
    <t>General|FALSE|900to1200|DrainedArGr</t>
  </si>
  <si>
    <t>General|FALSE|1200to1500|FreeDrain</t>
  </si>
  <si>
    <t>General|FALSE|1200to1500|DrainedAr</t>
  </si>
  <si>
    <t>General|FALSE|Over1500|FreeDrain</t>
  </si>
  <si>
    <t>General|FALSE|Over1500|DrainedAr</t>
  </si>
  <si>
    <t>Horticulture|FALSE|900to1200|FreeDrain</t>
  </si>
  <si>
    <t>Horticulture|FALSE|900to1200|DrainedAr</t>
  </si>
  <si>
    <t>Horticulture|FALSE|900to1200|DrainedArGr</t>
  </si>
  <si>
    <t>Horticulture|FALSE|1200to1500|FreeDrain</t>
  </si>
  <si>
    <t>Horticulture|FALSE|1200to1500|DrainedAr</t>
  </si>
  <si>
    <t>Horticulture|FALSE|Over1500|FreeDrain</t>
  </si>
  <si>
    <t>Pig|FALSE|900to1200|FreeDrain</t>
  </si>
  <si>
    <t>Pig|FALSE|1200to1500|FreeDrain</t>
  </si>
  <si>
    <t>Pig|FALSE|Over1500|DrainedAr</t>
  </si>
  <si>
    <t>Poultry|FALSE|900to1200|FreeDrain</t>
  </si>
  <si>
    <t>Poultry|FALSE|900to1200|DrainedArGr</t>
  </si>
  <si>
    <t>Poultry|FALSE|1200to1500|FreeDrain</t>
  </si>
  <si>
    <t>Poultry|FALSE|1200to1500|DrainedAr</t>
  </si>
  <si>
    <t>Poultry|FALSE|Over1500|FreeDrain</t>
  </si>
  <si>
    <t>Dairy|FALSE|700to900|FreeDrain</t>
  </si>
  <si>
    <t>Dairy|FALSE|900to1200|FreeDrain</t>
  </si>
  <si>
    <t>Dairy|FALSE|900to1200|DrainedAr</t>
  </si>
  <si>
    <t>Dairy|FALSE|900to1200|DrainedArGr</t>
  </si>
  <si>
    <t>Dairy|FALSE|1200to1500|FreeDrain</t>
  </si>
  <si>
    <t>Dairy|FALSE|1200to1500|DrainedAr</t>
  </si>
  <si>
    <t>Dairy|FALSE|1200to1500|DrainedArGr</t>
  </si>
  <si>
    <t>Dairy|FALSE|Over1500|FreeDrain</t>
  </si>
  <si>
    <t>LFA|FALSE|900to1200|FreeDrain</t>
  </si>
  <si>
    <t>LFA|FALSE|900to1200|DrainedAr</t>
  </si>
  <si>
    <t>LFA|FALSE|900to1200|DrainedArGr</t>
  </si>
  <si>
    <t>LFA|FALSE|1200to1500|FreeDrain</t>
  </si>
  <si>
    <t>LFA|FALSE|1200to1500|DrainedAr</t>
  </si>
  <si>
    <t>LFA|FALSE|1200to1500|DrainedArGr</t>
  </si>
  <si>
    <t>LFA|FALSE|Over1500|FreeDrain</t>
  </si>
  <si>
    <t>LFA|FALSE|Over1500|DrainedAr</t>
  </si>
  <si>
    <t>Lowland|FALSE|700to900|FreeDrain</t>
  </si>
  <si>
    <t>Lowland|FALSE|700to900|DrainedAr</t>
  </si>
  <si>
    <t>Lowland|FALSE|900to1200|FreeDrain</t>
  </si>
  <si>
    <t>Lowland|FALSE|900to1200|DrainedAr</t>
  </si>
  <si>
    <t>Lowland|FALSE|900to1200|DrainedArGr</t>
  </si>
  <si>
    <t>Lowland|FALSE|1200to1500|FreeDrain</t>
  </si>
  <si>
    <t>Lowland|FALSE|1200to1500|DrainedAr</t>
  </si>
  <si>
    <t>Lowland|FALSE|1200to1500|DrainedArGr</t>
  </si>
  <si>
    <t>Lowland|FALSE|Over1500|FreeDrain</t>
  </si>
  <si>
    <t>Lowland|FALSE|Over1500|DrainedAr</t>
  </si>
  <si>
    <t>Mixed|FALSE|700to900|DrainedAr</t>
  </si>
  <si>
    <t>Mixed|FALSE|900to1200|FreeDrain</t>
  </si>
  <si>
    <t>Mixed|FALSE|900to1200|DrainedAr</t>
  </si>
  <si>
    <t>Mixed|FALSE|900to1200|DrainedArGr</t>
  </si>
  <si>
    <t>Mixed|FALSE|1200to1500|FreeDrain</t>
  </si>
  <si>
    <t>Mixed|FALSE|1200to1500|DrainedAr</t>
  </si>
  <si>
    <t>Mixed|FALSE|Over1500|FreeDrain</t>
  </si>
  <si>
    <t>-</t>
  </si>
  <si>
    <t>Greenspace</t>
  </si>
  <si>
    <t>Community food growing</t>
  </si>
  <si>
    <t>Woodland</t>
  </si>
  <si>
    <t>Shrub</t>
  </si>
  <si>
    <t>Water</t>
  </si>
  <si>
    <t>Residential urban land</t>
  </si>
  <si>
    <t>Commercial/industrial urban land</t>
  </si>
  <si>
    <t>Open urban land</t>
  </si>
  <si>
    <t>Table 3: Stage 2 and 3 Rainfall / Urban Lookup</t>
  </si>
  <si>
    <t>Rainfall band</t>
  </si>
  <si>
    <t>Mid</t>
  </si>
  <si>
    <t>Farmscoper Equivalent</t>
  </si>
  <si>
    <t xml:space="preserve">P Urban Runoff Coefficient </t>
  </si>
  <si>
    <t>N Urban Runoff Coefficient (kg/ha/yr)</t>
  </si>
  <si>
    <t>Residential P export coefficient (kg/ha/yr)</t>
  </si>
  <si>
    <t>Commercial / industrial P export coefficient (kg/ha/yr)</t>
  </si>
  <si>
    <t>Open urban P export coefficient (kg/ha/yr)</t>
  </si>
  <si>
    <t>Residential P export coefficient (kg/ha/yr)2</t>
  </si>
  <si>
    <t>Commercial / industrial P export coefficient (kg/ha/yr)3</t>
  </si>
  <si>
    <t>Open urban P export coefficient (kg/ha/yr)4</t>
  </si>
  <si>
    <t>508 - 525</t>
  </si>
  <si>
    <t>Under600</t>
  </si>
  <si>
    <t>525.1 - 550</t>
  </si>
  <si>
    <t>550.1 - 575</t>
  </si>
  <si>
    <t>575.1 - 600</t>
  </si>
  <si>
    <t>600.1 - 625</t>
  </si>
  <si>
    <t>600to700</t>
  </si>
  <si>
    <t>625.1 - 650</t>
  </si>
  <si>
    <t>650.1 - 675</t>
  </si>
  <si>
    <t>675.1 - 700</t>
  </si>
  <si>
    <t>700.1 - 750</t>
  </si>
  <si>
    <t>750.1 - 800</t>
  </si>
  <si>
    <t>800.1 - 850</t>
  </si>
  <si>
    <t>850.1 - 900</t>
  </si>
  <si>
    <t>900.1 - 950</t>
  </si>
  <si>
    <t>950.1 - 1,000</t>
  </si>
  <si>
    <t>1,000.1 - 1,100</t>
  </si>
  <si>
    <t>1,100.1 - 1,200</t>
  </si>
  <si>
    <t>1,200.1 - 1,400</t>
  </si>
  <si>
    <t>1,400.1 - 1,600</t>
  </si>
  <si>
    <t>1,600.1 - 2,000</t>
  </si>
  <si>
    <t>2,000.1 - 2,400</t>
  </si>
  <si>
    <t>2,400.1 - 3,000</t>
  </si>
  <si>
    <t>3,000.1 - 4,000</t>
  </si>
  <si>
    <t>4,000.1 - 5,500</t>
  </si>
  <si>
    <t>Table 4: Stage 2 and 3 Catchment Lookup</t>
  </si>
  <si>
    <t>Operational Catchment</t>
  </si>
  <si>
    <t>Farmscoper equivalent</t>
  </si>
  <si>
    <t>Table 5: Stage 2 and 3 Soil Drainage Lookup</t>
  </si>
  <si>
    <t>Soilscape drainage term</t>
  </si>
  <si>
    <t>Farmscoper term</t>
  </si>
  <si>
    <t>Definition</t>
  </si>
  <si>
    <t>Freely draining</t>
  </si>
  <si>
    <t>Free Draining</t>
  </si>
  <si>
    <t>Slightly impeded drainage</t>
  </si>
  <si>
    <t>Drained for arable</t>
  </si>
  <si>
    <t>Impeded drainage</t>
  </si>
  <si>
    <t>Drained for arable and grassland</t>
  </si>
  <si>
    <t>Variable</t>
  </si>
  <si>
    <t>Surface Wetness</t>
  </si>
  <si>
    <t>Naturally wet</t>
  </si>
  <si>
    <t>Table 6: Stage 2 and 3 NVZ Lookup</t>
  </si>
  <si>
    <t>Yes</t>
  </si>
  <si>
    <t>No</t>
  </si>
  <si>
    <t>Table 7: Stage 2 and 3 Landcovers</t>
  </si>
  <si>
    <t>All Possible Landcover Types</t>
  </si>
  <si>
    <t>Table 8: Stage 2 and 3 Landcover lookup</t>
  </si>
  <si>
    <t>Camel Specific Landcover Types</t>
  </si>
  <si>
    <t>Table 9: New landcovers</t>
  </si>
  <si>
    <t>Future Landcovers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</si>
</sst>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5" x14ac:knownFonts="1">
    <font>
      <sz val="11"/>
      <color theme="1"/>
      <name val="Calibri"/>
      <family val="2"/>
      <scheme val="minor"/>
    </font>
    <font>
      <sz val="11"/>
      <name val="Calibri"/>
      <family val="2"/>
      <scheme val="minor"/>
    </font>
    <font>
      <u/>
      <sz val="11"/>
      <color theme="10"/>
      <name val="Calibri"/>
      <family val="2"/>
      <scheme val="minor"/>
    </font>
    <font>
      <b/>
      <sz val="11"/>
      <color theme="1"/>
      <name val="Arial"/>
      <family val="2"/>
    </font>
    <font>
      <b/>
      <sz val="11"/>
      <name val="Arial"/>
      <family val="2"/>
    </font>
    <font>
      <sz val="11"/>
      <name val="Arial"/>
      <family val="2"/>
    </font>
    <font>
      <sz val="11"/>
      <color theme="1"/>
      <name val="Arial"/>
      <family val="2"/>
    </font>
    <font>
      <sz val="11"/>
      <color rgb="FF000000"/>
      <name val="Arial"/>
      <family val="2"/>
    </font>
    <font>
      <b/>
      <sz val="12"/>
      <color theme="1"/>
      <name val="Arial"/>
      <family val="2"/>
    </font>
    <font>
      <sz val="8"/>
      <name val="Calibri"/>
      <family val="2"/>
      <scheme val="minor"/>
    </font>
    <font>
      <sz val="12"/>
      <name val="Arial"/>
      <family val="2"/>
    </font>
    <font>
      <b/>
      <sz val="12"/>
      <name val="Arial"/>
      <family val="2"/>
    </font>
    <font>
      <u/>
      <sz val="11"/>
      <name val="Arial"/>
      <family val="2"/>
    </font>
    <font>
      <b/>
      <sz val="24"/>
      <name val="Arial"/>
      <family val="2"/>
    </font>
    <font>
      <sz val="12"/>
      <color theme="1"/>
      <name val="Arial"/>
      <family val="2"/>
    </font>
    <font>
      <b/>
      <sz val="18"/>
      <name val="Arial"/>
      <family val="2"/>
    </font>
    <font>
      <b/>
      <sz val="14"/>
      <name val="Arial"/>
      <family val="2"/>
    </font>
    <font>
      <b/>
      <sz val="14"/>
      <color theme="1"/>
      <name val="Arial"/>
      <family val="2"/>
    </font>
    <font>
      <b/>
      <sz val="24"/>
      <color theme="0"/>
      <name val="Arial"/>
      <family val="2"/>
    </font>
    <font>
      <b/>
      <sz val="12"/>
      <color theme="0"/>
      <name val="Arial"/>
      <family val="2"/>
    </font>
    <font>
      <b/>
      <sz val="9"/>
      <name val="Arial"/>
      <family val="2"/>
    </font>
    <font>
      <b/>
      <sz val="10"/>
      <name val="Arial"/>
      <family val="2"/>
    </font>
    <font>
      <b/>
      <sz val="11"/>
      <color theme="0"/>
      <name val="Arial"/>
      <family val="2"/>
    </font>
    <font>
      <u/>
      <sz val="12"/>
      <name val="Arial"/>
      <family val="2"/>
    </font>
    <font>
      <u/>
      <sz val="12"/>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E9EDF7"/>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ck">
        <color theme="4" tint="0.499984740745262"/>
      </bottom>
      <diagonal/>
    </border>
    <border>
      <left/>
      <right style="thin">
        <color auto="1"/>
      </right>
      <top style="thin">
        <color auto="1"/>
      </top>
      <bottom style="thin">
        <color auto="1"/>
      </bottom>
      <diagonal/>
    </border>
    <border>
      <left style="thin">
        <color auto="1"/>
      </left>
      <right/>
      <top/>
      <bottom style="thin">
        <color indexed="64"/>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theme="1"/>
      </top>
      <bottom/>
      <diagonal/>
    </border>
    <border>
      <left style="thin">
        <color auto="1"/>
      </left>
      <right style="thin">
        <color auto="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auto="1"/>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0" fontId="2" fillId="0" borderId="0" applyNumberFormat="0" applyFill="0" applyBorder="0" applyAlignment="0" applyProtection="0"/>
    <xf numFmtId="0" fontId="15" fillId="0" borderId="2" applyNumberFormat="0" applyFill="0" applyBorder="0" applyAlignment="0" applyProtection="0"/>
    <xf numFmtId="0" fontId="16" fillId="0" borderId="6" applyNumberFormat="0" applyFill="0" applyBorder="0" applyAlignment="0" applyProtection="0"/>
  </cellStyleXfs>
  <cellXfs count="133">
    <xf numFmtId="0" fontId="0" fillId="0" borderId="0" xfId="0"/>
    <xf numFmtId="0" fontId="11" fillId="2" borderId="9"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8" fillId="2" borderId="9" xfId="0" applyFont="1" applyFill="1" applyBorder="1" applyAlignment="1">
      <alignment horizontal="left" vertical="center"/>
    </xf>
    <xf numFmtId="0" fontId="15" fillId="2" borderId="1" xfId="2" applyFill="1" applyBorder="1" applyAlignment="1" applyProtection="1">
      <alignment horizontal="left" vertical="center" wrapText="1"/>
    </xf>
    <xf numFmtId="0" fontId="10" fillId="3" borderId="0" xfId="0" applyFont="1" applyFill="1" applyAlignment="1">
      <alignment horizontal="left" vertical="center" wrapText="1"/>
    </xf>
    <xf numFmtId="0" fontId="10" fillId="3" borderId="1" xfId="0" applyFont="1" applyFill="1" applyBorder="1" applyAlignment="1">
      <alignment horizontal="left" vertical="center" wrapText="1"/>
    </xf>
    <xf numFmtId="0" fontId="16" fillId="2" borderId="1" xfId="3" applyFill="1" applyBorder="1" applyAlignment="1" applyProtection="1">
      <alignment horizontal="left" vertical="center" wrapText="1"/>
    </xf>
    <xf numFmtId="0" fontId="11" fillId="2" borderId="1"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23" fillId="3" borderId="1" xfId="1" applyFont="1" applyFill="1" applyBorder="1" applyAlignment="1" applyProtection="1">
      <alignment horizontal="left" vertical="center" wrapText="1"/>
    </xf>
    <xf numFmtId="0" fontId="23" fillId="3" borderId="0" xfId="1" applyFont="1" applyFill="1" applyBorder="1" applyAlignment="1" applyProtection="1">
      <alignment horizontal="left" vertical="center" wrapText="1"/>
    </xf>
    <xf numFmtId="0" fontId="4" fillId="3" borderId="0" xfId="1" applyFont="1" applyFill="1" applyBorder="1" applyAlignment="1" applyProtection="1">
      <alignment horizontal="left" vertical="center" wrapText="1"/>
    </xf>
    <xf numFmtId="0" fontId="12" fillId="3" borderId="0" xfId="1" applyFont="1" applyFill="1" applyBorder="1" applyAlignment="1" applyProtection="1">
      <alignment horizontal="left" vertical="center" wrapText="1"/>
    </xf>
    <xf numFmtId="0" fontId="11" fillId="3" borderId="0" xfId="0" applyFont="1" applyFill="1" applyAlignment="1">
      <alignment horizontal="left" vertical="center" wrapText="1"/>
    </xf>
    <xf numFmtId="0" fontId="23" fillId="3" borderId="1" xfId="1" applyFont="1" applyFill="1" applyBorder="1" applyAlignment="1">
      <alignment horizontal="left" vertical="center" wrapText="1"/>
    </xf>
    <xf numFmtId="0" fontId="1" fillId="3" borderId="0" xfId="0" applyFont="1" applyFill="1" applyAlignment="1">
      <alignment horizontal="left" wrapText="1"/>
    </xf>
    <xf numFmtId="0" fontId="10" fillId="3" borderId="7" xfId="0" applyFont="1" applyFill="1" applyBorder="1" applyAlignment="1">
      <alignment horizontal="left" vertical="center" wrapText="1"/>
    </xf>
    <xf numFmtId="0" fontId="10" fillId="3" borderId="10" xfId="0" applyFont="1" applyFill="1" applyBorder="1" applyAlignment="1">
      <alignment horizontal="left" wrapText="1"/>
    </xf>
    <xf numFmtId="0" fontId="11" fillId="3" borderId="1"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0" fillId="3" borderId="11" xfId="0" applyFont="1" applyFill="1" applyBorder="1" applyAlignment="1">
      <alignment horizontal="left" wrapText="1"/>
    </xf>
    <xf numFmtId="0" fontId="1" fillId="3" borderId="5" xfId="0" applyFont="1" applyFill="1" applyBorder="1" applyAlignment="1">
      <alignment horizontal="left" wrapText="1"/>
    </xf>
    <xf numFmtId="0" fontId="10" fillId="3" borderId="13" xfId="0" applyFont="1" applyFill="1" applyBorder="1" applyAlignment="1">
      <alignment horizontal="left" vertical="center" wrapText="1"/>
    </xf>
    <xf numFmtId="0" fontId="10" fillId="3" borderId="12" xfId="0" applyFont="1" applyFill="1" applyBorder="1" applyAlignment="1">
      <alignment horizontal="left" vertical="center" wrapText="1"/>
    </xf>
    <xf numFmtId="2" fontId="11" fillId="3" borderId="15" xfId="0" applyNumberFormat="1" applyFont="1" applyFill="1" applyBorder="1" applyAlignment="1">
      <alignment horizontal="left" vertical="center" wrapText="1"/>
    </xf>
    <xf numFmtId="2" fontId="11" fillId="3" borderId="16" xfId="0" applyNumberFormat="1" applyFont="1" applyFill="1" applyBorder="1" applyAlignment="1">
      <alignment horizontal="left" vertical="center" wrapText="1"/>
    </xf>
    <xf numFmtId="14" fontId="10" fillId="4" borderId="1" xfId="0" applyNumberFormat="1" applyFont="1" applyFill="1" applyBorder="1" applyAlignment="1" applyProtection="1">
      <alignment horizontal="left" vertical="center" wrapText="1"/>
      <protection locked="0"/>
    </xf>
    <xf numFmtId="2" fontId="10" fillId="4" borderId="1" xfId="0" applyNumberFormat="1" applyFont="1" applyFill="1" applyBorder="1" applyAlignment="1" applyProtection="1">
      <alignment horizontal="left" vertical="center" wrapText="1"/>
      <protection locked="0"/>
    </xf>
    <xf numFmtId="0" fontId="10" fillId="4" borderId="1" xfId="0" applyFont="1" applyFill="1" applyBorder="1" applyAlignment="1" applyProtection="1">
      <alignment horizontal="left" vertical="center" wrapText="1"/>
      <protection locked="0"/>
    </xf>
    <xf numFmtId="0" fontId="11" fillId="2" borderId="9" xfId="0" applyFont="1" applyFill="1" applyBorder="1" applyAlignment="1">
      <alignment horizontal="left" vertical="center"/>
    </xf>
    <xf numFmtId="0" fontId="11" fillId="2" borderId="7" xfId="0" applyFont="1" applyFill="1" applyBorder="1" applyAlignment="1">
      <alignment horizontal="left" vertical="center"/>
    </xf>
    <xf numFmtId="0" fontId="11" fillId="2" borderId="12" xfId="0" applyFont="1" applyFill="1" applyBorder="1" applyAlignment="1">
      <alignment horizontal="left" vertical="center"/>
    </xf>
    <xf numFmtId="2" fontId="11" fillId="2" borderId="15" xfId="0" applyNumberFormat="1" applyFont="1" applyFill="1" applyBorder="1" applyAlignment="1">
      <alignment horizontal="left" vertical="center" wrapText="1"/>
    </xf>
    <xf numFmtId="0" fontId="13" fillId="3" borderId="0" xfId="0" applyFont="1" applyFill="1" applyAlignment="1">
      <alignment horizontal="left" vertical="center" wrapText="1"/>
    </xf>
    <xf numFmtId="0" fontId="5" fillId="3" borderId="0" xfId="0" applyFont="1" applyFill="1" applyAlignment="1">
      <alignment horizontal="left" vertical="center" wrapText="1"/>
    </xf>
    <xf numFmtId="0" fontId="16" fillId="3" borderId="0" xfId="0" applyFont="1" applyFill="1" applyAlignment="1">
      <alignment horizontal="left" vertical="center" wrapText="1"/>
    </xf>
    <xf numFmtId="0" fontId="12" fillId="3" borderId="0" xfId="1" applyFont="1" applyFill="1" applyAlignment="1" applyProtection="1">
      <alignment horizontal="left" vertical="center" wrapText="1"/>
    </xf>
    <xf numFmtId="2" fontId="10" fillId="3" borderId="12" xfId="0" applyNumberFormat="1" applyFont="1" applyFill="1" applyBorder="1" applyAlignment="1" applyProtection="1">
      <alignment horizontal="left" vertical="center" wrapText="1"/>
      <protection locked="0"/>
    </xf>
    <xf numFmtId="2" fontId="14" fillId="3" borderId="10" xfId="0" applyNumberFormat="1" applyFont="1" applyFill="1" applyBorder="1" applyAlignment="1">
      <alignment horizontal="left" vertical="center" wrapText="1"/>
    </xf>
    <xf numFmtId="2" fontId="11" fillId="3" borderId="3" xfId="0" applyNumberFormat="1" applyFont="1" applyFill="1" applyBorder="1" applyAlignment="1">
      <alignment horizontal="left" vertical="center" wrapText="1"/>
    </xf>
    <xf numFmtId="0" fontId="4" fillId="3" borderId="0" xfId="0" applyFont="1" applyFill="1" applyAlignment="1">
      <alignment horizontal="left" vertical="center" wrapText="1"/>
    </xf>
    <xf numFmtId="14" fontId="10" fillId="4" borderId="10" xfId="0" applyNumberFormat="1" applyFont="1" applyFill="1" applyBorder="1" applyAlignment="1" applyProtection="1">
      <alignment horizontal="left" vertical="center" wrapText="1"/>
      <protection locked="0"/>
    </xf>
    <xf numFmtId="2" fontId="10" fillId="4" borderId="10" xfId="0" applyNumberFormat="1" applyFont="1" applyFill="1" applyBorder="1" applyAlignment="1" applyProtection="1">
      <alignment horizontal="left" vertical="center" wrapText="1"/>
      <protection locked="0"/>
    </xf>
    <xf numFmtId="0" fontId="10" fillId="4" borderId="10" xfId="0" applyFont="1" applyFill="1" applyBorder="1" applyAlignment="1" applyProtection="1">
      <alignment horizontal="left" vertical="center" wrapText="1"/>
      <protection locked="0"/>
    </xf>
    <xf numFmtId="0" fontId="10" fillId="4" borderId="11" xfId="0" applyFont="1" applyFill="1" applyBorder="1" applyAlignment="1" applyProtection="1">
      <alignment horizontal="left" vertical="center" wrapText="1"/>
      <protection locked="0"/>
    </xf>
    <xf numFmtId="0" fontId="10" fillId="4" borderId="7" xfId="0" applyFont="1" applyFill="1" applyBorder="1" applyAlignment="1" applyProtection="1">
      <alignment horizontal="left" vertical="center" wrapText="1"/>
      <protection locked="0"/>
    </xf>
    <xf numFmtId="0" fontId="10" fillId="2" borderId="11" xfId="0" applyFont="1" applyFill="1" applyBorder="1" applyAlignment="1">
      <alignment horizontal="left" vertical="center" wrapText="1"/>
    </xf>
    <xf numFmtId="2" fontId="8" fillId="3" borderId="1" xfId="0" applyNumberFormat="1" applyFont="1" applyFill="1" applyBorder="1" applyAlignment="1">
      <alignment horizontal="left" vertical="center" wrapText="1"/>
    </xf>
    <xf numFmtId="0" fontId="18" fillId="3" borderId="0" xfId="0" applyFont="1" applyFill="1" applyAlignment="1">
      <alignment horizontal="left" vertical="center" wrapText="1"/>
    </xf>
    <xf numFmtId="0" fontId="6" fillId="3" borderId="0" xfId="0" applyFont="1" applyFill="1" applyAlignment="1">
      <alignment horizontal="left" wrapText="1"/>
    </xf>
    <xf numFmtId="0" fontId="20" fillId="3" borderId="0" xfId="0" applyFont="1" applyFill="1" applyAlignment="1">
      <alignment horizontal="left" vertical="center" wrapText="1"/>
    </xf>
    <xf numFmtId="0" fontId="17" fillId="3" borderId="0" xfId="0" applyFont="1" applyFill="1" applyAlignment="1">
      <alignment horizontal="left" wrapText="1"/>
    </xf>
    <xf numFmtId="0" fontId="14" fillId="3" borderId="1" xfId="0" applyFont="1" applyFill="1" applyBorder="1" applyAlignment="1">
      <alignment horizontal="left" vertical="center" wrapText="1"/>
    </xf>
    <xf numFmtId="2" fontId="8" fillId="3" borderId="0" xfId="0" applyNumberFormat="1" applyFont="1" applyFill="1" applyAlignment="1">
      <alignment horizontal="left" vertical="center" wrapText="1"/>
    </xf>
    <xf numFmtId="0" fontId="3" fillId="3" borderId="0" xfId="0" applyFont="1" applyFill="1" applyAlignment="1">
      <alignment horizontal="left" wrapText="1"/>
    </xf>
    <xf numFmtId="0" fontId="8" fillId="3" borderId="0" xfId="0" applyFont="1" applyFill="1" applyAlignment="1">
      <alignment horizontal="left" vertical="center" wrapText="1"/>
    </xf>
    <xf numFmtId="0" fontId="14"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4" fillId="4" borderId="1" xfId="0" applyFont="1" applyFill="1" applyBorder="1" applyAlignment="1" applyProtection="1">
      <alignment horizontal="left" vertical="center" wrapText="1"/>
      <protection locked="0"/>
    </xf>
    <xf numFmtId="0" fontId="14" fillId="4" borderId="0" xfId="0" applyFont="1" applyFill="1" applyAlignment="1" applyProtection="1">
      <alignment horizontal="left" vertical="center" wrapText="1"/>
      <protection locked="0"/>
    </xf>
    <xf numFmtId="2" fontId="10" fillId="4" borderId="0" xfId="0" applyNumberFormat="1" applyFont="1" applyFill="1" applyAlignment="1" applyProtection="1">
      <alignment horizontal="left" vertical="center" wrapText="1"/>
      <protection locked="0"/>
    </xf>
    <xf numFmtId="0" fontId="8" fillId="2" borderId="0" xfId="0" applyFont="1" applyFill="1" applyAlignment="1">
      <alignment horizontal="left" vertical="center" wrapText="1"/>
    </xf>
    <xf numFmtId="0" fontId="6" fillId="3" borderId="0" xfId="0" applyFont="1" applyFill="1" applyAlignment="1">
      <alignment horizontal="left" vertical="center" wrapText="1"/>
    </xf>
    <xf numFmtId="0" fontId="21" fillId="3" borderId="0" xfId="0" applyFont="1" applyFill="1" applyAlignment="1">
      <alignment horizontal="left" vertical="center" wrapText="1"/>
    </xf>
    <xf numFmtId="0" fontId="6" fillId="3" borderId="0" xfId="0" applyFont="1" applyFill="1" applyAlignment="1">
      <alignment horizontal="left" vertical="center"/>
    </xf>
    <xf numFmtId="2" fontId="11" fillId="3" borderId="0" xfId="0" applyNumberFormat="1" applyFont="1" applyFill="1" applyAlignment="1">
      <alignment horizontal="left" vertical="center" wrapText="1"/>
    </xf>
    <xf numFmtId="0" fontId="8" fillId="2" borderId="17" xfId="0" applyFont="1" applyFill="1" applyBorder="1" applyAlignment="1">
      <alignment horizontal="left" vertical="center" wrapText="1"/>
    </xf>
    <xf numFmtId="2" fontId="14" fillId="4" borderId="1" xfId="0" applyNumberFormat="1" applyFont="1" applyFill="1" applyBorder="1" applyAlignment="1" applyProtection="1">
      <alignment horizontal="left" vertical="center" wrapText="1"/>
      <protection locked="0"/>
    </xf>
    <xf numFmtId="2" fontId="11" fillId="2" borderId="0" xfId="0" applyNumberFormat="1" applyFont="1" applyFill="1" applyAlignment="1">
      <alignment horizontal="left" vertical="center" wrapText="1"/>
    </xf>
    <xf numFmtId="2" fontId="8" fillId="2" borderId="0" xfId="0" applyNumberFormat="1" applyFont="1" applyFill="1" applyAlignment="1">
      <alignment horizontal="left" vertical="center" wrapText="1"/>
    </xf>
    <xf numFmtId="0" fontId="6" fillId="2" borderId="0" xfId="0" applyFont="1" applyFill="1" applyAlignment="1">
      <alignment horizontal="left" vertical="center" wrapText="1"/>
    </xf>
    <xf numFmtId="0" fontId="14" fillId="3" borderId="0" xfId="0" applyFont="1" applyFill="1" applyAlignment="1">
      <alignment horizontal="left" vertical="center" wrapText="1"/>
    </xf>
    <xf numFmtId="0" fontId="19" fillId="3" borderId="0" xfId="0" applyFont="1" applyFill="1" applyAlignment="1">
      <alignment horizontal="left" vertical="center" wrapText="1"/>
    </xf>
    <xf numFmtId="0" fontId="14" fillId="3" borderId="7" xfId="0" applyFont="1" applyFill="1" applyBorder="1" applyAlignment="1">
      <alignment horizontal="left" vertical="center" wrapText="1"/>
    </xf>
    <xf numFmtId="2" fontId="11" fillId="3" borderId="10" xfId="0" applyNumberFormat="1" applyFont="1" applyFill="1" applyBorder="1" applyAlignment="1">
      <alignment horizontal="left" vertical="center" wrapText="1"/>
    </xf>
    <xf numFmtId="2" fontId="8" fillId="3" borderId="10" xfId="0" applyNumberFormat="1" applyFont="1" applyFill="1" applyBorder="1" applyAlignment="1">
      <alignment horizontal="left" vertical="center" wrapText="1"/>
    </xf>
    <xf numFmtId="2" fontId="8" fillId="3" borderId="11" xfId="0" applyNumberFormat="1" applyFont="1" applyFill="1" applyBorder="1" applyAlignment="1">
      <alignment horizontal="left" vertical="center" wrapText="1"/>
    </xf>
    <xf numFmtId="0" fontId="14"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8" fillId="2" borderId="7"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8" fillId="2" borderId="8" xfId="0" applyFont="1" applyFill="1" applyBorder="1" applyAlignment="1">
      <alignment horizontal="left" vertical="center" wrapText="1"/>
    </xf>
    <xf numFmtId="0" fontId="22" fillId="3" borderId="0" xfId="0" applyFont="1" applyFill="1" applyAlignment="1">
      <alignment vertical="center"/>
    </xf>
    <xf numFmtId="0" fontId="22" fillId="3" borderId="0" xfId="0" applyFont="1" applyFill="1" applyAlignment="1">
      <alignment vertical="center" wrapText="1"/>
    </xf>
    <xf numFmtId="0" fontId="6" fillId="3" borderId="0" xfId="0" applyFont="1" applyFill="1" applyAlignment="1">
      <alignment wrapText="1"/>
    </xf>
    <xf numFmtId="0" fontId="6" fillId="3" borderId="0" xfId="0" applyFont="1" applyFill="1"/>
    <xf numFmtId="0" fontId="6" fillId="3" borderId="7"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 xfId="0" applyFont="1" applyFill="1" applyBorder="1" applyAlignment="1" applyProtection="1">
      <alignment horizontal="left" vertical="center" wrapText="1"/>
      <protection hidden="1"/>
    </xf>
    <xf numFmtId="2" fontId="6" fillId="3" borderId="0" xfId="0" applyNumberFormat="1" applyFont="1" applyFill="1" applyAlignment="1">
      <alignment horizontal="left" vertical="center" wrapText="1"/>
    </xf>
    <xf numFmtId="0" fontId="7"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2" fontId="5" fillId="3" borderId="1" xfId="0" applyNumberFormat="1" applyFont="1" applyFill="1" applyBorder="1" applyAlignment="1">
      <alignment horizontal="left" vertical="center" wrapText="1"/>
    </xf>
    <xf numFmtId="2" fontId="5" fillId="3" borderId="0" xfId="0" applyNumberFormat="1" applyFont="1" applyFill="1" applyAlignment="1">
      <alignment horizontal="left" vertical="center" wrapText="1"/>
    </xf>
    <xf numFmtId="0" fontId="7" fillId="3" borderId="0" xfId="0" applyFont="1" applyFill="1" applyAlignment="1">
      <alignment horizontal="left" vertical="center" wrapText="1"/>
    </xf>
    <xf numFmtId="2" fontId="6" fillId="3" borderId="1" xfId="0" applyNumberFormat="1" applyFont="1" applyFill="1" applyBorder="1" applyAlignment="1">
      <alignment horizontal="left" vertical="center" wrapText="1"/>
    </xf>
    <xf numFmtId="2" fontId="7" fillId="3" borderId="1" xfId="0" applyNumberFormat="1" applyFont="1" applyFill="1" applyBorder="1" applyAlignment="1">
      <alignment horizontal="left" vertical="center" wrapText="1"/>
    </xf>
    <xf numFmtId="49" fontId="6" fillId="3" borderId="1" xfId="0" applyNumberFormat="1" applyFont="1" applyFill="1" applyBorder="1" applyAlignment="1">
      <alignment horizontal="left" vertical="center" wrapText="1"/>
    </xf>
    <xf numFmtId="0" fontId="16" fillId="2" borderId="1" xfId="3" applyFill="1" applyBorder="1" applyAlignment="1" applyProtection="1">
      <alignment horizontal="left" vertical="center"/>
    </xf>
    <xf numFmtId="2" fontId="6" fillId="2" borderId="1" xfId="0" applyNumberFormat="1" applyFont="1" applyFill="1" applyBorder="1" applyAlignment="1">
      <alignment horizontal="left" vertical="center"/>
    </xf>
    <xf numFmtId="0" fontId="6"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16" fillId="2" borderId="3" xfId="3" applyFill="1" applyBorder="1" applyAlignment="1" applyProtection="1">
      <alignment horizontal="left" vertical="center"/>
    </xf>
    <xf numFmtId="0" fontId="15" fillId="2" borderId="1" xfId="2" applyFill="1" applyBorder="1" applyAlignment="1" applyProtection="1">
      <alignment horizontal="left" vertical="center"/>
    </xf>
    <xf numFmtId="0" fontId="10" fillId="3" borderId="1" xfId="0" applyFont="1" applyFill="1" applyBorder="1" applyAlignment="1">
      <alignment vertical="center" wrapText="1"/>
    </xf>
    <xf numFmtId="0" fontId="23" fillId="3" borderId="1" xfId="1" applyFont="1" applyFill="1" applyBorder="1" applyAlignment="1">
      <alignment vertical="center" wrapText="1"/>
    </xf>
    <xf numFmtId="0" fontId="23" fillId="3" borderId="1" xfId="0" applyFont="1" applyFill="1" applyBorder="1" applyAlignment="1">
      <alignment vertical="center" wrapText="1"/>
    </xf>
    <xf numFmtId="2" fontId="11" fillId="3" borderId="14"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2" fontId="11" fillId="3" borderId="1" xfId="0" applyNumberFormat="1" applyFont="1" applyFill="1" applyBorder="1" applyAlignment="1">
      <alignment horizontal="left" vertical="center" wrapText="1"/>
    </xf>
    <xf numFmtId="0" fontId="6" fillId="2" borderId="3" xfId="0" applyFont="1" applyFill="1" applyBorder="1" applyAlignment="1">
      <alignment horizontal="left" vertical="center"/>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6" fillId="2" borderId="3" xfId="0" applyFont="1" applyFill="1" applyBorder="1"/>
    <xf numFmtId="2" fontId="6" fillId="2" borderId="3" xfId="0" applyNumberFormat="1" applyFont="1" applyFill="1" applyBorder="1" applyAlignment="1">
      <alignment horizontal="left" vertical="center"/>
    </xf>
    <xf numFmtId="0" fontId="3" fillId="2" borderId="2"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6" fillId="3" borderId="12" xfId="0" applyFont="1" applyFill="1" applyBorder="1" applyAlignment="1">
      <alignment wrapText="1"/>
    </xf>
    <xf numFmtId="0" fontId="10" fillId="3" borderId="10" xfId="0" applyFont="1" applyFill="1" applyBorder="1" applyAlignment="1" applyProtection="1">
      <alignment horizontal="left" vertical="center" wrapText="1"/>
      <protection locked="0"/>
    </xf>
    <xf numFmtId="0" fontId="24" fillId="3" borderId="1" xfId="1" applyFont="1" applyFill="1" applyBorder="1" applyAlignment="1" applyProtection="1">
      <alignment horizontal="left" vertical="center" wrapText="1"/>
    </xf>
  </cellXfs>
  <cellStyles count="4">
    <cellStyle name="Heading 1" xfId="2" builtinId="16" customBuiltin="1"/>
    <cellStyle name="Heading 2" xfId="3" builtinId="17" customBuiltin="1"/>
    <cellStyle name="Hyperlink" xfId="1" builtinId="8"/>
    <cellStyle name="Normal" xfId="0" builtinId="0"/>
  </cellStyles>
  <dxfs count="117">
    <dxf>
      <font>
        <color theme="1"/>
      </font>
    </dxf>
    <dxf>
      <fill>
        <patternFill>
          <bgColor rgb="FFE9EDF7"/>
        </patternFill>
      </fill>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sz val="11"/>
        <name val="Arial"/>
        <family val="2"/>
        <scheme val="none"/>
      </font>
      <fill>
        <patternFill patternType="solid">
          <fgColor indexed="64"/>
          <bgColor rgb="FFFFFFCC"/>
        </patternFill>
      </fill>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rgb="FFFFFFCC"/>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rgb="FFFFFFCC"/>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fill>
        <patternFill patternType="solid">
          <fgColor indexed="64"/>
          <bgColor rgb="FFFFFFCC"/>
        </patternFill>
      </fill>
      <alignment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fill>
        <patternFill patternType="solid">
          <fgColor indexed="64"/>
          <bgColor rgb="FFFFFFCC"/>
        </patternFill>
      </fill>
      <alignment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FFFFCC"/>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rgb="FFFFFFCC"/>
        </patternFill>
      </fill>
      <alignment horizontal="left" vertical="center" textRotation="0" wrapText="1" indent="0" justifyLastLine="0" shrinkToFit="0" readingOrder="0"/>
      <border diagonalUp="0" diagonalDown="0" outline="0">
        <left/>
        <right/>
        <top style="thin">
          <color auto="1"/>
        </top>
        <bottom style="thin">
          <color auto="1"/>
        </bottom>
      </border>
      <protection locked="1" hidden="0"/>
    </dxf>
    <dxf>
      <border outline="0">
        <top style="thin">
          <color indexed="64"/>
        </top>
      </border>
    </dxf>
    <dxf>
      <border outline="0">
        <left style="thin">
          <color auto="1"/>
        </left>
        <right style="thin">
          <color auto="1"/>
        </right>
        <top style="thin">
          <color auto="1"/>
        </top>
        <bottom style="thin">
          <color auto="1"/>
        </bottom>
      </border>
    </dxf>
    <dxf>
      <fill>
        <patternFill>
          <fgColor indexed="64"/>
          <bgColor rgb="FFFFFFCC"/>
        </patternFill>
      </fill>
      <alignment horizontal="left" vertical="center" textRotation="0" wrapText="1" indent="0" justifyLastLine="0" shrinkToFit="0" readingOrder="0"/>
      <protection locked="1" hidden="0"/>
    </dxf>
    <dxf>
      <border outline="0">
        <bottom style="thin">
          <color indexed="64"/>
        </bottom>
      </border>
    </dxf>
    <dxf>
      <fill>
        <patternFill patternType="solid">
          <fgColor indexed="64"/>
          <bgColor theme="0" tint="-0.14999847407452621"/>
        </patternFill>
      </fill>
      <alignment horizontal="left" vertical="center" textRotation="0" indent="0" justifyLastLine="0" shrinkToFit="0" readingOrder="0"/>
      <protection locked="1" hidden="0"/>
    </dxf>
    <dxf>
      <numFmt numFmtId="0" formatCode="General"/>
      <fill>
        <patternFill>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numFmt numFmtId="0" formatCode="General"/>
      <fill>
        <patternFill>
          <fgColor indexed="64"/>
          <bgColor rgb="FFFFFFCC"/>
        </patternFill>
      </fill>
      <alignment horizontal="left" vertical="center" textRotation="0" wrapText="1" indent="0" justifyLastLine="0" shrinkToFit="0" readingOrder="0"/>
      <protection locked="1" hidden="0"/>
    </dxf>
    <dxf>
      <fill>
        <patternFill>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none">
          <fgColor indexed="64"/>
          <bgColor rgb="FFFFFFCC"/>
        </patternFill>
      </fill>
      <alignment horizontal="left" vertical="center" textRotation="0" wrapText="1" indent="0" justifyLastLine="0" shrinkToFit="0" readingOrder="0"/>
      <protection locked="1" hidden="0"/>
    </dxf>
    <dxf>
      <fill>
        <patternFill>
          <fgColor indexed="64"/>
          <bgColor rgb="FFFFFFCC"/>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2"/>
        <color theme="1"/>
        <name val="Arial"/>
        <family val="2"/>
        <scheme val="none"/>
      </font>
      <numFmt numFmtId="2" formatCode="0.00"/>
      <fill>
        <patternFill patternType="none">
          <fgColor indexed="64"/>
          <bgColor rgb="FFFFFFCC"/>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rgb="FFFFFFCC"/>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none">
          <fgColor indexed="64"/>
          <bgColor rgb="FFFFFFCC"/>
        </patternFill>
      </fill>
      <alignment horizontal="left" vertical="bottom" textRotation="0" wrapText="1" indent="0" justifyLastLine="0" shrinkToFit="0" readingOrder="0"/>
      <protection locked="1" hidden="0"/>
    </dxf>
    <dxf>
      <fill>
        <patternFill>
          <fgColor indexed="64"/>
          <bgColor rgb="FFFFFFCC"/>
        </patternFill>
      </fill>
      <alignment horizontal="left"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solid">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fill>
        <patternFill>
          <fgColor indexed="64"/>
          <bgColor rgb="FFFFFFCC"/>
        </patternFill>
      </fill>
      <alignment horizontal="left" vertical="center" textRotation="0"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E9EDF7"/>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rgb="FFFFFFCC"/>
        </patternFill>
      </fill>
      <alignment horizontal="left" vertical="center" textRotation="0" wrapText="1"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fgColor indexed="64"/>
          <bgColor rgb="FFFFFFCC"/>
        </patternFill>
      </fill>
      <alignment horizontal="left" vertical="center" textRotation="0" wrapText="1" indent="0" justifyLastLine="0" shrinkToFit="0" readingOrder="0"/>
      <protection locked="1" hidden="0"/>
    </dxf>
    <dxf>
      <border>
        <bottom style="thin">
          <color indexed="64"/>
        </bottom>
      </border>
    </dxf>
    <dxf>
      <font>
        <strike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Arial"/>
        <family val="2"/>
        <scheme val="none"/>
      </font>
      <fill>
        <patternFill>
          <fgColor indexed="64"/>
          <bgColor rgb="FFFFFFCC"/>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color auto="1"/>
        <name val="Arial"/>
        <family val="2"/>
        <scheme val="none"/>
      </font>
      <fill>
        <patternFill>
          <fgColor indexed="64"/>
          <bgColor rgb="FFFFFFCC"/>
        </patternFill>
      </fill>
      <alignment horizontal="left" vertical="center" textRotation="0" wrapText="1" indent="0" justifyLastLine="0" shrinkToFit="0" readingOrder="0"/>
    </dxf>
    <dxf>
      <border>
        <bottom style="thin">
          <color indexed="64"/>
        </bottom>
      </border>
    </dxf>
    <dxf>
      <font>
        <b/>
        <strike val="0"/>
        <outline val="0"/>
        <shadow val="0"/>
        <u val="none"/>
        <vertAlign val="baseline"/>
        <color auto="1"/>
        <name val="Arial"/>
        <family val="2"/>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ertAlign val="baseline"/>
        <sz val="12"/>
        <color auto="1"/>
        <name val="Arial"/>
        <family val="2"/>
        <scheme val="none"/>
      </font>
      <fill>
        <patternFill>
          <fgColor indexed="64"/>
          <bgColor rgb="FFFFFFCC"/>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auto="1"/>
        <name val="Arial"/>
        <family val="2"/>
        <scheme val="none"/>
      </font>
      <fill>
        <patternFill>
          <fgColor indexed="64"/>
          <bgColor rgb="FFFFFFCC"/>
        </patternFill>
      </fill>
      <alignment horizontal="left" vertical="center" textRotation="0" wrapText="1" indent="0" justifyLastLine="0" shrinkToFit="0" readingOrder="0"/>
      <protection locked="1" hidden="0"/>
    </dxf>
    <dxf>
      <font>
        <strike val="0"/>
        <outline val="0"/>
        <shadow val="0"/>
        <vertAlign val="baseline"/>
        <color auto="1"/>
        <name val="Arial"/>
        <family val="2"/>
        <scheme val="none"/>
      </font>
      <fill>
        <patternFill>
          <fgColor indexed="64"/>
          <bgColor rgb="FFFFFFCC"/>
        </patternFill>
      </fill>
      <alignment horizontal="left" vertical="center" textRotation="0" indent="0" justifyLastLine="0" shrinkToFit="0" readingOrder="0"/>
    </dxf>
    <dxf>
      <font>
        <b/>
        <strike val="0"/>
        <outline val="0"/>
        <shadow val="0"/>
        <vertAlign val="baseline"/>
        <color auto="1"/>
        <name val="Arial"/>
        <family val="2"/>
        <scheme val="none"/>
      </font>
      <fill>
        <patternFill patternType="solid">
          <fgColor indexed="64"/>
          <bgColor rgb="FFFFFFCC"/>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2" formatCode="0.00"/>
      <fill>
        <patternFill patternType="solid">
          <fgColor indexed="64"/>
          <bgColor rgb="FFFFFFCC"/>
        </patternFill>
      </fill>
      <alignment horizontal="left" vertical="center" textRotation="0" wrapText="1" indent="0" justifyLastLine="0" shrinkToFit="0" readingOrder="0"/>
      <border diagonalUp="0" diagonalDown="0" outline="0">
        <left style="thin">
          <color auto="1"/>
        </left>
        <right style="thin">
          <color theme="1"/>
        </right>
        <top style="thin">
          <color auto="1"/>
        </top>
        <bottom/>
      </border>
      <protection locked="1" hidden="0"/>
    </dxf>
    <dxf>
      <fill>
        <patternFill>
          <fgColor indexed="64"/>
          <bgColor rgb="FFFFFFCC"/>
        </patternFill>
      </fill>
      <alignment horizontal="left" vertical="center" textRotation="0" indent="0" justifyLastLine="0" shrinkToFit="0" readingOrder="0"/>
      <protection locked="1" hidden="0"/>
    </dxf>
    <dxf>
      <border outline="0">
        <left style="thin">
          <color auto="1"/>
        </left>
        <top style="thin">
          <color auto="1"/>
        </top>
        <bottom style="thin">
          <color indexed="64"/>
        </bottom>
      </border>
    </dxf>
    <dxf>
      <fill>
        <patternFill>
          <fgColor indexed="64"/>
          <bgColor rgb="FFFFFFCC"/>
        </patternFill>
      </fill>
      <alignment horizontal="left" vertical="center" textRotation="0" indent="0" justifyLastLine="0" shrinkToFit="0" readingOrder="0"/>
      <protection locked="1" hidden="0"/>
    </dxf>
    <dxf>
      <border outline="0">
        <bottom style="thin">
          <color auto="1"/>
        </bottom>
      </border>
    </dxf>
    <dxf>
      <fill>
        <patternFill patternType="solid">
          <fgColor indexed="64"/>
          <bgColor rgb="FFFFFFCC"/>
        </patternFill>
      </fill>
      <alignment horizontal="left" vertical="center" textRotation="0" indent="0" justifyLastLine="0" shrinkToFit="0" readingOrder="0"/>
      <protection locked="1" hidden="0"/>
    </dxf>
    <dxf>
      <font>
        <strike val="0"/>
        <outline val="0"/>
        <shadow val="0"/>
        <u val="none"/>
        <vertAlign val="baseline"/>
        <sz val="12"/>
        <color auto="1"/>
        <name val="Arial"/>
        <family val="2"/>
        <scheme val="none"/>
      </font>
      <fill>
        <patternFill>
          <fgColor indexed="64"/>
          <bgColor rgb="FFFFFFCC"/>
        </patternFill>
      </fill>
      <alignment horizontal="left" textRotation="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fill>
        <patternFill patternType="none">
          <fgColor indexed="64"/>
          <bgColor rgb="FFFFFFCC"/>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rgb="FFFFFFCC"/>
        </patternFill>
      </fill>
      <alignment horizontal="left" textRotation="0" indent="0" justifyLastLine="0" shrinkToFit="0" readingOrder="0"/>
      <protection locked="1" hidden="0"/>
    </dxf>
    <dxf>
      <border>
        <bottom style="thin">
          <color indexed="64"/>
        </bottom>
      </border>
    </dxf>
    <dxf>
      <font>
        <b/>
      </font>
      <fill>
        <patternFill>
          <fgColor indexed="64"/>
          <bgColor rgb="FFFFFFCC"/>
        </patternFill>
      </fill>
      <alignment horizontal="left" textRotation="0" indent="0" justifyLastLine="0" shrinkToFit="0" readingOrder="0"/>
      <border diagonalUp="0" diagonalDown="0" outline="0">
        <left style="thin">
          <color indexed="64"/>
        </left>
        <right style="thin">
          <color indexed="64"/>
        </right>
        <top/>
        <bottom/>
      </border>
      <protection locked="1" hidden="0"/>
    </dxf>
  </dxfs>
  <tableStyles count="2" defaultTableStyle="TableStyleMedium2" defaultPivotStyle="PivotStyleLight16">
    <tableStyle name="Table Style 1" pivot="0" count="0" xr9:uid="{5D883CF4-3ADC-4CD3-B12F-5AE68B67A489}"/>
    <tableStyle name="Table Style 2" pivot="0" count="0" xr9:uid="{41CA7FC3-67DD-4F38-A424-2FE17B9C20C1}"/>
  </tableStyles>
  <colors>
    <mruColors>
      <color rgb="FFFFFFCC"/>
      <color rgb="FFE9EDF7"/>
      <color rgb="FFEDEDED"/>
      <color rgb="FFE2EFDA"/>
      <color rgb="FF000000"/>
      <color rgb="FF449669"/>
      <color rgb="FFF7E8BE"/>
      <color rgb="FF9DD3BE"/>
      <color rgb="FFAAC7EE"/>
      <color rgb="FFF3E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tyles" Target="style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56\OneDrive%20-%20Ricardo%20Plc\NE%20NN\Copy%20of%20Herefordshire%20Council%20Phosphate%20Budget%20Calculator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Stage 1"/>
      <sheetName val="Stage 2"/>
      <sheetName val="Stage 3"/>
      <sheetName val="Stage 4"/>
      <sheetName val="WwTW look up"/>
      <sheetName val="Stage 2 and 3 lookups"/>
      <sheetName val="WwTW Catchments"/>
    </sheetNames>
    <sheetDataSet>
      <sheetData sheetId="0"/>
      <sheetData sheetId="1"/>
      <sheetData sheetId="2"/>
      <sheetData sheetId="3"/>
      <sheetData sheetId="4"/>
      <sheetData sheetId="5"/>
      <sheetData sheetId="6"/>
      <sheetData sheetId="7"/>
    </sheetDataSet>
  </externalBook>
</externalLink>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13</v>
    <v>3</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EC5582-820E-44BB-834A-BCCF40BD9380}" name="Table_1_Links3" displayName="Table_1_Links3" ref="A10:B15" totalsRowShown="0" headerRowDxfId="102" dataDxfId="101">
  <autoFilter ref="A10:B15" xr:uid="{7EBF9311-A278-4083-BF4D-937B4AAC2ED7}">
    <filterColumn colId="0" hiddenButton="1"/>
    <filterColumn colId="1" hiddenButton="1"/>
  </autoFilter>
  <tableColumns count="2">
    <tableColumn id="1" xr3:uid="{D307493E-2059-46BA-8359-3AF9476DA77C}" name="Topic of each table" dataDxfId="100"/>
    <tableColumn id="2" xr3:uid="{232F3596-0F30-49C4-AE95-A48E7051B620}" name="Link to each worksheet" dataDxfId="99" dataCellStyle="Hyperlink"/>
  </tableColumns>
  <tableStyleInfo name="Table Sty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7E373C5-D0CE-42F2-9526-68F6C3493A4E}" name="Table6" displayName="Table6" ref="A169:A186" totalsRowShown="0" headerRowDxfId="54" dataDxfId="52" headerRowBorderDxfId="53" tableBorderDxfId="51" totalsRowBorderDxfId="50">
  <autoFilter ref="A169:A186" xr:uid="{27E373C5-D0CE-42F2-9526-68F6C3493A4E}">
    <filterColumn colId="0" hiddenButton="1"/>
  </autoFilter>
  <tableColumns count="1">
    <tableColumn id="1" xr3:uid="{53B368C1-8BC9-40BE-BF12-2BD44CBABE8A}" name="All Possible Landcover Types" dataDxfId="49"/>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2ED230A-D03F-4AFE-B6E2-A2C0CA247A6E}" name="Table8" displayName="Table8" ref="A164:B166" totalsRowShown="0" headerRowDxfId="48" dataDxfId="47">
  <autoFilter ref="A164:B166" xr:uid="{92ED230A-D03F-4AFE-B6E2-A2C0CA247A6E}">
    <filterColumn colId="0" hiddenButton="1"/>
    <filterColumn colId="1" hiddenButton="1"/>
  </autoFilter>
  <tableColumns count="2">
    <tableColumn id="1" xr3:uid="{733091DA-D7C2-4BC5-B808-44E4059922C0}" name="NVZ" dataDxfId="46"/>
    <tableColumn id="2" xr3:uid="{F0C58FBC-95F8-49DE-8689-2F83AB0C11EB}" name="Farmscoper equivalent" dataDxfId="45"/>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A6CB2E1-69B4-4AD4-994C-659133C27DDB}" name="Table9" displayName="Table9" ref="A155:C161" totalsRowShown="0" headerRowDxfId="44" dataDxfId="43">
  <autoFilter ref="A155:C161" xr:uid="{1A6CB2E1-69B4-4AD4-994C-659133C27DDB}">
    <filterColumn colId="0" hiddenButton="1"/>
    <filterColumn colId="1" hiddenButton="1"/>
    <filterColumn colId="2" hiddenButton="1"/>
  </autoFilter>
  <tableColumns count="3">
    <tableColumn id="1" xr3:uid="{22766906-A0A6-4E97-AF30-1597153F0350}" name="Soilscape drainage term" dataDxfId="42"/>
    <tableColumn id="2" xr3:uid="{F002BB36-823A-4836-A21B-B579E90BABD3}" name="Farmscoper term" dataDxfId="41"/>
    <tableColumn id="3" xr3:uid="{9175DC56-F38C-4D28-A172-11226D1D23E9}" name="Definition" dataDxfId="40"/>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0ED9AF4-0B9C-46D1-A504-516FB3E2D7EF}" name="Table12" displayName="Table12" ref="A125:K148" totalsRowShown="0" headerRowDxfId="39" dataDxfId="37" headerRowBorderDxfId="38">
  <autoFilter ref="A125:K148" xr:uid="{30ED9AF4-0B9C-46D1-A504-516FB3E2D7E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CB73E3E-D4B1-4E91-9FE1-DC3C15FC5104}" name="Rainfall band" dataDxfId="36"/>
    <tableColumn id="2" xr3:uid="{6314E66D-7991-4DDA-9A1D-1FE2961CCE28}" name="Mid" dataDxfId="35"/>
    <tableColumn id="3" xr3:uid="{0B72D170-B3FB-410B-B94E-238D55DCBE68}" name="Farmscoper Equivalent" dataDxfId="34"/>
    <tableColumn id="4" xr3:uid="{0F992BC0-BDCD-49A0-800D-DE9390E83D4D}" name="P Urban Runoff Coefficient " dataDxfId="33"/>
    <tableColumn id="5" xr3:uid="{CC4E8ED1-10B1-497F-85BB-B21C5930A734}" name="N Urban Runoff Coefficient (kg/ha/yr)" dataDxfId="32"/>
    <tableColumn id="6" xr3:uid="{8AA02858-4B6E-42E1-8EB2-D3C4BAB72698}" name="Residential P export coefficient (kg/ha/yr)" dataDxfId="31"/>
    <tableColumn id="7" xr3:uid="{24BE5444-EEC8-44A1-8B49-79261DDC1D84}" name="Commercial / industrial P export coefficient (kg/ha/yr)" dataDxfId="30"/>
    <tableColumn id="8" xr3:uid="{3D907FB1-AFBD-4D65-A7C1-7FCBDBA7E010}" name="Open urban P export coefficient (kg/ha/yr)" dataDxfId="29"/>
    <tableColumn id="9" xr3:uid="{659D953B-CEE1-475B-B79F-09EDE2124F89}" name="Residential P export coefficient (kg/ha/yr)2" dataDxfId="28"/>
    <tableColumn id="10" xr3:uid="{B077E248-9579-43F2-9FD4-BCCA722D6FC1}" name="Commercial / industrial P export coefficient (kg/ha/yr)3" dataDxfId="27"/>
    <tableColumn id="11" xr3:uid="{106BF2CF-BA30-4A6D-AF89-E886BEBDE8D6}" name="Open urban P export coefficient (kg/ha/yr)4" dataDxfId="26"/>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3B43066-8BAE-497D-9A3B-467A3E8B6BB9}" name="Table13" displayName="Table13" ref="A21:M122" totalsRowShown="0" headerRowDxfId="25" dataDxfId="24">
  <autoFilter ref="A21:M122" xr:uid="{23B43066-8BAE-497D-9A3B-467A3E8B6B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8A049100-E13D-487C-A223-0735CFB09E81}" name="Catchment" dataDxfId="23"/>
    <tableColumn id="2" xr3:uid="{B8D75754-E7F8-4B85-993C-7907E45F1CAE}" name="Farmscoper Farm Term" dataDxfId="22"/>
    <tableColumn id="3" xr3:uid="{EC77A0A4-C437-4818-A316-7C71A29A7121}" name="NVZ" dataDxfId="21"/>
    <tableColumn id="4" xr3:uid="{B98F73F4-9677-4844-877F-8A359508FB3B}" name="Climate" dataDxfId="20"/>
    <tableColumn id="5" xr3:uid="{7C621915-7D3D-4055-8347-C883D9EE99FE}" name="Farmscoper Soil Drainage Term" dataDxfId="19"/>
    <tableColumn id="6" xr3:uid="{4C66E893-8377-439B-93D4-1CE695F419C9}" name="Lookup" dataDxfId="18">
      <calculatedColumnFormula>"|"&amp;"|"&amp;"|"&amp;E22</calculatedColumnFormula>
    </tableColumn>
    <tableColumn id="7" xr3:uid="{CF6B9BF0-3AFB-4049-8321-66DDFD8F9508}" name="Column3" dataDxfId="17"/>
    <tableColumn id="8" xr3:uid="{EBD2571A-6A4E-4448-BEB2-CCC5A7E48254}" name="Phosphorus export coefficient" dataDxfId="16"/>
    <tableColumn id="9" xr3:uid="{96CC571C-13E4-474B-8016-76B1B26E6BAE}" name="Farm Lookup" dataDxfId="15"/>
    <tableColumn id="10" xr3:uid="{511A3753-F9BA-45C6-B34A-6CC17D10251D}" name="Column1" dataDxfId="14"/>
    <tableColumn id="11" xr3:uid="{A4A4CA5F-B40A-4D96-B1F7-2F58E7D4D811}" name="Mean P export of farm type and climate combination" dataDxfId="13"/>
    <tableColumn id="12" xr3:uid="{6A6F3AA5-4A40-440E-9BBC-E26F5AF39750}" name="Column2" dataDxfId="12"/>
    <tableColumn id="13" xr3:uid="{EF05C3C7-DB49-4B8E-8C81-E6CFAC3E3633}" name="Mean P export of farm type" dataDxfId="11"/>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297F6D2-7293-4422-8A67-AEAD142206BE}" name="Table14" displayName="Table14" ref="A4:D18" totalsRowShown="0" headerRowDxfId="10" dataDxfId="8" headerRowBorderDxfId="9" tableBorderDxfId="7" totalsRowBorderDxfId="6">
  <autoFilter ref="A4:D18" xr:uid="{8297F6D2-7293-4422-8A67-AEAD142206BE}">
    <filterColumn colId="0" hiddenButton="1"/>
    <filterColumn colId="1" hiddenButton="1"/>
    <filterColumn colId="2" hiddenButton="1"/>
    <filterColumn colId="3" hiddenButton="1"/>
  </autoFilter>
  <tableColumns count="4">
    <tableColumn id="1" xr3:uid="{48A0BD24-7BCD-463A-B827-831E2B2C2D72}" name="Discharge Site Name" dataDxfId="5"/>
    <tableColumn id="2" xr3:uid="{1CC474C8-63E1-4F68-A098-5E908E40DA49}" name="Phosphorus, Total as P (mg/l)" dataDxfId="4"/>
    <tableColumn id="3" xr3:uid="{2E3488FB-E48E-4A15-AFE7-EF2D95C19F27}" name="Phosphorus, Total as P (mg/l), permit post 2025" dataDxfId="3"/>
    <tableColumn id="4" xr3:uid="{94BDE985-E688-430A-9815-4EDF1FE7157B}" name="Phosphorus, Total as P (mg/l), permit post 2030" dataDxfId="2"/>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C8D863E-6618-40D4-A9A4-3D363C216863}" name="Table_2_Links4" displayName="Table_2_Links4" ref="A42:A46" totalsRowShown="0" headerRowDxfId="98" dataDxfId="96" headerRowBorderDxfId="97" tableBorderDxfId="95" totalsRowBorderDxfId="94">
  <autoFilter ref="A42:A46" xr:uid="{64981484-4795-461F-A3C7-626CD012A06C}">
    <filterColumn colId="0" hiddenButton="1"/>
  </autoFilter>
  <tableColumns count="1">
    <tableColumn id="1" xr3:uid="{F955E827-6C2D-4DAA-893A-D0A3AA8CBF38}" name="Description of the information:" dataDxfId="93"/>
  </tableColumns>
  <tableStyleInfo name="Table Style 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1B5B190-0D99-4438-A727-7A56D64D1229}" name="Table_3_Water_Infrastructure" displayName="Table_3_Water_Infrastructure" ref="A4:C12" totalsRowShown="0" headerRowDxfId="116" dataDxfId="114" headerRowBorderDxfId="115" tableBorderDxfId="113" totalsRowBorderDxfId="112">
  <autoFilter ref="A4:C12" xr:uid="{A1B5B190-0D99-4438-A727-7A56D64D1229}">
    <filterColumn colId="0" hiddenButton="1"/>
    <filterColumn colId="1" hiddenButton="1"/>
    <filterColumn colId="2" hiddenButton="1"/>
  </autoFilter>
  <tableColumns count="3">
    <tableColumn id="1" xr3:uid="{CB73BF63-0885-411C-A54D-2DF95FDFC003}" name="Description of required information" dataDxfId="111"/>
    <tableColumn id="2" xr3:uid="{D22CDBE7-9B75-4248-A951-0D061DAA9F1C}" name="Data entry column - user inputs required" dataDxfId="110"/>
    <tableColumn id="4" xr3:uid="{20424A8D-23FA-4C1D-B394-6A4A0726E8D6}" name="Additional data entry column - user inputs may be required" dataDxfId="109"/>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0C45A2-2A77-478E-B226-DC5B3B2EA72E}" name="Table_4_Wastewater_Load" displayName="Table_4_Wastewater_Load" ref="A14:B22" totalsRowShown="0" headerRowDxfId="108" dataDxfId="106" headerRowBorderDxfId="107" tableBorderDxfId="105">
  <autoFilter ref="A14:B22" xr:uid="{B50C45A2-2A77-478E-B226-DC5B3B2EA72E}">
    <filterColumn colId="0" hiddenButton="1"/>
    <filterColumn colId="1" hiddenButton="1"/>
  </autoFilter>
  <tableColumns count="2">
    <tableColumn id="1" xr3:uid="{FA8C78F6-50A3-498F-8975-6D1EC817B86B}" name="Description of values generated" dataDxfId="104"/>
    <tableColumn id="2" xr3:uid="{150A0AA5-FDF2-4BA1-A9A8-36A566F3E6CC}" name="Values generated" dataDxfId="103"/>
  </tableColumns>
  <tableStyleInfo name="Table Style 1"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51AE02F-7B0C-4640-BEBD-8FD46432F29C}" name="Table_5_Site_Information" displayName="Table_5_Site_Information" ref="A4:B8" totalsRowShown="0" headerRowDxfId="92" dataDxfId="90" headerRowBorderDxfId="91" tableBorderDxfId="89" totalsRowBorderDxfId="88">
  <autoFilter ref="A4:B8" xr:uid="{E51AE02F-7B0C-4640-BEBD-8FD46432F29C}">
    <filterColumn colId="0" hiddenButton="1"/>
    <filterColumn colId="1" hiddenButton="1"/>
  </autoFilter>
  <tableColumns count="2">
    <tableColumn id="1" xr3:uid="{C513A266-837A-4378-8552-D156135B549F}" name="Description of required information" dataDxfId="87"/>
    <tableColumn id="2" xr3:uid="{9FEADC6D-D9F7-40A8-AB95-390DAB627A00}" name="Data entry column - user inputs required" dataDxfId="86"/>
  </tableColumns>
  <tableStyleInfo name="Table Style 1"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F2DD0FD-3B2D-41B9-B376-162F1F698B17}" name="Table_6_Current_Land_Uses" displayName="Table_6_Current_Land_Uses" ref="A10:D28" totalsRowShown="0" headerRowDxfId="85" dataDxfId="83" headerRowBorderDxfId="84" tableBorderDxfId="82" totalsRowBorderDxfId="81">
  <autoFilter ref="A10:D28" xr:uid="{2F2DD0FD-3B2D-41B9-B376-162F1F698B17}">
    <filterColumn colId="0" hiddenButton="1"/>
    <filterColumn colId="1" hiddenButton="1"/>
    <filterColumn colId="2" hiddenButton="1"/>
    <filterColumn colId="3" hiddenButton="1"/>
  </autoFilter>
  <tableColumns count="4">
    <tableColumn id="1" xr3:uid="{2FA17B9E-8276-4D3C-A7AA-EA01ABD0CACA}" name="Existing land use type(s) - user inputs required" dataDxfId="80"/>
    <tableColumn id="2" xr3:uid="{DA6AF240-7DDF-40CC-B3C9-0A6C10900A68}" name="Area (ha) - user inputs required" dataDxfId="79"/>
    <tableColumn id="4" xr3:uid="{D46D9DE3-2913-45A9-81EF-5C0B16A60B70}" name="Annual phosphorus export  _x000a_(kg TP/yr)" dataDxfId="78"/>
    <tableColumn id="5" xr3:uid="{B35F3CE8-F7D9-4526-B8D6-064B09EE0E77}" name="Notes on data" dataDxfId="77"/>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57B598-0CAB-42EF-BD1C-CD9464EFF558}" name="Table_7_Future_Land_Uses" displayName="Table_7_Future_Land_Uses" ref="A4:C22" totalsRowShown="0" headerRowDxfId="76" dataDxfId="75">
  <autoFilter ref="A4:C22" xr:uid="{4057B598-0CAB-42EF-BD1C-CD9464EFF558}">
    <filterColumn colId="0" hiddenButton="1"/>
    <filterColumn colId="1" hiddenButton="1"/>
    <filterColumn colId="2" hiddenButton="1"/>
  </autoFilter>
  <tableColumns count="3">
    <tableColumn id="1" xr3:uid="{E733CC69-D292-417A-89E1-BDB32D6E70AE}" name="New land use type(s) - user inputs required" dataDxfId="74"/>
    <tableColumn id="2" xr3:uid="{2BF0443C-5885-452F-9860-409F1647E1C1}" name="Area (ha) - user inputs required" dataDxfId="73"/>
    <tableColumn id="4" xr3:uid="{D4EA72A6-0C9C-4A1E-8AAC-10EB38F195A8}" name="Annual phosphorus export_x000a_(kg TP/yr)" dataDxfId="72"/>
  </tableColumns>
  <tableStyleInfo name="TableStyleLight15"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03EF94-15E0-4810-ABD6-B7368F184575}" name="Table_8_SuDS_Features" displayName="Table_8_SuDS_Features" ref="A4:H30" totalsRowShown="0" headerRowDxfId="71" dataDxfId="70">
  <autoFilter ref="A4:H30" xr:uid="{9103EF94-15E0-4810-ABD6-B7368F18457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EDF9EA9-1FAE-44BF-9739-66E3DB42A5C2}" name="New land use type(s) within SuDS catchment area - user inputs required" dataDxfId="69"/>
    <tableColumn id="2" xr3:uid="{72D29FD7-7898-4191-A97D-55B2AC2A6039}" name="SuDS catchment area (ha) - user inputs required" dataDxfId="68"/>
    <tableColumn id="10" xr3:uid="{C118AB6C-A0C7-46A0-B4D4-823E8172F281}" name="Percentage of flow entering the SuDS (%) - user inputs required" dataDxfId="67"/>
    <tableColumn id="4" xr3:uid="{C9DF269B-9235-47CA-9628-CA0EAEA7E887}" name="Annual phosphorus inputs to SuDS feature(s)_x000a_(kg T/yr)" dataDxfId="66">
      <calculatedColumnFormula>IFERROR(IF(ISBLANK(A5),"",IF(ISBLANK(B5),"",VLOOKUP(A5,Nutrients_from_future_land_use!$A$5:$C$21,4,FALSE)*(B5/VLOOKUP(A5,Nutrients_from_future_land_use!$A$5:$C$21,2,FALSE)))),"")</calculatedColumnFormula>
    </tableColumn>
    <tableColumn id="5" xr3:uid="{95439CAD-05D0-4028-94D4-451B848D06FE}" name="Name of SuDS feature(s) - user inputs required" dataDxfId="65"/>
    <tableColumn id="8" xr3:uid="{6CE040BE-33E5-44DA-B389-E1BC789E21E5}" name="TP removal rate for features - user specified (%) - user inputs required" dataDxfId="64">
      <calculatedColumnFormula>IF(OR(#REF!="No",ISBLANK(#REF!)),"",IF(#REF!="Yes","","TN removal rate - user specified (%)"))</calculatedColumnFormula>
    </tableColumn>
    <tableColumn id="14" xr3:uid="{1156F97A-C06E-4041-A8E9-274F94CC02BE}" name="Annual phosphorus load removed by SuDS_x000a_(kg TP/yr)" dataDxfId="63"/>
    <tableColumn id="6" xr3:uid="{E06A970A-6835-4E49-9119-FEAF7BC8D4A0}" name="Notes on data" dataDxfId="62">
      <calculatedColumnFormula>IF(SUMIFS($B$5:$B$29,$A$5:$A$29,A5)&gt;SUMIFS(Nutrients_from_future_land_use!$B$5:$B$21,Nutrients_from_future_land_use!$A$5:$A$21,A5),"Area of new land covers within SuDS catchment area exceeds the area of new land covers proposed","")</calculatedColumnFormula>
    </tableColumn>
  </tableColumns>
  <tableStyleInfo name="TableStyleLight15"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0BD0106-977A-4B15-9C53-C66CDF6772BD}" name="Table_9_Final_Nutrient_Budgets" displayName="Table_9_Final_Nutrient_Budgets" ref="A4:B14" totalsRowShown="0" headerRowDxfId="61" dataDxfId="59" headerRowBorderDxfId="60" tableBorderDxfId="58" totalsRowBorderDxfId="57">
  <autoFilter ref="A4:B14" xr:uid="{A0BD0106-977A-4B15-9C53-C66CDF6772BD}">
    <filterColumn colId="0" hiddenButton="1"/>
    <filterColumn colId="1" hiddenButton="1"/>
  </autoFilter>
  <tableColumns count="2">
    <tableColumn id="1" xr3:uid="{31004191-352C-44A7-A242-30E88F4CD5ED}" name="Description of values generated" dataDxfId="56"/>
    <tableColumn id="2" xr3:uid="{C357CE45-1FD7-4EF9-804B-579D3A1CC1A7}" name="Values generated" dataDxfId="55"/>
  </tableColumns>
  <tableStyleInfo name="Table Style 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uidance/using-the-nutrient-neutrality-calculators" TargetMode="External"/><Relationship Id="rId3" Type="http://schemas.openxmlformats.org/officeDocument/2006/relationships/hyperlink" Target="https://www.landis.org.uk/soilscapes/" TargetMode="External"/><Relationship Id="rId7" Type="http://schemas.openxmlformats.org/officeDocument/2006/relationships/hyperlink" Target="https://www.gov.uk/guidance/using-the-nutrient-neutrality-calculators" TargetMode="External"/><Relationship Id="rId2" Type="http://schemas.openxmlformats.org/officeDocument/2006/relationships/hyperlink" Target="http://environment.data.gov.uk/catchment-planning/" TargetMode="External"/><Relationship Id="rId1" Type="http://schemas.openxmlformats.org/officeDocument/2006/relationships/hyperlink" Target="https://www.gov.uk/guidance/habitats-regulations-assessments-protecting-a-european-site" TargetMode="External"/><Relationship Id="rId6" Type="http://schemas.openxmlformats.org/officeDocument/2006/relationships/hyperlink" Target="https://www.gov.uk/guidance/using-the-nutrient-neutrality-calculators" TargetMode="External"/><Relationship Id="rId11" Type="http://schemas.openxmlformats.org/officeDocument/2006/relationships/table" Target="../tables/table2.xml"/><Relationship Id="rId5" Type="http://schemas.openxmlformats.org/officeDocument/2006/relationships/hyperlink" Target="https://www.gov.uk/guidance/using-the-nutrient-neutrality-calculators" TargetMode="External"/><Relationship Id="rId10" Type="http://schemas.openxmlformats.org/officeDocument/2006/relationships/table" Target="../tables/table1.xml"/><Relationship Id="rId4" Type="http://schemas.openxmlformats.org/officeDocument/2006/relationships/hyperlink" Target="https://nrfa.ceh.ac.uk/data/station/spatial/49001"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table" Target="../tables/table10.xml"/><Relationship Id="rId1" Type="http://schemas.openxmlformats.org/officeDocument/2006/relationships/printerSettings" Target="../printerSettings/printerSettings7.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AE767-893D-46CA-8A06-FB4FB07BCC84}">
  <dimension ref="A1:B68"/>
  <sheetViews>
    <sheetView tabSelected="1" zoomScaleNormal="100" workbookViewId="0"/>
  </sheetViews>
  <sheetFormatPr defaultColWidth="8.81640625" defaultRowHeight="15.5" x14ac:dyDescent="0.35"/>
  <cols>
    <col min="1" max="1" width="124.26953125" style="6" customWidth="1"/>
    <col min="2" max="2" width="44.81640625" style="6" customWidth="1"/>
    <col min="3" max="207" width="8.54296875" style="6" customWidth="1"/>
    <col min="208" max="16384" width="8.81640625" style="6"/>
  </cols>
  <sheetData>
    <row r="1" spans="1:2" ht="50.5" customHeight="1" x14ac:dyDescent="0.35">
      <c r="A1" s="5" t="s">
        <v>0</v>
      </c>
    </row>
    <row r="2" spans="1:2" ht="23.5" customHeight="1" x14ac:dyDescent="0.35">
      <c r="A2" s="112" t="s">
        <v>1</v>
      </c>
    </row>
    <row r="3" spans="1:2" ht="24" customHeight="1" x14ac:dyDescent="0.35">
      <c r="A3" s="7" t="s">
        <v>2</v>
      </c>
    </row>
    <row r="4" spans="1:2" ht="23.15" customHeight="1" x14ac:dyDescent="0.35">
      <c r="A4" s="7" t="s">
        <v>3</v>
      </c>
    </row>
    <row r="5" spans="1:2" ht="26.25" customHeight="1" x14ac:dyDescent="0.35">
      <c r="A5" s="7" t="s">
        <v>4</v>
      </c>
    </row>
    <row r="6" spans="1:2" ht="26.25" customHeight="1" x14ac:dyDescent="0.35">
      <c r="A6" s="7" t="s">
        <v>5</v>
      </c>
    </row>
    <row r="7" spans="1:2" ht="39.65" customHeight="1" x14ac:dyDescent="0.35">
      <c r="A7" s="7" t="s">
        <v>6</v>
      </c>
    </row>
    <row r="8" spans="1:2" ht="40.5" customHeight="1" x14ac:dyDescent="0.35">
      <c r="A8" s="7" t="s">
        <v>7</v>
      </c>
    </row>
    <row r="9" spans="1:2" ht="37.5" customHeight="1" x14ac:dyDescent="0.35">
      <c r="A9" s="8" t="s">
        <v>8</v>
      </c>
    </row>
    <row r="10" spans="1:2" ht="37.5" customHeight="1" x14ac:dyDescent="0.35">
      <c r="A10" s="9" t="s">
        <v>9</v>
      </c>
      <c r="B10" s="10" t="s">
        <v>10</v>
      </c>
    </row>
    <row r="11" spans="1:2" ht="20.149999999999999" customHeight="1" x14ac:dyDescent="0.35">
      <c r="A11" s="7" t="s">
        <v>11</v>
      </c>
      <c r="B11" s="11" t="s">
        <v>12</v>
      </c>
    </row>
    <row r="12" spans="1:2" ht="20.149999999999999" customHeight="1" x14ac:dyDescent="0.35">
      <c r="A12" s="7" t="s">
        <v>13</v>
      </c>
      <c r="B12" s="11" t="s">
        <v>14</v>
      </c>
    </row>
    <row r="13" spans="1:2" ht="20.149999999999999" customHeight="1" x14ac:dyDescent="0.35">
      <c r="A13" s="7" t="s">
        <v>15</v>
      </c>
      <c r="B13" s="11" t="s">
        <v>16</v>
      </c>
    </row>
    <row r="14" spans="1:2" ht="20.149999999999999" customHeight="1" x14ac:dyDescent="0.35">
      <c r="A14" s="7" t="s">
        <v>17</v>
      </c>
      <c r="B14" s="11" t="s">
        <v>18</v>
      </c>
    </row>
    <row r="15" spans="1:2" ht="20.149999999999999" customHeight="1" x14ac:dyDescent="0.35">
      <c r="A15" s="7" t="s">
        <v>19</v>
      </c>
      <c r="B15" s="11" t="s">
        <v>20</v>
      </c>
    </row>
    <row r="16" spans="1:2" ht="37.5" customHeight="1" x14ac:dyDescent="0.35">
      <c r="A16" s="8" t="s">
        <v>21</v>
      </c>
      <c r="B16" s="12"/>
    </row>
    <row r="17" spans="1:2" ht="20.25" customHeight="1" x14ac:dyDescent="0.35">
      <c r="A17" s="7" t="s">
        <v>22</v>
      </c>
      <c r="B17" s="12"/>
    </row>
    <row r="18" spans="1:2" ht="36.75" customHeight="1" x14ac:dyDescent="0.35">
      <c r="A18" s="7" t="s">
        <v>23</v>
      </c>
      <c r="B18" s="12"/>
    </row>
    <row r="19" spans="1:2" ht="36.75" customHeight="1" x14ac:dyDescent="0.35">
      <c r="A19" s="7" t="s">
        <v>24</v>
      </c>
      <c r="B19" s="12"/>
    </row>
    <row r="20" spans="1:2" ht="67.5" customHeight="1" x14ac:dyDescent="0.35">
      <c r="A20" s="7" t="s">
        <v>25</v>
      </c>
    </row>
    <row r="21" spans="1:2" ht="33" customHeight="1" x14ac:dyDescent="0.35">
      <c r="A21" s="7" t="s">
        <v>26</v>
      </c>
    </row>
    <row r="22" spans="1:2" ht="25.5" customHeight="1" x14ac:dyDescent="0.35">
      <c r="A22" s="11" t="s">
        <v>27</v>
      </c>
    </row>
    <row r="23" spans="1:2" ht="22.5" customHeight="1" x14ac:dyDescent="0.35">
      <c r="A23" s="7" t="s">
        <v>28</v>
      </c>
    </row>
    <row r="24" spans="1:2" ht="31" x14ac:dyDescent="0.35">
      <c r="A24" s="7" t="s">
        <v>29</v>
      </c>
    </row>
    <row r="25" spans="1:2" ht="37.5" customHeight="1" x14ac:dyDescent="0.35">
      <c r="A25" s="7" t="s">
        <v>30</v>
      </c>
    </row>
    <row r="26" spans="1:2" ht="54" customHeight="1" x14ac:dyDescent="0.35">
      <c r="A26" s="113" t="s">
        <v>31</v>
      </c>
    </row>
    <row r="27" spans="1:2" ht="38.5" customHeight="1" x14ac:dyDescent="0.35">
      <c r="A27" s="7" t="s">
        <v>32</v>
      </c>
    </row>
    <row r="28" spans="1:2" ht="37.5" customHeight="1" x14ac:dyDescent="0.35">
      <c r="A28" s="8" t="s">
        <v>33</v>
      </c>
    </row>
    <row r="29" spans="1:2" ht="22.5" customHeight="1" x14ac:dyDescent="0.35">
      <c r="A29" s="7" t="s">
        <v>34</v>
      </c>
    </row>
    <row r="30" spans="1:2" ht="50.25" customHeight="1" x14ac:dyDescent="0.35">
      <c r="A30" s="7" t="s">
        <v>35</v>
      </c>
    </row>
    <row r="31" spans="1:2" ht="51.75" customHeight="1" x14ac:dyDescent="0.35">
      <c r="A31" s="7" t="s">
        <v>36</v>
      </c>
    </row>
    <row r="32" spans="1:2" ht="161.5" customHeight="1" x14ac:dyDescent="0.35">
      <c r="A32" s="7" t="s">
        <v>37</v>
      </c>
    </row>
    <row r="33" spans="1:2" ht="53.15" customHeight="1" x14ac:dyDescent="0.35">
      <c r="A33" s="7" t="s">
        <v>38</v>
      </c>
    </row>
    <row r="34" spans="1:2" ht="43.5" customHeight="1" x14ac:dyDescent="0.35">
      <c r="A34" s="7" t="s">
        <v>39</v>
      </c>
    </row>
    <row r="35" spans="1:2" ht="40" customHeight="1" x14ac:dyDescent="0.35">
      <c r="A35" s="7" t="s">
        <v>40</v>
      </c>
    </row>
    <row r="36" spans="1:2" ht="156.65" customHeight="1" x14ac:dyDescent="0.35">
      <c r="A36" s="7" t="s">
        <v>41</v>
      </c>
    </row>
    <row r="37" spans="1:2" ht="37.5" customHeight="1" x14ac:dyDescent="0.35">
      <c r="A37" s="8" t="s">
        <v>42</v>
      </c>
    </row>
    <row r="38" spans="1:2" ht="79.5" customHeight="1" x14ac:dyDescent="0.35">
      <c r="A38" s="7" t="s">
        <v>43</v>
      </c>
    </row>
    <row r="39" spans="1:2" ht="72" customHeight="1" x14ac:dyDescent="0.35">
      <c r="A39" s="11" t="s">
        <v>44</v>
      </c>
    </row>
    <row r="40" spans="1:2" ht="29.15" customHeight="1" x14ac:dyDescent="0.35">
      <c r="A40" s="11" t="s">
        <v>45</v>
      </c>
    </row>
    <row r="41" spans="1:2" ht="37" customHeight="1" x14ac:dyDescent="0.35">
      <c r="A41" s="8" t="s">
        <v>46</v>
      </c>
    </row>
    <row r="42" spans="1:2" ht="37.5" customHeight="1" x14ac:dyDescent="0.35">
      <c r="A42" s="9" t="s">
        <v>47</v>
      </c>
      <c r="B42" s="13"/>
    </row>
    <row r="43" spans="1:2" ht="41.5" customHeight="1" x14ac:dyDescent="0.35">
      <c r="A43" s="113" t="s">
        <v>48</v>
      </c>
      <c r="B43" s="14"/>
    </row>
    <row r="44" spans="1:2" ht="27" customHeight="1" x14ac:dyDescent="0.35">
      <c r="A44" s="113" t="s">
        <v>49</v>
      </c>
      <c r="B44" s="14"/>
    </row>
    <row r="45" spans="1:2" ht="42.65" customHeight="1" x14ac:dyDescent="0.35">
      <c r="A45" s="132" t="s">
        <v>50</v>
      </c>
      <c r="B45" s="14"/>
    </row>
    <row r="46" spans="1:2" ht="41.5" customHeight="1" x14ac:dyDescent="0.35">
      <c r="A46" s="114" t="s">
        <v>51</v>
      </c>
      <c r="B46" s="14"/>
    </row>
    <row r="47" spans="1:2" ht="37" customHeight="1" x14ac:dyDescent="0.35">
      <c r="A47" s="8" t="s">
        <v>52</v>
      </c>
    </row>
    <row r="48" spans="1:2" ht="56.5" customHeight="1" x14ac:dyDescent="0.35">
      <c r="A48" s="7" t="s">
        <v>53</v>
      </c>
    </row>
    <row r="49" spans="1:1" ht="208" customHeight="1" x14ac:dyDescent="0.35">
      <c r="A49" s="7" t="s">
        <v>54</v>
      </c>
    </row>
    <row r="50" spans="1:1" ht="29.15" customHeight="1" x14ac:dyDescent="0.35">
      <c r="A50" s="16" t="s">
        <v>55</v>
      </c>
    </row>
    <row r="51" spans="1:1" ht="35.5" customHeight="1" x14ac:dyDescent="0.35">
      <c r="A51" s="8" t="s">
        <v>56</v>
      </c>
    </row>
    <row r="52" spans="1:1" ht="36.75" customHeight="1" x14ac:dyDescent="0.35">
      <c r="A52" s="7" t="s">
        <v>57</v>
      </c>
    </row>
    <row r="53" spans="1:1" ht="226" customHeight="1" x14ac:dyDescent="0.35">
      <c r="A53" s="7" t="s">
        <v>58</v>
      </c>
    </row>
    <row r="54" spans="1:1" ht="37.5" customHeight="1" x14ac:dyDescent="0.35">
      <c r="A54" s="8" t="s">
        <v>59</v>
      </c>
    </row>
    <row r="55" spans="1:1" ht="25.5" customHeight="1" x14ac:dyDescent="0.35">
      <c r="A55" s="7" t="s">
        <v>60</v>
      </c>
    </row>
    <row r="56" spans="1:1" ht="23.25" customHeight="1" x14ac:dyDescent="0.35">
      <c r="A56" s="7" t="s">
        <v>61</v>
      </c>
    </row>
    <row r="57" spans="1:1" ht="39" customHeight="1" x14ac:dyDescent="0.35">
      <c r="A57" s="7" t="s">
        <v>62</v>
      </c>
    </row>
    <row r="68" spans="1:1" x14ac:dyDescent="0.35">
      <c r="A68" s="15"/>
    </row>
  </sheetData>
  <sheetProtection algorithmName="SHA-512" hashValue="1QVwIGPlNogkEHdM6x/8+NNxpSxeEevigKkrAQZ9lmWp2aCmJxXRHD5VYz/BvjofFR5HxV24rvG3uS+t3+F51A==" saltValue="9Hw02xNvBr+GhMwme/8yVA==" spinCount="100000" sheet="1" objects="1" scenarios="1"/>
  <hyperlinks>
    <hyperlink ref="A26" r:id="rId1" display="https://www.gov.uk/guidance/habitats-regulations-assessments-protecting-a-european-site" xr:uid="{1EDC1A81-6777-4078-B45C-EC00F0C49AAC}"/>
    <hyperlink ref="A43" r:id="rId2" display="http://environment.data.gov.uk/catchment-planning/" xr:uid="{FD509D32-EA85-4C81-A30C-92057811C001}"/>
    <hyperlink ref="A44" r:id="rId3" location="." display="https://www.landis.org.uk/soilscapes/ - ." xr:uid="{C975D16F-04E6-413B-9B0E-9A048A53AC3E}"/>
    <hyperlink ref="A45" r:id="rId4" xr:uid="{924BEF43-F6DE-4D1C-92CD-E51413280336}"/>
    <hyperlink ref="A22" r:id="rId5" xr:uid="{389423FF-7AF3-4C87-A6A1-9253674EC26E}"/>
    <hyperlink ref="A40" r:id="rId6" xr:uid="{5F9A32EC-3423-491E-A26C-F5C100A13B41}"/>
    <hyperlink ref="A39" r:id="rId7" display="The dropdown list of landcover types contains up to 8 agricultural landcover types and 8 different non-agricultural landcover types. The full list of landcovers can be found in the calculator guidance (link incoming) or in the dropdown list. Find out what landcover types are within the development before completing this table. If there is a landcover within the development area that is not in the list select the most similar landcover type." xr:uid="{F0FAFB80-F2AA-4001-B702-B9DF4C394334}"/>
    <hyperlink ref="B11" location="Nutrients_from_wastewater!A1" display="Nutrients from wastewater" xr:uid="{D622137D-55C7-4CDC-823F-703D113AC081}"/>
    <hyperlink ref="B12" location="Nutrients_from_current_land_use!A1" display="Nutrients from current land use" xr:uid="{BB96EDDA-4FA6-4C05-A690-292281B8659B}"/>
    <hyperlink ref="B13" location="Nutrients_from_future_land_use!A1" display="Nutrients from future land use" xr:uid="{EB541BED-4586-4E63-8DA4-DAF2CEE064A2}"/>
    <hyperlink ref="B14" location="SuDS!A1" display="SuDS" xr:uid="{C650A168-18AC-4D60-BC58-E554C225A454}"/>
    <hyperlink ref="B15" location="Final_nutrient_budgets!A1" display="Final_nutrient_budgets" xr:uid="{25A718A9-C802-4C1C-A642-C59A2853E56B}"/>
    <hyperlink ref="A50" r:id="rId8" xr:uid="{C23FA76E-3ADE-40CE-8CF5-F50BB3BE414C}"/>
  </hyperlinks>
  <pageMargins left="0.7" right="0.7" top="0.75" bottom="0.75" header="0.3" footer="0.3"/>
  <pageSetup paperSize="9" orientation="portrait" r:id="rId9"/>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79791-A2B2-4FDF-A938-890D430B0AEC}">
  <dimension ref="A1:E22"/>
  <sheetViews>
    <sheetView zoomScale="70" zoomScaleNormal="70" workbookViewId="0">
      <selection activeCell="B9" sqref="B9"/>
    </sheetView>
  </sheetViews>
  <sheetFormatPr defaultColWidth="8.81640625" defaultRowHeight="14.5" x14ac:dyDescent="0.35"/>
  <cols>
    <col min="1" max="1" width="120.81640625" style="17" customWidth="1"/>
    <col min="2" max="2" width="33.54296875" style="17" customWidth="1"/>
    <col min="3" max="3" width="26.1796875" style="17" customWidth="1"/>
    <col min="4" max="6" width="30.54296875" style="17" customWidth="1"/>
    <col min="7" max="360" width="8.54296875" style="17" customWidth="1"/>
    <col min="361" max="16384" width="8.81640625" style="17"/>
  </cols>
  <sheetData>
    <row r="1" spans="1:5" ht="50.25" customHeight="1" x14ac:dyDescent="0.35">
      <c r="A1" s="5" t="s">
        <v>12</v>
      </c>
    </row>
    <row r="2" spans="1:5" ht="409.5" customHeight="1" x14ac:dyDescent="0.35">
      <c r="A2" s="124" t="s">
        <v>63</v>
      </c>
    </row>
    <row r="3" spans="1:5" ht="51.65" customHeight="1" x14ac:dyDescent="0.35">
      <c r="A3" s="8" t="s">
        <v>64</v>
      </c>
      <c r="B3" s="15"/>
      <c r="C3" s="6"/>
    </row>
    <row r="4" spans="1:5" ht="46.5" x14ac:dyDescent="0.35">
      <c r="A4" s="1" t="s">
        <v>65</v>
      </c>
      <c r="B4" s="2" t="s">
        <v>66</v>
      </c>
      <c r="C4" s="2" t="s">
        <v>67</v>
      </c>
    </row>
    <row r="5" spans="1:5" ht="24.65" customHeight="1" x14ac:dyDescent="0.35">
      <c r="A5" s="18" t="s">
        <v>68</v>
      </c>
      <c r="B5" s="29"/>
      <c r="C5" s="19"/>
    </row>
    <row r="6" spans="1:5" ht="24.65" customHeight="1" x14ac:dyDescent="0.35">
      <c r="A6" s="18" t="s">
        <v>69</v>
      </c>
      <c r="B6" s="30">
        <v>2.4</v>
      </c>
      <c r="C6" s="19"/>
    </row>
    <row r="7" spans="1:5" ht="24.65" customHeight="1" x14ac:dyDescent="0.35">
      <c r="A7" s="18" t="s">
        <v>70</v>
      </c>
      <c r="B7" s="31">
        <v>120</v>
      </c>
      <c r="C7" s="19"/>
    </row>
    <row r="8" spans="1:5" ht="24.65" customHeight="1" x14ac:dyDescent="0.35">
      <c r="A8" s="18" t="s">
        <v>71</v>
      </c>
      <c r="B8" s="31"/>
      <c r="C8" s="19"/>
    </row>
    <row r="9" spans="1:5" ht="39.65" customHeight="1" x14ac:dyDescent="0.35">
      <c r="A9" s="18" t="s">
        <v>72</v>
      </c>
      <c r="B9" s="31" t="s">
        <v>128</v>
      </c>
      <c r="C9" s="19"/>
    </row>
    <row r="10" spans="1:5" ht="24.65" customHeight="1" x14ac:dyDescent="0.35">
      <c r="A10" s="18" t="s">
        <v>73</v>
      </c>
      <c r="B10" s="117">
        <f>IFERROR(IF(OR(B9="Package Treatment Plant user defined",B9="Septic Tank user defined"),"Enter value in cell C10",IF(AND(B5&lt;DATE(2025,1,1)),VLOOKUP(B9,Value_look_up_tables!$A$5:$J$18,2,FALSE),IF(AND(B5&lt;DATE(2025,1,1)),VLOOKUP(B9,Value_look_up_tables!$A$5:$J$18,2,FALSE),IF(AND(B5&lt;DATE(2030,4,1),B5&gt;=DATE(2025,1,1)),VLOOKUP(B9,Value_look_up_tables!$A$5:$J$18,3,FALSE),IF(AND(B5&lt;DATE(2030,4,1),B5&gt;=DATE(2025,1,1)),IF(AND(B5&lt;DATE(2030,4,1)),VLOOKUP(B9,Value_look_up_tables!$A$5:$J$18,2,FALSE),IF(AND(B5&lt;DATE(2030,4,1)),VLOOKUP(B9,Value_look_up_tables!$A$5:$J$18,3,FALSE),IF(AND(B5&gt;=DATE(2030,4,1)),VLOOKUP(B9,Value_look_up_tables!$A$5:$J$18,4,FALSE),IF(AND(B5&gt;=DATE(2030,4,1)),VLOOKUP(B9,Value_look_up_tables!$A$5:$J$18,4,FALSE),0)))),VLOOKUP(B9,Value_look_up_tables!$A$5:$J$18,4,FALSE)))))),0)</f>
        <v>0</v>
      </c>
      <c r="C10" s="131"/>
    </row>
    <row r="11" spans="1:5" ht="24.65" customHeight="1" x14ac:dyDescent="0.35">
      <c r="A11" s="18" t="str">
        <f>IFERROR(IF(AND($B$5&lt;DATE(2025,1,1),(VLOOKUP($B$9,Value_look_up_tables!$A$5:$E$16,2,FALSE))&gt;(VLOOKUP($B$9,Value_look_up_tables!$A$5:$E$16,3,FALSE))), "Post 2025 WwTW P permit (mg TP/litre):","Not applicable"),"Not applicable")</f>
        <v>Not applicable</v>
      </c>
      <c r="B11" s="20" t="str">
        <f>IFERROR(IF(AND($B$5&lt;DATE(2025,1,1),(VLOOKUP($B$9,Value_look_up_tables!$A$5:$J$16,2,FALSE))&gt;(VLOOKUP($B$9,Value_look_up_tables!$A$5:$J$16,3,FALSE))),VLOOKUP(B9,Value_look_up_tables!$A$5:$J$19,3,FALSE),"Not applicable"),"Not applicable")</f>
        <v>Not applicable</v>
      </c>
      <c r="C11" s="19"/>
    </row>
    <row r="12" spans="1:5" ht="24.65" customHeight="1" x14ac:dyDescent="0.35">
      <c r="A12" s="21" t="str">
        <f>IFERROR(IF(AND($B$5&lt;DATE(2030,4,1),(VLOOKUP($B$9,Value_look_up_tables!$A$5:$J$16,3,FALSE))&gt;(VLOOKUP($B$9,Value_look_up_tables!$A$5:$J$16,4,FALSE))), "Post 2030 WwTW P permit (mg TP/litre):","Not applicable"),"Not applicable")</f>
        <v>Not applicable</v>
      </c>
      <c r="B12" s="22" t="str">
        <f>IFERROR(IF(AND($B$5&lt;DATE(2030,4,1),(VLOOKUP($B$9,Value_look_up_tables!$A$5:$J$16,3,FALSE))&gt;(VLOOKUP($B$9,Value_look_up_tables!$A$5:$J$16,4,FALSE))), VLOOKUP(B9,Value_look_up_tables!$A$5:$J$19,4,FALSE),"Not applicable"),"Not applicable")</f>
        <v>Not applicable</v>
      </c>
      <c r="C12" s="23"/>
      <c r="E12" s="17" t="s">
        <v>74</v>
      </c>
    </row>
    <row r="13" spans="1:5" ht="37.5" customHeight="1" x14ac:dyDescent="0.35">
      <c r="A13" s="8" t="s">
        <v>75</v>
      </c>
      <c r="B13" s="6"/>
    </row>
    <row r="14" spans="1:5" ht="21" customHeight="1" x14ac:dyDescent="0.35">
      <c r="A14" s="32" t="s">
        <v>76</v>
      </c>
      <c r="B14" s="2" t="s">
        <v>77</v>
      </c>
      <c r="C14" s="24"/>
    </row>
    <row r="15" spans="1:5" ht="28.5" customHeight="1" x14ac:dyDescent="0.35">
      <c r="A15" s="33" t="str">
        <f>IFERROR(IF(AND($B$5&lt;DATE(2030,4,1),OR((VLOOKUP($B$9,Value_look_up_tables!$A$5:$J$16,3,FALSE))&gt;(VLOOKUP($B$9,Value_look_up_tables!$A$5:$J$16,4,FALSE)))),"Post-2030 wastewater nutrient Loading",IF(AND($B$5&lt;DATE(2025,1,1),OR((VLOOKUP($B$9,Value_look_up_tables!$A$5:$E$16,2,FALSE))&gt;(VLOOKUP($B$9,Value_look_up_tables!$A$5:$E$16,3,FALSE)))),"Post-2025 wastewater nutrient Loading","Wastewater nutrient loading")),IF(B10="Enter value in cell C10","Wastewater nutrient loading","Wastewater nutrient loading"))</f>
        <v>Wastewater nutrient loading</v>
      </c>
      <c r="B15" s="116"/>
    </row>
    <row r="16" spans="1:5" ht="23.25" customHeight="1" x14ac:dyDescent="0.35">
      <c r="A16" s="25" t="s">
        <v>78</v>
      </c>
      <c r="B16" s="115">
        <f>IF(ISBLANK(B8),0,B6*B8)</f>
        <v>0</v>
      </c>
    </row>
    <row r="17" spans="1:2" ht="23.25" customHeight="1" x14ac:dyDescent="0.35">
      <c r="A17" s="26" t="s">
        <v>79</v>
      </c>
      <c r="B17" s="42">
        <f>IFERROR(B16*B7,0)</f>
        <v>0</v>
      </c>
    </row>
    <row r="18" spans="1:2" ht="23.25" customHeight="1" x14ac:dyDescent="0.35">
      <c r="A18" s="26" t="s">
        <v>80</v>
      </c>
      <c r="B18" s="42">
        <f>IFERROR(ROUND(IF(ISNUMBER(B12),B12*B17*0.9/1000000*365.25,IF(ISNUMBER(B11),B11*B17*0.9/1000000*365.25,IF(B10="Enter value in cell C10",IF(AND(B10="Enter value in cell C10",ISNUMBER(C10)),B17*(IF(C10&lt;0,0,C10))/1000000*365.25, VLOOKUP((LEFT(B9,(LEN(B9)-13))&amp;" default"),Value_look_up_tables!$A$15:$C$16,3,FALSE)*B17/1000000*365.25),IF(OR(B9="Package Treatment Plant default",B9="Septic Tank default"),B10*B17/1000000*365.25,IF(B10=8,B10*B17/1000000*365.25,B10*B17*0.9/1000000*365.25))))),2),0)</f>
        <v>0</v>
      </c>
    </row>
    <row r="19" spans="1:2" ht="23.25" customHeight="1" x14ac:dyDescent="0.35">
      <c r="A19" s="34" t="str">
        <f>IFERROR(IF(AND($B$5&lt;DATE(2030,4,1),OR((VLOOKUP($B$9,Value_look_up_tables!$A$5:$J$16,3,FALSE))&gt;(VLOOKUP($B$9,Value_look_up_tables!$A$5:$J$16,4,FALSE)))),"Pre-2030 wastewater nutrient loading",IF(AND($B$5&lt;DATE(2025,1,1),OR((VLOOKUP($B$9,Value_look_up_tables!$A$5:$E$16,2,FALSE))&gt;(VLOOKUP($B$9,Value_look_up_tables!$A$5:$E$16,3,FALSE)))),IF(B18=B20,A15,"Pre-2025 wastewater nutrient loading"),"Not applicable")),"Not applicable")</f>
        <v>Not applicable</v>
      </c>
      <c r="B19" s="35"/>
    </row>
    <row r="20" spans="1:2" ht="23.25" customHeight="1" x14ac:dyDescent="0.35">
      <c r="A20" s="25" t="str">
        <f>IFERROR(IF(AND($B$5&lt;DATE(2030,4,1),OR((VLOOKUP($B$9,Value_look_up_tables!$A$5:$J$16,3,FALSE))&gt;(VLOOKUP($B$9,Value_look_up_tables!$A$5:$J$16,4,FALSE)),(VLOOKUP($B$9,Value_look_up_tables!$A$5:$J$16,2,FALSE))&gt;(VLOOKUP($B$9,Value_look_up_tables!$A$5:$J$16,4,FALSE)))),IF(AND(B11="Not applicable",B12="Not applicable"),"Not applicable","Annual wastewater TP load (kg TP/yr):"),"Not applicable"),"Not applicable")</f>
        <v>Not applicable</v>
      </c>
      <c r="B20" s="28" t="str">
        <f>IFERROR(ROUND(IF(AND($B$5&lt;DATE(2030,4,1),OR((VLOOKUP($B$9,Value_look_up_tables!$A$5:$J$16,3,FALSE))&gt;(VLOOKUP($B$9,Value_look_up_tables!$A$5:$J$16,4,FALSE)),(VLOOKUP($B$9,Value_look_up_tables!$A$5:$J$16,2,FALSE))&gt;(VLOOKUP($B$9,Value_look_up_tables!$A$5:$J$16,4,FALSE)))),IF(ISNUMBER(B11),IF(B11=8,(B11*B$17)/1000000*365.25,(B11*B$17*0.9)/1000000*365.25),IF(B10=8,(B10*B$17)/1000000*365.25,IF(AND(B11="Not applicable",B12="Not applicable"),"Not applicable",(B10*B$17*0.9)/1000000*365.25))),"Not applicable"),2),"Not applicable")</f>
        <v>Not applicable</v>
      </c>
    </row>
    <row r="21" spans="1:2" ht="23.25" customHeight="1" x14ac:dyDescent="0.35">
      <c r="A21" s="34" t="str">
        <f>IFERROR(IF(AND($B$5&lt;DATE(2025,1,1),$B$5&lt;DATE(2030,4,1),OR((VLOOKUP($B$9,Value_look_up_tables!$A$5:$J$16,3,FALSE))&gt;(VLOOKUP($B$9,Value_look_up_tables!$A$5:$J$16,4,FALSE)))),IF(AND(B22="Not applicable"),"Not applicable","Pre-2025 wastewater nutrient loading"),IF(AND($B$5&lt;DATE(2025,1,1),OR((VLOOKUP($B$9,Value_look_up_tables!$A$5:$E$16,2,FALSE))&gt;(VLOOKUP($B$9,Value_look_up_tables!$A$5:$E$16,3,FALSE)))),IF(LEFT(A19,9)="Post-2025","Pre-2025 wastewater nutrient loading","wastewater nutrient loading "),"Not applicable")),"Not applicable")</f>
        <v>Not applicable</v>
      </c>
      <c r="B21" s="35"/>
    </row>
    <row r="22" spans="1:2" ht="23.25" customHeight="1" x14ac:dyDescent="0.35">
      <c r="A22" s="25" t="str">
        <f>IFERROR(IF(AND($B$5&lt;DATE(2025,1,1),OR((VLOOKUP($B$9,Value_look_up_tables!$A$5:$E$16,2,FALSE))&gt;(VLOOKUP($B$9,Value_look_up_tables!$A$5:$E$16,3,FALSE)),(VLOOKUP($B$9,Value_look_up_tables!$A$5:$E$16,2,FALSE))&gt;(VLOOKUP($B$9,Value_look_up_tables!$A$5:$E$16,3,FALSE)))),"Annual wastewater TP load (kg TP/yr):","Not applicable"),"Not applicable")</f>
        <v>Not applicable</v>
      </c>
      <c r="B22" s="27" t="str">
        <f>IFERROR(ROUND(IF(AND($B$5&lt;DATE(2025,1,1),$B$5&lt;DATE(2030,4,1),OR((VLOOKUP($B$9,Value_look_up_tables!$A$5:$J$16,3,FALSE))&gt;(VLOOKUP($B$9,Value_look_up_tables!$A$5:$J$16,4,FALSE)),(VLOOKUP($B$9,Value_look_up_tables!$A$5:$J$16,2,FALSE))&gt;(VLOOKUP($B$9,Value_look_up_tables!$A$5:$J$16,3,FALSE)))),IF(ISNUMBER(B11),IF(B10=8,(B10*B$17)/1000000*365.25,(B10*B$17*0.9)/1000000*365.25),IF(B11=8,(B11*B$17)/1000000*365.25,(B11*B$17*0.9)/1000000*365.25)),"Not applicable"),2),"Not applicable")</f>
        <v>Not applicable</v>
      </c>
    </row>
  </sheetData>
  <sheetProtection algorithmName="SHA-512" hashValue="YqpW6H14tP02vRlm/Z83qRh+mAIMtZlWFr8LPQ2c3r6ygIGmE3iNQ//tZDhMLLEr1hApTiQVvqLrNlYJoEZmmA==" saltValue="6Kt+bNgjQQz0puJph8D3PQ==" spinCount="100000" sheet="1" objects="1" scenarios="1"/>
  <protectedRanges>
    <protectedRange algorithmName="SHA-512" hashValue="9eFLYwbQxhpezS4HULhG7iBaGmH5LoseTU2XnhelcWF+/l82pYUC3srt3byn/vuneXy5XFyZVPQbagh6SLqRzQ==" saltValue="CEix3VmL8kRrd4op8qAhjg==" spinCount="100000" sqref="B5:B9" name="Range1_11"/>
  </protectedRanges>
  <phoneticPr fontId="9" type="noConversion"/>
  <conditionalFormatting sqref="C10">
    <cfRule type="expression" dxfId="1" priority="1">
      <formula>$B$10="Enter value in cell C10"</formula>
    </cfRule>
  </conditionalFormatting>
  <dataValidations count="5">
    <dataValidation type="whole" operator="greaterThan" allowBlank="1" showErrorMessage="1" errorTitle="Development proposal" error="Please ensure that the total number of dwellings is entered as a whole number" prompt="Please enter the total number of dwellings/units that will be within the development site as of the project completion date." sqref="B8" xr:uid="{5FCF8F7B-3342-4A11-81EF-C0A934FEB505}">
      <formula1>0</formula1>
    </dataValidation>
    <dataValidation type="decimal" operator="greaterThanOrEqual" showErrorMessage="1" errorTitle="Water usage:" error="Please enter a whole number in litres/person/day" prompt="Keep as 120 unless other efficiency measures are used. " sqref="B7" xr:uid="{7BBA9C67-F4AE-4E31-9B66-5A8851676991}">
      <formula1>0</formula1>
    </dataValidation>
    <dataValidation type="decimal" operator="greaterThanOrEqual" showErrorMessage="1" prompt="The average occupancy rate (people per dwelling/unit) should not be edited unless there is sufficient evidence." sqref="B6" xr:uid="{E341F3D6-CF85-498F-93B7-63085402EB07}">
      <formula1>0</formula1>
    </dataValidation>
    <dataValidation type="date" operator="greaterThan" allowBlank="1" showErrorMessage="1" errorTitle="Date Error" error="Please enter a date after 01/01/2022 date in correct dd/mm/yyyy format." prompt="Please enter the date using dd/mm/yyyy format. " sqref="B5" xr:uid="{6CF28049-E491-499F-BB43-17B0BFF91636}">
      <formula1>44562</formula1>
    </dataValidation>
    <dataValidation type="decimal" operator="greaterThanOrEqual" allowBlank="1" showInputMessage="1" showErrorMessage="1" sqref="C10" xr:uid="{770EB660-0D83-4518-8A40-A8988086EF1B}">
      <formula1>0</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ErrorMessage="1" prompt="Please select a Wastewater Treatment Works from the drop-down list." xr:uid="{9AFCCA9C-D04E-49D5-AC45-6EDFCCBE3936}">
          <x14:formula1>
            <xm:f>Value_look_up_tables!$A$5:$A$18</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8DE7-889B-4390-AD2D-86928A13748B}">
  <dimension ref="A1:F30"/>
  <sheetViews>
    <sheetView zoomScaleNormal="100" workbookViewId="0"/>
  </sheetViews>
  <sheetFormatPr defaultColWidth="9.1796875" defaultRowHeight="14" x14ac:dyDescent="0.35"/>
  <cols>
    <col min="1" max="1" width="90.1796875" style="37" customWidth="1"/>
    <col min="2" max="2" width="27.26953125" style="37" customWidth="1"/>
    <col min="3" max="3" width="24.26953125" style="37" customWidth="1"/>
    <col min="4" max="4" width="124.7265625" style="37" customWidth="1"/>
    <col min="5" max="386" width="8.54296875" style="37" customWidth="1"/>
    <col min="387" max="16384" width="9.1796875" style="37"/>
  </cols>
  <sheetData>
    <row r="1" spans="1:6" ht="50.25" customHeight="1" x14ac:dyDescent="0.35">
      <c r="A1" s="5" t="s">
        <v>14</v>
      </c>
      <c r="B1" s="36"/>
      <c r="C1" s="36"/>
      <c r="D1" s="36"/>
    </row>
    <row r="2" spans="1:6" ht="409.5" customHeight="1" x14ac:dyDescent="0.35">
      <c r="A2" s="7" t="s">
        <v>81</v>
      </c>
      <c r="B2" s="36"/>
      <c r="C2" s="36"/>
      <c r="D2" s="36"/>
      <c r="E2" s="15"/>
      <c r="F2" s="6"/>
    </row>
    <row r="3" spans="1:6" ht="37.5" customHeight="1" x14ac:dyDescent="0.35">
      <c r="A3" s="8" t="s">
        <v>82</v>
      </c>
      <c r="B3" s="38"/>
      <c r="C3" s="38"/>
      <c r="E3" s="6"/>
      <c r="F3" s="6"/>
    </row>
    <row r="4" spans="1:6" ht="38.9" customHeight="1" x14ac:dyDescent="0.35">
      <c r="A4" s="4" t="s">
        <v>65</v>
      </c>
      <c r="B4" s="85" t="s">
        <v>66</v>
      </c>
      <c r="C4" s="38"/>
      <c r="E4" s="6"/>
      <c r="F4" s="6"/>
    </row>
    <row r="5" spans="1:6" ht="29.9" customHeight="1" x14ac:dyDescent="0.35">
      <c r="A5" s="18" t="s">
        <v>83</v>
      </c>
      <c r="B5" s="44"/>
      <c r="C5" s="6"/>
      <c r="D5" s="6"/>
      <c r="E5" s="6"/>
      <c r="F5" s="39"/>
    </row>
    <row r="6" spans="1:6" ht="29.9" customHeight="1" x14ac:dyDescent="0.35">
      <c r="A6" s="18" t="s">
        <v>84</v>
      </c>
      <c r="B6" s="45"/>
      <c r="C6" s="6"/>
      <c r="D6" s="6"/>
      <c r="E6" s="6"/>
      <c r="F6" s="6"/>
    </row>
    <row r="7" spans="1:6" ht="29.9" customHeight="1" x14ac:dyDescent="0.35">
      <c r="A7" s="18" t="s">
        <v>85</v>
      </c>
      <c r="B7" s="46"/>
      <c r="C7" s="6"/>
      <c r="D7" s="6"/>
      <c r="E7" s="6"/>
      <c r="F7" s="6"/>
    </row>
    <row r="8" spans="1:6" ht="29.9" customHeight="1" x14ac:dyDescent="0.35">
      <c r="A8" s="21" t="s">
        <v>86</v>
      </c>
      <c r="B8" s="47"/>
      <c r="C8" s="6"/>
      <c r="D8" s="6"/>
      <c r="E8" s="6"/>
      <c r="F8" s="6"/>
    </row>
    <row r="9" spans="1:6" ht="48" customHeight="1" x14ac:dyDescent="0.35">
      <c r="A9" s="8" t="s">
        <v>87</v>
      </c>
      <c r="B9" s="40"/>
      <c r="C9" s="6"/>
      <c r="D9" s="6"/>
      <c r="E9" s="6"/>
      <c r="F9" s="6"/>
    </row>
    <row r="10" spans="1:6" ht="66" customHeight="1" x14ac:dyDescent="0.35">
      <c r="A10" s="1" t="s">
        <v>88</v>
      </c>
      <c r="B10" s="2" t="s">
        <v>89</v>
      </c>
      <c r="C10" s="2" t="s">
        <v>90</v>
      </c>
      <c r="D10" s="2" t="s">
        <v>91</v>
      </c>
      <c r="E10" s="6"/>
      <c r="F10" s="39"/>
    </row>
    <row r="11" spans="1:6" ht="43" customHeight="1" x14ac:dyDescent="0.35">
      <c r="A11" s="48"/>
      <c r="B11" s="30"/>
      <c r="C11" s="50">
        <f>IF(OR(ISBLANK($A11),ISBLANK($B11),ISBLANK($B$6),ISBLANK($B$7)),0,IFERROR($B11*VLOOKUP((IF(OR($A11="Residential urban land",$A11="Commercial/industrial urban land",$A11="Open urban land",$A11="Greenspace",$A11="Community food growing",$A11="Woodland",$A11="Shrub", $A11="Water"), "|||"&amp;$A11, (VLOOKUP(Nutrients_from_current_land_use!$B$5,Value_look_up_tables!$A$152:$B$152,2,FALSE)&amp;"|"&amp;$A11&amp;"|"&amp;VLOOKUP(Nutrients_from_current_land_use!$B$8,Value_look_up_tables!$A$165:$B$166,2,FALSE)&amp;"|"&amp;VLOOKUP(Nutrients_from_current_land_use!$B$7,Value_look_up_tables!$A$126:$C$148,3,FALSE)&amp;"|"&amp;VLOOKUP($B$6,Value_look_up_tables!$A$156:$B$161,2,FALSE)))),Value_look_up_tables!$F$22:$H$122,3,FALSE),
IFERROR(IFERROR($B11*VLOOKUP($A11&amp;"|"&amp;VLOOKUP(Nutrients_from_current_land_use!$B$8,Value_look_up_tables!$A$165:$B$166,2,FALSE)&amp;"|"&amp;VLOOKUP(Nutrients_from_current_land_use!$B$7,Value_look_up_tables!$A$126:$C$148,3,FALSE)&amp;"|"&amp;VLOOKUP($B$6,Value_look_up_tables!$A$156:$B$161,2,FALSE),Value_look_up_tables!$F$22:$H$122,3,FALSE),IFERROR($B11*VLOOKUP($A11&amp;"|"&amp;"TRUE"&amp;"|"&amp;VLOOKUP(Nutrients_from_current_land_use!$B$7,Value_look_up_tables!$A$126:$C$148,3,FALSE)&amp;"|"&amp;VLOOKUP($B$6,Value_look_up_tables!$A$156:$B$161,2,FALSE),Value_look_up_tables!$F$22:$H$122,3,FALSE),$B11*VLOOKUP($A11&amp;"|"&amp;VLOOKUP(Nutrients_from_current_land_use!$B$8,Value_look_up_tables!$A$165:$B$166,2,FALSE)&amp;"|"&amp;VLOOKUP(Nutrients_from_current_land_use!$B$7,Value_look_up_tables!$A$126:$C$148,3,FALSE)&amp;"|"&amp;"DrainedArGr",Value_look_up_tables!$F$22:$H$122,3,FALSE))),IFERROR($B11*VLOOKUP($A11&amp;"|"&amp;VLOOKUP(Nutrients_from_current_land_use!$B$7,Value_look_up_tables!$A$126:$C$148,3,FALSE),Value_look_up_tables!$I$22:$K$114,3,FALSE),$B11*VLOOKUP($A11,Value_look_up_tables!$B$22:$M$114,12,FALSE)))))</f>
        <v>0</v>
      </c>
      <c r="D11" s="41" t="str">
        <f>IF(
OR(ISBLANK($A11),ISBLANK($B11),ISBLANK($B$6),ISBLANK($B$5),ISBLANK($B$7),$A11="Residential urban land",$A11="Commercial/industrial urban land",$A11="Open urban land",$A11="Greenspace",$A11="Community food growing",$A11="Woodland",$A11="Shrub",$A11="Water"),"Not applicable",IF(ISNUMBER(IFERROR($B11*VLOOKUP((IF(
OR($A11="Residential urban land",$A11="Commercial/industrial urban land",$A11="Open urban land",$A11="Greenspace",$A11="Community food growing",$A11="Woodland",$A11="Shrub",$A11="Water"),"|||"&amp;$A11,(VLOOKUP(Nutrients_from_current_land_use!$B$5,Value_look_up_tables!$A$152:$B$152,2,FALSE)&amp;"|"&amp;$A11&amp;"|"&amp;VLOOKUP(Nutrients_from_current_land_use!$B$8,Value_look_up_tables!$A$165:$B$166,2,FALSE)&amp;"|"&amp;VLOOKUP(Nutrients_from_current_land_use!$B$7,Value_look_up_tables!$A$126:$C$148,3,FALSE)&amp;"|"&amp;VLOOKUP($B$6,Value_look_up_tables!$A$156:$B$161,2,FALSE)))),Value_look_up_tables!$F$22:$H$122,3,FALSE),
IFERROR($B11*VLOOKUP($A11&amp;"|"&amp;VLOOKUP(Nutrients_from_current_land_use!$B$8,Value_look_up_tables!$A$165:$B$166,2,FALSE)&amp;"|"&amp;VLOOKUP(Nutrients_from_current_land_use!$B$7,Value_look_up_tables!$A$126:$C$148,3,FALSE)&amp;"|"&amp;VLOOKUP($B$6,Value_look_up_tables!$A$156:$B$161,2,FALSE),Value_look_up_tables!$F$22:$H$122,3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1" s="6"/>
      <c r="F11" s="6"/>
    </row>
    <row r="12" spans="1:6" ht="43" customHeight="1" x14ac:dyDescent="0.35">
      <c r="A12" s="48"/>
      <c r="B12" s="30"/>
      <c r="C12" s="50">
        <f>IF(OR(ISBLANK($A12),ISBLANK($B12),ISBLANK($B$6),ISBLANK($B$7)),0,IFERROR($B12*VLOOKUP((IF(OR($A12="Residential urban land",$A12="Commercial/industrial urban land",$A12="Open urban land",$A12="Greenspace",$A12="Community food growing",$A12="Woodland",$A12="Shrub", $A12="Water"), "|||"&amp;$A12, (VLOOKUP(Nutrients_from_current_land_use!$B$5,Value_look_up_tables!$A$152:$B$152,2,FALSE)&amp;"|"&amp;$A12&amp;"|"&amp;VLOOKUP(Nutrients_from_current_land_use!$B$8,Value_look_up_tables!$A$165:$B$166,2,FALSE)&amp;"|"&amp;VLOOKUP(Nutrients_from_current_land_use!$B$7,Value_look_up_tables!$A$126:$C$148,3,FALSE)&amp;"|"&amp;VLOOKUP($B$6,Value_look_up_tables!$A$156:$B$161,2,FALSE)))),Value_look_up_tables!$F$22:$H$122,3,FALSE),
IFERROR(IFERROR($B12*VLOOKUP($A12&amp;"|"&amp;VLOOKUP(Nutrients_from_current_land_use!$B$8,Value_look_up_tables!$A$165:$B$166,2,FALSE)&amp;"|"&amp;VLOOKUP(Nutrients_from_current_land_use!$B$7,Value_look_up_tables!$A$126:$C$148,3,FALSE)&amp;"|"&amp;VLOOKUP($B$6,Value_look_up_tables!$A$156:$B$161,2,FALSE),Value_look_up_tables!$F$22:$H$122,3,FALSE),IFERROR($B12*VLOOKUP($A12&amp;"|"&amp;"TRUE"&amp;"|"&amp;VLOOKUP(Nutrients_from_current_land_use!$B$7,Value_look_up_tables!$A$126:$C$148,3,FALSE)&amp;"|"&amp;VLOOKUP($B$6,Value_look_up_tables!$A$156:$B$161,2,FALSE),Value_look_up_tables!$F$22:$H$122,3,FALSE),$B12*VLOOKUP($A12&amp;"|"&amp;VLOOKUP(Nutrients_from_current_land_use!$B$8,Value_look_up_tables!$A$165:$B$166,2,FALSE)&amp;"|"&amp;VLOOKUP(Nutrients_from_current_land_use!$B$7,Value_look_up_tables!$A$126:$C$148,3,FALSE)&amp;"|"&amp;"DrainedArGr",Value_look_up_tables!$F$22:$H$122,3,FALSE))),IFERROR($B12*VLOOKUP($A12&amp;"|"&amp;VLOOKUP(Nutrients_from_current_land_use!$B$7,Value_look_up_tables!$A$126:$C$148,3,FALSE),Value_look_up_tables!$I$22:$K$114,3,FALSE),$B12*VLOOKUP($A12,Value_look_up_tables!$B$22:$M$114,12,FALSE)))))</f>
        <v>0</v>
      </c>
      <c r="D12" s="41" t="str">
        <f>IF(
OR(ISBLANK($A12),ISBLANK($B12),ISBLANK($B$6),ISBLANK($B$5),ISBLANK($B$7),$A12="Residential urban land",$A12="Commercial/industrial urban land",$A12="Open urban land",$A12="Greenspace",$A12="Community food growing",$A12="Woodland",$A12="Shrub",$A12="Water"),"Not applicable",IF(ISNUMBER(IFERROR($B12*VLOOKUP((IF(
OR($A12="Residential urban land",$A12="Commercial/industrial urban land",$A12="Open urban land",$A12="Greenspace",$A12="Community food growing",$A12="Woodland",$A12="Shrub",$A12="Water"),"|||"&amp;$A12,(VLOOKUP(Nutrients_from_current_land_use!$B$5,Value_look_up_tables!$A$152:$B$152,2,FALSE)&amp;"|"&amp;$A12&amp;"|"&amp;VLOOKUP(Nutrients_from_current_land_use!$B$8,Value_look_up_tables!$A$165:$B$166,2,FALSE)&amp;"|"&amp;VLOOKUP(Nutrients_from_current_land_use!$B$7,Value_look_up_tables!$A$126:$C$148,3,FALSE)&amp;"|"&amp;VLOOKUP($B$6,Value_look_up_tables!$A$156:$B$161,2,FALSE)))),Value_look_up_tables!$F$22:$H$122,3,FALSE),
IFERROR($B12*VLOOKUP($A12&amp;"|"&amp;VLOOKUP(Nutrients_from_current_land_use!$B$8,Value_look_up_tables!$A$165:$B$166,2,FALSE)&amp;"|"&amp;VLOOKUP(Nutrients_from_current_land_use!$B$7,Value_look_up_tables!$A$126:$C$148,3,FALSE)&amp;"|"&amp;VLOOKUP($B$6,Value_look_up_tables!$A$156:$B$161,2,FALSE),Value_look_up_tables!$F$22:$H$122,3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2" s="6"/>
      <c r="F12" s="6"/>
    </row>
    <row r="13" spans="1:6" ht="43" customHeight="1" x14ac:dyDescent="0.35">
      <c r="A13" s="48"/>
      <c r="B13" s="30"/>
      <c r="C13" s="50">
        <f>IF(OR(ISBLANK($A13),ISBLANK($B13),ISBLANK($B$6),ISBLANK($B$7)),0,IFERROR($B13*VLOOKUP((IF(OR($A13="Residential urban land",$A13="Commercial/industrial urban land",$A13="Open urban land",$A13="Greenspace",$A13="Community food growing",$A13="Woodland",$A13="Shrub", $A13="Water"), "|||"&amp;$A13, (VLOOKUP(Nutrients_from_current_land_use!$B$5,Value_look_up_tables!$A$152:$B$152,2,FALSE)&amp;"|"&amp;$A13&amp;"|"&amp;VLOOKUP(Nutrients_from_current_land_use!$B$8,Value_look_up_tables!$A$165:$B$166,2,FALSE)&amp;"|"&amp;VLOOKUP(Nutrients_from_current_land_use!$B$7,Value_look_up_tables!$A$126:$C$148,3,FALSE)&amp;"|"&amp;VLOOKUP($B$6,Value_look_up_tables!$A$156:$B$161,2,FALSE)))),Value_look_up_tables!$F$22:$H$122,3,FALSE),
IFERROR(IFERROR($B13*VLOOKUP($A13&amp;"|"&amp;VLOOKUP(Nutrients_from_current_land_use!$B$8,Value_look_up_tables!$A$165:$B$166,2,FALSE)&amp;"|"&amp;VLOOKUP(Nutrients_from_current_land_use!$B$7,Value_look_up_tables!$A$126:$C$148,3,FALSE)&amp;"|"&amp;VLOOKUP($B$6,Value_look_up_tables!$A$156:$B$161,2,FALSE),Value_look_up_tables!$F$22:$H$122,3,FALSE),IFERROR($B13*VLOOKUP($A13&amp;"|"&amp;"TRUE"&amp;"|"&amp;VLOOKUP(Nutrients_from_current_land_use!$B$7,Value_look_up_tables!$A$126:$C$148,3,FALSE)&amp;"|"&amp;VLOOKUP($B$6,Value_look_up_tables!$A$156:$B$161,2,FALSE),Value_look_up_tables!$F$22:$H$122,3,FALSE),$B13*VLOOKUP($A13&amp;"|"&amp;VLOOKUP(Nutrients_from_current_land_use!$B$8,Value_look_up_tables!$A$165:$B$166,2,FALSE)&amp;"|"&amp;VLOOKUP(Nutrients_from_current_land_use!$B$7,Value_look_up_tables!$A$126:$C$148,3,FALSE)&amp;"|"&amp;"DrainedArGr",Value_look_up_tables!$F$22:$H$122,3,FALSE))),IFERROR($B13*VLOOKUP($A13&amp;"|"&amp;VLOOKUP(Nutrients_from_current_land_use!$B$7,Value_look_up_tables!$A$126:$C$148,3,FALSE),Value_look_up_tables!$I$22:$K$114,3,FALSE),$B13*VLOOKUP($A13,Value_look_up_tables!$B$22:$M$114,12,FALSE)))))</f>
        <v>0</v>
      </c>
      <c r="D13" s="41" t="str">
        <f>IF(
OR(ISBLANK($A13),ISBLANK($B13),ISBLANK($B$6),ISBLANK($B$5),ISBLANK($B$7),$A13="Residential urban land",$A13="Commercial/industrial urban land",$A13="Open urban land",$A13="Greenspace",$A13="Community food growing",$A13="Woodland",$A13="Shrub",$A13="Water"),"Not applicable",IF(ISNUMBER(IFERROR($B13*VLOOKUP((IF(
OR($A13="Residential urban land",$A13="Commercial/industrial urban land",$A13="Open urban land",$A13="Greenspace",$A13="Community food growing",$A13="Woodland",$A13="Shrub",$A13="Water"),"|||"&amp;$A13,(VLOOKUP(Nutrients_from_current_land_use!$B$5,Value_look_up_tables!$A$152:$B$152,2,FALSE)&amp;"|"&amp;$A13&amp;"|"&amp;VLOOKUP(Nutrients_from_current_land_use!$B$8,Value_look_up_tables!$A$165:$B$166,2,FALSE)&amp;"|"&amp;VLOOKUP(Nutrients_from_current_land_use!$B$7,Value_look_up_tables!$A$126:$C$148,3,FALSE)&amp;"|"&amp;VLOOKUP($B$6,Value_look_up_tables!$A$156:$B$161,2,FALSE)))),Value_look_up_tables!$F$22:$H$122,3,FALSE),
IFERROR($B13*VLOOKUP($A13&amp;"|"&amp;VLOOKUP(Nutrients_from_current_land_use!$B$8,Value_look_up_tables!$A$165:$B$166,2,FALSE)&amp;"|"&amp;VLOOKUP(Nutrients_from_current_land_use!$B$7,Value_look_up_tables!$A$126:$C$148,3,FALSE)&amp;"|"&amp;VLOOKUP($B$6,Value_look_up_tables!$A$156:$B$161,2,FALSE),Value_look_up_tables!$F$22:$H$122,3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3" s="6"/>
      <c r="F13" s="6"/>
    </row>
    <row r="14" spans="1:6" ht="43" customHeight="1" x14ac:dyDescent="0.35">
      <c r="A14" s="48"/>
      <c r="B14" s="30"/>
      <c r="C14" s="50">
        <f>IF(OR(ISBLANK($A14),ISBLANK($B14),ISBLANK($B$6),ISBLANK($B$7)),0,IFERROR($B14*VLOOKUP((IF(OR($A14="Residential urban land",$A14="Commercial/industrial urban land",$A14="Open urban land",$A14="Greenspace",$A14="Community food growing",$A14="Woodland",$A14="Shrub", $A14="Water"), "|||"&amp;$A14, (VLOOKUP(Nutrients_from_current_land_use!$B$5,Value_look_up_tables!$A$152:$B$152,2,FALSE)&amp;"|"&amp;$A14&amp;"|"&amp;VLOOKUP(Nutrients_from_current_land_use!$B$8,Value_look_up_tables!$A$165:$B$166,2,FALSE)&amp;"|"&amp;VLOOKUP(Nutrients_from_current_land_use!$B$7,Value_look_up_tables!$A$126:$C$148,3,FALSE)&amp;"|"&amp;VLOOKUP($B$6,Value_look_up_tables!$A$156:$B$161,2,FALSE)))),Value_look_up_tables!$F$22:$H$122,3,FALSE),
IFERROR(IFERROR($B14*VLOOKUP($A14&amp;"|"&amp;VLOOKUP(Nutrients_from_current_land_use!$B$8,Value_look_up_tables!$A$165:$B$166,2,FALSE)&amp;"|"&amp;VLOOKUP(Nutrients_from_current_land_use!$B$7,Value_look_up_tables!$A$126:$C$148,3,FALSE)&amp;"|"&amp;VLOOKUP($B$6,Value_look_up_tables!$A$156:$B$161,2,FALSE),Value_look_up_tables!$F$22:$H$122,3,FALSE),IFERROR($B14*VLOOKUP($A14&amp;"|"&amp;"TRUE"&amp;"|"&amp;VLOOKUP(Nutrients_from_current_land_use!$B$7,Value_look_up_tables!$A$126:$C$148,3,FALSE)&amp;"|"&amp;VLOOKUP($B$6,Value_look_up_tables!$A$156:$B$161,2,FALSE),Value_look_up_tables!$F$22:$H$122,3,FALSE),$B14*VLOOKUP($A14&amp;"|"&amp;VLOOKUP(Nutrients_from_current_land_use!$B$8,Value_look_up_tables!$A$165:$B$166,2,FALSE)&amp;"|"&amp;VLOOKUP(Nutrients_from_current_land_use!$B$7,Value_look_up_tables!$A$126:$C$148,3,FALSE)&amp;"|"&amp;"DrainedArGr",Value_look_up_tables!$F$22:$H$122,3,FALSE))),IFERROR($B14*VLOOKUP($A14&amp;"|"&amp;VLOOKUP(Nutrients_from_current_land_use!$B$7,Value_look_up_tables!$A$126:$C$148,3,FALSE),Value_look_up_tables!$I$22:$K$114,3,FALSE),$B14*VLOOKUP($A14,Value_look_up_tables!$B$22:$M$114,12,FALSE)))))</f>
        <v>0</v>
      </c>
      <c r="D14" s="41" t="str">
        <f>IF(
OR(ISBLANK($A14),ISBLANK($B14),ISBLANK($B$6),ISBLANK($B$5),ISBLANK($B$7),$A14="Residential urban land",$A14="Commercial/industrial urban land",$A14="Open urban land",$A14="Greenspace",$A14="Community food growing",$A14="Woodland",$A14="Shrub",$A14="Water"),"Not applicable",IF(ISNUMBER(IFERROR($B14*VLOOKUP((IF(
OR($A14="Residential urban land",$A14="Commercial/industrial urban land",$A14="Open urban land",$A14="Greenspace",$A14="Community food growing",$A14="Woodland",$A14="Shrub",$A14="Water"),"|||"&amp;$A14,(VLOOKUP(Nutrients_from_current_land_use!$B$5,Value_look_up_tables!$A$152:$B$152,2,FALSE)&amp;"|"&amp;$A14&amp;"|"&amp;VLOOKUP(Nutrients_from_current_land_use!$B$8,Value_look_up_tables!$A$165:$B$166,2,FALSE)&amp;"|"&amp;VLOOKUP(Nutrients_from_current_land_use!$B$7,Value_look_up_tables!$A$126:$C$148,3,FALSE)&amp;"|"&amp;VLOOKUP($B$6,Value_look_up_tables!$A$156:$B$161,2,FALSE)))),Value_look_up_tables!$F$22:$H$122,3,FALSE),
IFERROR($B14*VLOOKUP($A14&amp;"|"&amp;VLOOKUP(Nutrients_from_current_land_use!$B$8,Value_look_up_tables!$A$165:$B$166,2,FALSE)&amp;"|"&amp;VLOOKUP(Nutrients_from_current_land_use!$B$7,Value_look_up_tables!$A$126:$C$148,3,FALSE)&amp;"|"&amp;VLOOKUP($B$6,Value_look_up_tables!$A$156:$B$161,2,FALSE),Value_look_up_tables!$F$22:$H$122,3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4" s="6"/>
      <c r="F14" s="6"/>
    </row>
    <row r="15" spans="1:6" ht="43" customHeight="1" x14ac:dyDescent="0.35">
      <c r="A15" s="48"/>
      <c r="B15" s="30"/>
      <c r="C15" s="50">
        <f>IF(OR(ISBLANK($A15),ISBLANK($B15),ISBLANK($B$6),ISBLANK($B$7)),0,IFERROR($B15*VLOOKUP((IF(OR($A15="Residential urban land",$A15="Commercial/industrial urban land",$A15="Open urban land",$A15="Greenspace",$A15="Community food growing",$A15="Woodland",$A15="Shrub", $A15="Water"), "|||"&amp;$A15, (VLOOKUP(Nutrients_from_current_land_use!$B$5,Value_look_up_tables!$A$152:$B$152,2,FALSE)&amp;"|"&amp;$A15&amp;"|"&amp;VLOOKUP(Nutrients_from_current_land_use!$B$8,Value_look_up_tables!$A$165:$B$166,2,FALSE)&amp;"|"&amp;VLOOKUP(Nutrients_from_current_land_use!$B$7,Value_look_up_tables!$A$126:$C$148,3,FALSE)&amp;"|"&amp;VLOOKUP($B$6,Value_look_up_tables!$A$156:$B$161,2,FALSE)))),Value_look_up_tables!$F$22:$H$122,3,FALSE),
IFERROR(IFERROR($B15*VLOOKUP($A15&amp;"|"&amp;VLOOKUP(Nutrients_from_current_land_use!$B$8,Value_look_up_tables!$A$165:$B$166,2,FALSE)&amp;"|"&amp;VLOOKUP(Nutrients_from_current_land_use!$B$7,Value_look_up_tables!$A$126:$C$148,3,FALSE)&amp;"|"&amp;VLOOKUP($B$6,Value_look_up_tables!$A$156:$B$161,2,FALSE),Value_look_up_tables!$F$22:$H$122,3,FALSE),IFERROR($B15*VLOOKUP($A15&amp;"|"&amp;"TRUE"&amp;"|"&amp;VLOOKUP(Nutrients_from_current_land_use!$B$7,Value_look_up_tables!$A$126:$C$148,3,FALSE)&amp;"|"&amp;VLOOKUP($B$6,Value_look_up_tables!$A$156:$B$161,2,FALSE),Value_look_up_tables!$F$22:$H$122,3,FALSE),$B15*VLOOKUP($A15&amp;"|"&amp;VLOOKUP(Nutrients_from_current_land_use!$B$8,Value_look_up_tables!$A$165:$B$166,2,FALSE)&amp;"|"&amp;VLOOKUP(Nutrients_from_current_land_use!$B$7,Value_look_up_tables!$A$126:$C$148,3,FALSE)&amp;"|"&amp;"DrainedArGr",Value_look_up_tables!$F$22:$H$122,3,FALSE))),IFERROR($B15*VLOOKUP($A15&amp;"|"&amp;VLOOKUP(Nutrients_from_current_land_use!$B$7,Value_look_up_tables!$A$126:$C$148,3,FALSE),Value_look_up_tables!$I$22:$K$114,3,FALSE),$B15*VLOOKUP($A15,Value_look_up_tables!$B$22:$M$114,12,FALSE)))))</f>
        <v>0</v>
      </c>
      <c r="D15" s="41" t="str">
        <f>IF(
OR(ISBLANK($A15),ISBLANK($B15),ISBLANK($B$6),ISBLANK($B$5),ISBLANK($B$7),$A15="Residential urban land",$A15="Commercial/industrial urban land",$A15="Open urban land",$A15="Greenspace",$A15="Community food growing",$A15="Woodland",$A15="Shrub",$A15="Water"),"Not applicable",IF(ISNUMBER(IFERROR($B15*VLOOKUP((IF(
OR($A15="Residential urban land",$A15="Commercial/industrial urban land",$A15="Open urban land",$A15="Greenspace",$A15="Community food growing",$A15="Woodland",$A15="Shrub",$A15="Water"),"|||"&amp;$A15,(VLOOKUP(Nutrients_from_current_land_use!$B$5,Value_look_up_tables!$A$152:$B$152,2,FALSE)&amp;"|"&amp;$A15&amp;"|"&amp;VLOOKUP(Nutrients_from_current_land_use!$B$8,Value_look_up_tables!$A$165:$B$166,2,FALSE)&amp;"|"&amp;VLOOKUP(Nutrients_from_current_land_use!$B$7,Value_look_up_tables!$A$126:$C$148,3,FALSE)&amp;"|"&amp;VLOOKUP($B$6,Value_look_up_tables!$A$156:$B$161,2,FALSE)))),Value_look_up_tables!$F$22:$H$122,3,FALSE),
IFERROR($B15*VLOOKUP($A15&amp;"|"&amp;VLOOKUP(Nutrients_from_current_land_use!$B$8,Value_look_up_tables!$A$165:$B$166,2,FALSE)&amp;"|"&amp;VLOOKUP(Nutrients_from_current_land_use!$B$7,Value_look_up_tables!$A$126:$C$148,3,FALSE)&amp;"|"&amp;VLOOKUP($B$6,Value_look_up_tables!$A$156:$B$161,2,FALSE),Value_look_up_tables!$F$22:$H$122,3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5" s="6"/>
      <c r="F15" s="6"/>
    </row>
    <row r="16" spans="1:6" ht="43" customHeight="1" x14ac:dyDescent="0.35">
      <c r="A16" s="48"/>
      <c r="B16" s="30"/>
      <c r="C16" s="50">
        <f>IF(OR(ISBLANK($A16),ISBLANK($B16),ISBLANK($B$6),ISBLANK($B$7)),0,IFERROR($B16*VLOOKUP((IF(OR($A16="Residential urban land",$A16="Commercial/industrial urban land",$A16="Open urban land",$A16="Greenspace",$A16="Community food growing",$A16="Woodland",$A16="Shrub", $A16="Water"), "|||"&amp;$A16, (VLOOKUP(Nutrients_from_current_land_use!$B$5,Value_look_up_tables!$A$152:$B$152,2,FALSE)&amp;"|"&amp;$A16&amp;"|"&amp;VLOOKUP(Nutrients_from_current_land_use!$B$8,Value_look_up_tables!$A$165:$B$166,2,FALSE)&amp;"|"&amp;VLOOKUP(Nutrients_from_current_land_use!$B$7,Value_look_up_tables!$A$126:$C$148,3,FALSE)&amp;"|"&amp;VLOOKUP($B$6,Value_look_up_tables!$A$156:$B$161,2,FALSE)))),Value_look_up_tables!$F$22:$H$122,3,FALSE),
IFERROR(IFERROR($B16*VLOOKUP($A16&amp;"|"&amp;VLOOKUP(Nutrients_from_current_land_use!$B$8,Value_look_up_tables!$A$165:$B$166,2,FALSE)&amp;"|"&amp;VLOOKUP(Nutrients_from_current_land_use!$B$7,Value_look_up_tables!$A$126:$C$148,3,FALSE)&amp;"|"&amp;VLOOKUP($B$6,Value_look_up_tables!$A$156:$B$161,2,FALSE),Value_look_up_tables!$F$22:$H$122,3,FALSE),IFERROR($B16*VLOOKUP($A16&amp;"|"&amp;"TRUE"&amp;"|"&amp;VLOOKUP(Nutrients_from_current_land_use!$B$7,Value_look_up_tables!$A$126:$C$148,3,FALSE)&amp;"|"&amp;VLOOKUP($B$6,Value_look_up_tables!$A$156:$B$161,2,FALSE),Value_look_up_tables!$F$22:$H$122,3,FALSE),$B16*VLOOKUP($A16&amp;"|"&amp;VLOOKUP(Nutrients_from_current_land_use!$B$8,Value_look_up_tables!$A$165:$B$166,2,FALSE)&amp;"|"&amp;VLOOKUP(Nutrients_from_current_land_use!$B$7,Value_look_up_tables!$A$126:$C$148,3,FALSE)&amp;"|"&amp;"DrainedArGr",Value_look_up_tables!$F$22:$H$122,3,FALSE))),IFERROR($B16*VLOOKUP($A16&amp;"|"&amp;VLOOKUP(Nutrients_from_current_land_use!$B$7,Value_look_up_tables!$A$126:$C$148,3,FALSE),Value_look_up_tables!$I$22:$K$114,3,FALSE),$B16*VLOOKUP($A16,Value_look_up_tables!$B$22:$M$114,12,FALSE)))))</f>
        <v>0</v>
      </c>
      <c r="D16" s="41" t="str">
        <f>IF(
OR(ISBLANK($A16),ISBLANK($B16),ISBLANK($B$6),ISBLANK($B$5),ISBLANK($B$7),$A16="Residential urban land",$A16="Commercial/industrial urban land",$A16="Open urban land",$A16="Greenspace",$A16="Community food growing",$A16="Woodland",$A16="Shrub",$A16="Water"),"Not applicable",IF(ISNUMBER(IFERROR($B16*VLOOKUP((IF(
OR($A16="Residential urban land",$A16="Commercial/industrial urban land",$A16="Open urban land",$A16="Greenspace",$A16="Community food growing",$A16="Woodland",$A16="Shrub",$A16="Water"),"|||"&amp;$A16,(VLOOKUP(Nutrients_from_current_land_use!$B$5,Value_look_up_tables!$A$152:$B$152,2,FALSE)&amp;"|"&amp;$A16&amp;"|"&amp;VLOOKUP(Nutrients_from_current_land_use!$B$8,Value_look_up_tables!$A$165:$B$166,2,FALSE)&amp;"|"&amp;VLOOKUP(Nutrients_from_current_land_use!$B$7,Value_look_up_tables!$A$126:$C$148,3,FALSE)&amp;"|"&amp;VLOOKUP($B$6,Value_look_up_tables!$A$156:$B$161,2,FALSE)))),Value_look_up_tables!$F$22:$H$122,3,FALSE),
IFERROR($B16*VLOOKUP($A16&amp;"|"&amp;VLOOKUP(Nutrients_from_current_land_use!$B$8,Value_look_up_tables!$A$165:$B$166,2,FALSE)&amp;"|"&amp;VLOOKUP(Nutrients_from_current_land_use!$B$7,Value_look_up_tables!$A$126:$C$148,3,FALSE)&amp;"|"&amp;VLOOKUP($B$6,Value_look_up_tables!$A$156:$B$161,2,FALSE),Value_look_up_tables!$F$22:$H$122,3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6" s="6"/>
      <c r="F16" s="6"/>
    </row>
    <row r="17" spans="1:6" ht="43" customHeight="1" x14ac:dyDescent="0.35">
      <c r="A17" s="48"/>
      <c r="B17" s="30"/>
      <c r="C17" s="50">
        <f>IF(OR(ISBLANK($A17),ISBLANK($B17),ISBLANK($B$6),ISBLANK($B$7)),0,IFERROR($B17*VLOOKUP((IF(OR($A17="Residential urban land",$A17="Commercial/industrial urban land",$A17="Open urban land",$A17="Greenspace",$A17="Community food growing",$A17="Woodland",$A17="Shrub", $A17="Water"), "|||"&amp;$A17, (VLOOKUP(Nutrients_from_current_land_use!$B$5,Value_look_up_tables!$A$152:$B$152,2,FALSE)&amp;"|"&amp;$A17&amp;"|"&amp;VLOOKUP(Nutrients_from_current_land_use!$B$8,Value_look_up_tables!$A$165:$B$166,2,FALSE)&amp;"|"&amp;VLOOKUP(Nutrients_from_current_land_use!$B$7,Value_look_up_tables!$A$126:$C$148,3,FALSE)&amp;"|"&amp;VLOOKUP($B$6,Value_look_up_tables!$A$156:$B$161,2,FALSE)))),Value_look_up_tables!$F$22:$H$122,3,FALSE),
IFERROR(IFERROR($B17*VLOOKUP($A17&amp;"|"&amp;VLOOKUP(Nutrients_from_current_land_use!$B$8,Value_look_up_tables!$A$165:$B$166,2,FALSE)&amp;"|"&amp;VLOOKUP(Nutrients_from_current_land_use!$B$7,Value_look_up_tables!$A$126:$C$148,3,FALSE)&amp;"|"&amp;VLOOKUP($B$6,Value_look_up_tables!$A$156:$B$161,2,FALSE),Value_look_up_tables!$F$22:$H$122,3,FALSE),IFERROR($B17*VLOOKUP($A17&amp;"|"&amp;"TRUE"&amp;"|"&amp;VLOOKUP(Nutrients_from_current_land_use!$B$7,Value_look_up_tables!$A$126:$C$148,3,FALSE)&amp;"|"&amp;VLOOKUP($B$6,Value_look_up_tables!$A$156:$B$161,2,FALSE),Value_look_up_tables!$F$22:$H$122,3,FALSE),$B17*VLOOKUP($A17&amp;"|"&amp;VLOOKUP(Nutrients_from_current_land_use!$B$8,Value_look_up_tables!$A$165:$B$166,2,FALSE)&amp;"|"&amp;VLOOKUP(Nutrients_from_current_land_use!$B$7,Value_look_up_tables!$A$126:$C$148,3,FALSE)&amp;"|"&amp;"DrainedArGr",Value_look_up_tables!$F$22:$H$122,3,FALSE))),IFERROR($B17*VLOOKUP($A17&amp;"|"&amp;VLOOKUP(Nutrients_from_current_land_use!$B$7,Value_look_up_tables!$A$126:$C$148,3,FALSE),Value_look_up_tables!$I$22:$K$114,3,FALSE),$B17*VLOOKUP($A17,Value_look_up_tables!$B$22:$M$114,12,FALSE)))))</f>
        <v>0</v>
      </c>
      <c r="D17" s="41" t="str">
        <f>IF(
OR(ISBLANK($A17),ISBLANK($B17),ISBLANK($B$6),ISBLANK($B$5),ISBLANK($B$7),$A17="Residential urban land",$A17="Commercial/industrial urban land",$A17="Open urban land",$A17="Greenspace",$A17="Community food growing",$A17="Woodland",$A17="Shrub",$A17="Water"),"Not applicable",IF(ISNUMBER(IFERROR($B17*VLOOKUP((IF(
OR($A17="Residential urban land",$A17="Commercial/industrial urban land",$A17="Open urban land",$A17="Greenspace",$A17="Community food growing",$A17="Woodland",$A17="Shrub",$A17="Water"),"|||"&amp;$A17,(VLOOKUP(Nutrients_from_current_land_use!$B$5,Value_look_up_tables!$A$152:$B$152,2,FALSE)&amp;"|"&amp;$A17&amp;"|"&amp;VLOOKUP(Nutrients_from_current_land_use!$B$8,Value_look_up_tables!$A$165:$B$166,2,FALSE)&amp;"|"&amp;VLOOKUP(Nutrients_from_current_land_use!$B$7,Value_look_up_tables!$A$126:$C$148,3,FALSE)&amp;"|"&amp;VLOOKUP($B$6,Value_look_up_tables!$A$156:$B$161,2,FALSE)))),Value_look_up_tables!$F$22:$H$122,3,FALSE),
IFERROR($B17*VLOOKUP($A17&amp;"|"&amp;VLOOKUP(Nutrients_from_current_land_use!$B$8,Value_look_up_tables!$A$165:$B$166,2,FALSE)&amp;"|"&amp;VLOOKUP(Nutrients_from_current_land_use!$B$7,Value_look_up_tables!$A$126:$C$148,3,FALSE)&amp;"|"&amp;VLOOKUP($B$6,Value_look_up_tables!$A$156:$B$161,2,FALSE),Value_look_up_tables!$F$22:$H$122,3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7" s="6"/>
      <c r="F17" s="6"/>
    </row>
    <row r="18" spans="1:6" ht="43" customHeight="1" x14ac:dyDescent="0.35">
      <c r="A18" s="48"/>
      <c r="B18" s="30"/>
      <c r="C18" s="50">
        <f>IF(OR(ISBLANK($A18),ISBLANK($B18),ISBLANK($B$6),ISBLANK($B$7)),0,IFERROR($B18*VLOOKUP((IF(OR($A18="Residential urban land",$A18="Commercial/industrial urban land",$A18="Open urban land",$A18="Greenspace",$A18="Community food growing",$A18="Woodland",$A18="Shrub", $A18="Water"), "|||"&amp;$A18, (VLOOKUP(Nutrients_from_current_land_use!$B$5,Value_look_up_tables!$A$152:$B$152,2,FALSE)&amp;"|"&amp;$A18&amp;"|"&amp;VLOOKUP(Nutrients_from_current_land_use!$B$8,Value_look_up_tables!$A$165:$B$166,2,FALSE)&amp;"|"&amp;VLOOKUP(Nutrients_from_current_land_use!$B$7,Value_look_up_tables!$A$126:$C$148,3,FALSE)&amp;"|"&amp;VLOOKUP($B$6,Value_look_up_tables!$A$156:$B$161,2,FALSE)))),Value_look_up_tables!$F$22:$H$122,3,FALSE),
IFERROR(IFERROR($B18*VLOOKUP($A18&amp;"|"&amp;VLOOKUP(Nutrients_from_current_land_use!$B$8,Value_look_up_tables!$A$165:$B$166,2,FALSE)&amp;"|"&amp;VLOOKUP(Nutrients_from_current_land_use!$B$7,Value_look_up_tables!$A$126:$C$148,3,FALSE)&amp;"|"&amp;VLOOKUP($B$6,Value_look_up_tables!$A$156:$B$161,2,FALSE),Value_look_up_tables!$F$22:$H$122,3,FALSE),IFERROR($B18*VLOOKUP($A18&amp;"|"&amp;"TRUE"&amp;"|"&amp;VLOOKUP(Nutrients_from_current_land_use!$B$7,Value_look_up_tables!$A$126:$C$148,3,FALSE)&amp;"|"&amp;VLOOKUP($B$6,Value_look_up_tables!$A$156:$B$161,2,FALSE),Value_look_up_tables!$F$22:$H$122,3,FALSE),$B18*VLOOKUP($A18&amp;"|"&amp;VLOOKUP(Nutrients_from_current_land_use!$B$8,Value_look_up_tables!$A$165:$B$166,2,FALSE)&amp;"|"&amp;VLOOKUP(Nutrients_from_current_land_use!$B$7,Value_look_up_tables!$A$126:$C$148,3,FALSE)&amp;"|"&amp;"DrainedArGr",Value_look_up_tables!$F$22:$H$122,3,FALSE))),IFERROR($B18*VLOOKUP($A18&amp;"|"&amp;VLOOKUP(Nutrients_from_current_land_use!$B$7,Value_look_up_tables!$A$126:$C$148,3,FALSE),Value_look_up_tables!$I$22:$K$114,3,FALSE),$B18*VLOOKUP($A18,Value_look_up_tables!$B$22:$M$114,12,FALSE)))))</f>
        <v>0</v>
      </c>
      <c r="D18" s="41" t="str">
        <f>IF(
OR(ISBLANK($A18),ISBLANK($B18),ISBLANK($B$6),ISBLANK($B$5),ISBLANK($B$7),$A18="Residential urban land",$A18="Commercial/industrial urban land",$A18="Open urban land",$A18="Greenspace",$A18="Community food growing",$A18="Woodland",$A18="Shrub",$A18="Water"),"Not applicable",IF(ISNUMBER(IFERROR($B18*VLOOKUP((IF(
OR($A18="Residential urban land",$A18="Commercial/industrial urban land",$A18="Open urban land",$A18="Greenspace",$A18="Community food growing",$A18="Woodland",$A18="Shrub",$A18="Water"),"|||"&amp;$A18,(VLOOKUP(Nutrients_from_current_land_use!$B$5,Value_look_up_tables!$A$152:$B$152,2,FALSE)&amp;"|"&amp;$A18&amp;"|"&amp;VLOOKUP(Nutrients_from_current_land_use!$B$8,Value_look_up_tables!$A$165:$B$166,2,FALSE)&amp;"|"&amp;VLOOKUP(Nutrients_from_current_land_use!$B$7,Value_look_up_tables!$A$126:$C$148,3,FALSE)&amp;"|"&amp;VLOOKUP($B$6,Value_look_up_tables!$A$156:$B$161,2,FALSE)))),Value_look_up_tables!$F$22:$H$122,3,FALSE),
IFERROR($B18*VLOOKUP($A18&amp;"|"&amp;VLOOKUP(Nutrients_from_current_land_use!$B$8,Value_look_up_tables!$A$165:$B$166,2,FALSE)&amp;"|"&amp;VLOOKUP(Nutrients_from_current_land_use!$B$7,Value_look_up_tables!$A$126:$C$148,3,FALSE)&amp;"|"&amp;VLOOKUP($B$6,Value_look_up_tables!$A$156:$B$161,2,FALSE),Value_look_up_tables!$F$22:$H$122,3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8" s="6"/>
      <c r="F18" s="6"/>
    </row>
    <row r="19" spans="1:6" ht="43" customHeight="1" x14ac:dyDescent="0.35">
      <c r="A19" s="48"/>
      <c r="B19" s="30"/>
      <c r="C19" s="50">
        <f>IF(OR(ISBLANK($A19),ISBLANK($B19),ISBLANK($B$6),ISBLANK($B$7)),0,IFERROR($B19*VLOOKUP((IF(OR($A19="Residential urban land",$A19="Commercial/industrial urban land",$A19="Open urban land",$A19="Greenspace",$A19="Community food growing",$A19="Woodland",$A19="Shrub", $A19="Water"), "|||"&amp;$A19, (VLOOKUP(Nutrients_from_current_land_use!$B$5,Value_look_up_tables!$A$152:$B$152,2,FALSE)&amp;"|"&amp;$A19&amp;"|"&amp;VLOOKUP(Nutrients_from_current_land_use!$B$8,Value_look_up_tables!$A$165:$B$166,2,FALSE)&amp;"|"&amp;VLOOKUP(Nutrients_from_current_land_use!$B$7,Value_look_up_tables!$A$126:$C$148,3,FALSE)&amp;"|"&amp;VLOOKUP($B$6,Value_look_up_tables!$A$156:$B$161,2,FALSE)))),Value_look_up_tables!$F$22:$H$122,3,FALSE),
IFERROR(IFERROR($B19*VLOOKUP($A19&amp;"|"&amp;VLOOKUP(Nutrients_from_current_land_use!$B$8,Value_look_up_tables!$A$165:$B$166,2,FALSE)&amp;"|"&amp;VLOOKUP(Nutrients_from_current_land_use!$B$7,Value_look_up_tables!$A$126:$C$148,3,FALSE)&amp;"|"&amp;VLOOKUP($B$6,Value_look_up_tables!$A$156:$B$161,2,FALSE),Value_look_up_tables!$F$22:$H$122,3,FALSE),IFERROR($B19*VLOOKUP($A19&amp;"|"&amp;"TRUE"&amp;"|"&amp;VLOOKUP(Nutrients_from_current_land_use!$B$7,Value_look_up_tables!$A$126:$C$148,3,FALSE)&amp;"|"&amp;VLOOKUP($B$6,Value_look_up_tables!$A$156:$B$161,2,FALSE),Value_look_up_tables!$F$22:$H$122,3,FALSE),$B19*VLOOKUP($A19&amp;"|"&amp;VLOOKUP(Nutrients_from_current_land_use!$B$8,Value_look_up_tables!$A$165:$B$166,2,FALSE)&amp;"|"&amp;VLOOKUP(Nutrients_from_current_land_use!$B$7,Value_look_up_tables!$A$126:$C$148,3,FALSE)&amp;"|"&amp;"DrainedArGr",Value_look_up_tables!$F$22:$H$122,3,FALSE))),IFERROR($B19*VLOOKUP($A19&amp;"|"&amp;VLOOKUP(Nutrients_from_current_land_use!$B$7,Value_look_up_tables!$A$126:$C$148,3,FALSE),Value_look_up_tables!$I$22:$K$114,3,FALSE),$B19*VLOOKUP($A19,Value_look_up_tables!$B$22:$M$114,12,FALSE)))))</f>
        <v>0</v>
      </c>
      <c r="D19" s="41" t="str">
        <f>IF(
OR(ISBLANK($A19),ISBLANK($B19),ISBLANK($B$6),ISBLANK($B$5),ISBLANK($B$7),$A19="Residential urban land",$A19="Commercial/industrial urban land",$A19="Open urban land",$A19="Greenspace",$A19="Community food growing",$A19="Woodland",$A19="Shrub",$A19="Water"),"Not applicable",IF(ISNUMBER(IFERROR($B19*VLOOKUP((IF(
OR($A19="Residential urban land",$A19="Commercial/industrial urban land",$A19="Open urban land",$A19="Greenspace",$A19="Community food growing",$A19="Woodland",$A19="Shrub",$A19="Water"),"|||"&amp;$A19,(VLOOKUP(Nutrients_from_current_land_use!$B$5,Value_look_up_tables!$A$152:$B$152,2,FALSE)&amp;"|"&amp;$A19&amp;"|"&amp;VLOOKUP(Nutrients_from_current_land_use!$B$8,Value_look_up_tables!$A$165:$B$166,2,FALSE)&amp;"|"&amp;VLOOKUP(Nutrients_from_current_land_use!$B$7,Value_look_up_tables!$A$126:$C$148,3,FALSE)&amp;"|"&amp;VLOOKUP($B$6,Value_look_up_tables!$A$156:$B$161,2,FALSE)))),Value_look_up_tables!$F$22:$H$122,3,FALSE),
IFERROR($B19*VLOOKUP($A19&amp;"|"&amp;VLOOKUP(Nutrients_from_current_land_use!$B$8,Value_look_up_tables!$A$165:$B$166,2,FALSE)&amp;"|"&amp;VLOOKUP(Nutrients_from_current_land_use!$B$7,Value_look_up_tables!$A$126:$C$148,3,FALSE)&amp;"|"&amp;VLOOKUP($B$6,Value_look_up_tables!$A$156:$B$161,2,FALSE),Value_look_up_tables!$F$22:$H$122,3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19" s="6"/>
      <c r="F19" s="6"/>
    </row>
    <row r="20" spans="1:6" ht="43" customHeight="1" x14ac:dyDescent="0.35">
      <c r="A20" s="48"/>
      <c r="B20" s="30"/>
      <c r="C20" s="50">
        <f>IF(OR(ISBLANK($A20),ISBLANK($B20),ISBLANK($B$6),ISBLANK($B$7)),0,IFERROR($B20*VLOOKUP((IF(OR($A20="Residential urban land",$A20="Commercial/industrial urban land",$A20="Open urban land",$A20="Greenspace",$A20="Community food growing",$A20="Woodland",$A20="Shrub", $A20="Water"), "|||"&amp;$A20, (VLOOKUP(Nutrients_from_current_land_use!$B$5,Value_look_up_tables!$A$152:$B$152,2,FALSE)&amp;"|"&amp;$A20&amp;"|"&amp;VLOOKUP(Nutrients_from_current_land_use!$B$8,Value_look_up_tables!$A$165:$B$166,2,FALSE)&amp;"|"&amp;VLOOKUP(Nutrients_from_current_land_use!$B$7,Value_look_up_tables!$A$126:$C$148,3,FALSE)&amp;"|"&amp;VLOOKUP($B$6,Value_look_up_tables!$A$156:$B$161,2,FALSE)))),Value_look_up_tables!$F$22:$H$122,3,FALSE),
IFERROR(IFERROR($B20*VLOOKUP($A20&amp;"|"&amp;VLOOKUP(Nutrients_from_current_land_use!$B$8,Value_look_up_tables!$A$165:$B$166,2,FALSE)&amp;"|"&amp;VLOOKUP(Nutrients_from_current_land_use!$B$7,Value_look_up_tables!$A$126:$C$148,3,FALSE)&amp;"|"&amp;VLOOKUP($B$6,Value_look_up_tables!$A$156:$B$161,2,FALSE),Value_look_up_tables!$F$22:$H$122,3,FALSE),IFERROR($B20*VLOOKUP($A20&amp;"|"&amp;"TRUE"&amp;"|"&amp;VLOOKUP(Nutrients_from_current_land_use!$B$7,Value_look_up_tables!$A$126:$C$148,3,FALSE)&amp;"|"&amp;VLOOKUP($B$6,Value_look_up_tables!$A$156:$B$161,2,FALSE),Value_look_up_tables!$F$22:$H$122,3,FALSE),$B20*VLOOKUP($A20&amp;"|"&amp;VLOOKUP(Nutrients_from_current_land_use!$B$8,Value_look_up_tables!$A$165:$B$166,2,FALSE)&amp;"|"&amp;VLOOKUP(Nutrients_from_current_land_use!$B$7,Value_look_up_tables!$A$126:$C$148,3,FALSE)&amp;"|"&amp;"DrainedArGr",Value_look_up_tables!$F$22:$H$122,3,FALSE))),IFERROR($B20*VLOOKUP($A20&amp;"|"&amp;VLOOKUP(Nutrients_from_current_land_use!$B$7,Value_look_up_tables!$A$126:$C$148,3,FALSE),Value_look_up_tables!$I$22:$K$114,3,FALSE),$B20*VLOOKUP($A20,Value_look_up_tables!$B$22:$M$114,12,FALSE)))))</f>
        <v>0</v>
      </c>
      <c r="D20" s="41" t="str">
        <f>IF(
OR(ISBLANK($A20),ISBLANK($B20),ISBLANK($B$6),ISBLANK($B$5),ISBLANK($B$7),$A20="Residential urban land",$A20="Commercial/industrial urban land",$A20="Open urban land",$A20="Greenspace",$A20="Community food growing",$A20="Woodland",$A20="Shrub",$A20="Water"),"Not applicable",IF(ISNUMBER(IFERROR($B20*VLOOKUP((IF(
OR($A20="Residential urban land",$A20="Commercial/industrial urban land",$A20="Open urban land",$A20="Greenspace",$A20="Community food growing",$A20="Woodland",$A20="Shrub",$A20="Water"),"|||"&amp;$A20,(VLOOKUP(Nutrients_from_current_land_use!$B$5,Value_look_up_tables!$A$152:$B$152,2,FALSE)&amp;"|"&amp;$A20&amp;"|"&amp;VLOOKUP(Nutrients_from_current_land_use!$B$8,Value_look_up_tables!$A$165:$B$166,2,FALSE)&amp;"|"&amp;VLOOKUP(Nutrients_from_current_land_use!$B$7,Value_look_up_tables!$A$126:$C$148,3,FALSE)&amp;"|"&amp;VLOOKUP($B$6,Value_look_up_tables!$A$156:$B$161,2,FALSE)))),Value_look_up_tables!$F$22:$H$122,3,FALSE),
IFERROR($B20*VLOOKUP($A20&amp;"|"&amp;VLOOKUP(Nutrients_from_current_land_use!$B$8,Value_look_up_tables!$A$165:$B$166,2,FALSE)&amp;"|"&amp;VLOOKUP(Nutrients_from_current_land_use!$B$7,Value_look_up_tables!$A$126:$C$148,3,FALSE)&amp;"|"&amp;VLOOKUP($B$6,Value_look_up_tables!$A$156:$B$161,2,FALSE),Value_look_up_tables!$F$22:$H$122,3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0" s="6"/>
      <c r="F20" s="6"/>
    </row>
    <row r="21" spans="1:6" ht="43" customHeight="1" x14ac:dyDescent="0.35">
      <c r="A21" s="48"/>
      <c r="B21" s="30"/>
      <c r="C21" s="50">
        <f>IF(OR(ISBLANK($A21),ISBLANK($B21),ISBLANK($B$6),ISBLANK($B$7)),0,IFERROR($B21*VLOOKUP((IF(OR($A21="Residential urban land",$A21="Commercial/industrial urban land",$A21="Open urban land",$A21="Greenspace",$A21="Community food growing",$A21="Woodland",$A21="Shrub", $A21="Water"), "|||"&amp;$A21, (VLOOKUP(Nutrients_from_current_land_use!$B$5,Value_look_up_tables!$A$152:$B$152,2,FALSE)&amp;"|"&amp;$A21&amp;"|"&amp;VLOOKUP(Nutrients_from_current_land_use!$B$8,Value_look_up_tables!$A$165:$B$166,2,FALSE)&amp;"|"&amp;VLOOKUP(Nutrients_from_current_land_use!$B$7,Value_look_up_tables!$A$126:$C$148,3,FALSE)&amp;"|"&amp;VLOOKUP($B$6,Value_look_up_tables!$A$156:$B$161,2,FALSE)))),Value_look_up_tables!$F$22:$H$122,3,FALSE),
IFERROR(IFERROR($B21*VLOOKUP($A21&amp;"|"&amp;VLOOKUP(Nutrients_from_current_land_use!$B$8,Value_look_up_tables!$A$165:$B$166,2,FALSE)&amp;"|"&amp;VLOOKUP(Nutrients_from_current_land_use!$B$7,Value_look_up_tables!$A$126:$C$148,3,FALSE)&amp;"|"&amp;VLOOKUP($B$6,Value_look_up_tables!$A$156:$B$161,2,FALSE),Value_look_up_tables!$F$22:$H$122,3,FALSE),IFERROR($B21*VLOOKUP($A21&amp;"|"&amp;"TRUE"&amp;"|"&amp;VLOOKUP(Nutrients_from_current_land_use!$B$7,Value_look_up_tables!$A$126:$C$148,3,FALSE)&amp;"|"&amp;VLOOKUP($B$6,Value_look_up_tables!$A$156:$B$161,2,FALSE),Value_look_up_tables!$F$22:$H$122,3,FALSE),$B21*VLOOKUP($A21&amp;"|"&amp;VLOOKUP(Nutrients_from_current_land_use!$B$8,Value_look_up_tables!$A$165:$B$166,2,FALSE)&amp;"|"&amp;VLOOKUP(Nutrients_from_current_land_use!$B$7,Value_look_up_tables!$A$126:$C$148,3,FALSE)&amp;"|"&amp;"DrainedArGr",Value_look_up_tables!$F$22:$H$122,3,FALSE))),IFERROR($B21*VLOOKUP($A21&amp;"|"&amp;VLOOKUP(Nutrients_from_current_land_use!$B$7,Value_look_up_tables!$A$126:$C$148,3,FALSE),Value_look_up_tables!$I$22:$K$114,3,FALSE),$B21*VLOOKUP($A21,Value_look_up_tables!$B$22:$M$114,12,FALSE)))))</f>
        <v>0</v>
      </c>
      <c r="D21" s="41" t="str">
        <f>IF(
OR(ISBLANK($A21),ISBLANK($B21),ISBLANK($B$6),ISBLANK($B$5),ISBLANK($B$7),$A21="Residential urban land",$A21="Commercial/industrial urban land",$A21="Open urban land",$A21="Greenspace",$A21="Community food growing",$A21="Woodland",$A21="Shrub",$A21="Water"),"Not applicable",IF(ISNUMBER(IFERROR($B21*VLOOKUP((IF(
OR($A21="Residential urban land",$A21="Commercial/industrial urban land",$A21="Open urban land",$A21="Greenspace",$A21="Community food growing",$A21="Woodland",$A21="Shrub",$A21="Water"),"|||"&amp;$A21,(VLOOKUP(Nutrients_from_current_land_use!$B$5,Value_look_up_tables!$A$152:$B$152,2,FALSE)&amp;"|"&amp;$A21&amp;"|"&amp;VLOOKUP(Nutrients_from_current_land_use!$B$8,Value_look_up_tables!$A$165:$B$166,2,FALSE)&amp;"|"&amp;VLOOKUP(Nutrients_from_current_land_use!$B$7,Value_look_up_tables!$A$126:$C$148,3,FALSE)&amp;"|"&amp;VLOOKUP($B$6,Value_look_up_tables!$A$156:$B$161,2,FALSE)))),Value_look_up_tables!$F$22:$H$122,3,FALSE),
IFERROR($B21*VLOOKUP($A21&amp;"|"&amp;VLOOKUP(Nutrients_from_current_land_use!$B$8,Value_look_up_tables!$A$165:$B$166,2,FALSE)&amp;"|"&amp;VLOOKUP(Nutrients_from_current_land_use!$B$7,Value_look_up_tables!$A$126:$C$148,3,FALSE)&amp;"|"&amp;VLOOKUP($B$6,Value_look_up_tables!$A$156:$B$161,2,FALSE),Value_look_up_tables!$F$22:$H$122,3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1" s="6"/>
      <c r="F21" s="6"/>
    </row>
    <row r="22" spans="1:6" ht="43" customHeight="1" x14ac:dyDescent="0.35">
      <c r="A22" s="48"/>
      <c r="B22" s="30"/>
      <c r="C22" s="50">
        <f>IF(OR(ISBLANK($A22),ISBLANK($B22),ISBLANK($B$6),ISBLANK($B$7)),0,IFERROR($B22*VLOOKUP((IF(OR($A22="Residential urban land",$A22="Commercial/industrial urban land",$A22="Open urban land",$A22="Greenspace",$A22="Community food growing",$A22="Woodland",$A22="Shrub", $A22="Water"), "|||"&amp;$A22, (VLOOKUP(Nutrients_from_current_land_use!$B$5,Value_look_up_tables!$A$152:$B$152,2,FALSE)&amp;"|"&amp;$A22&amp;"|"&amp;VLOOKUP(Nutrients_from_current_land_use!$B$8,Value_look_up_tables!$A$165:$B$166,2,FALSE)&amp;"|"&amp;VLOOKUP(Nutrients_from_current_land_use!$B$7,Value_look_up_tables!$A$126:$C$148,3,FALSE)&amp;"|"&amp;VLOOKUP($B$6,Value_look_up_tables!$A$156:$B$161,2,FALSE)))),Value_look_up_tables!$F$22:$H$122,3,FALSE),
IFERROR(IFERROR($B22*VLOOKUP($A22&amp;"|"&amp;VLOOKUP(Nutrients_from_current_land_use!$B$8,Value_look_up_tables!$A$165:$B$166,2,FALSE)&amp;"|"&amp;VLOOKUP(Nutrients_from_current_land_use!$B$7,Value_look_up_tables!$A$126:$C$148,3,FALSE)&amp;"|"&amp;VLOOKUP($B$6,Value_look_up_tables!$A$156:$B$161,2,FALSE),Value_look_up_tables!$F$22:$H$122,3,FALSE),IFERROR($B22*VLOOKUP($A22&amp;"|"&amp;"TRUE"&amp;"|"&amp;VLOOKUP(Nutrients_from_current_land_use!$B$7,Value_look_up_tables!$A$126:$C$148,3,FALSE)&amp;"|"&amp;VLOOKUP($B$6,Value_look_up_tables!$A$156:$B$161,2,FALSE),Value_look_up_tables!$F$22:$H$122,3,FALSE),$B22*VLOOKUP($A22&amp;"|"&amp;VLOOKUP(Nutrients_from_current_land_use!$B$8,Value_look_up_tables!$A$165:$B$166,2,FALSE)&amp;"|"&amp;VLOOKUP(Nutrients_from_current_land_use!$B$7,Value_look_up_tables!$A$126:$C$148,3,FALSE)&amp;"|"&amp;"DrainedArGr",Value_look_up_tables!$F$22:$H$122,3,FALSE))),IFERROR($B22*VLOOKUP($A22&amp;"|"&amp;VLOOKUP(Nutrients_from_current_land_use!$B$7,Value_look_up_tables!$A$126:$C$148,3,FALSE),Value_look_up_tables!$I$22:$K$114,3,FALSE),$B22*VLOOKUP($A22,Value_look_up_tables!$B$22:$M$114,12,FALSE)))))</f>
        <v>0</v>
      </c>
      <c r="D22" s="41" t="str">
        <f>IF(
OR(ISBLANK($A22),ISBLANK($B22),ISBLANK($B$6),ISBLANK($B$5),ISBLANK($B$7),$A22="Residential urban land",$A22="Commercial/industrial urban land",$A22="Open urban land",$A22="Greenspace",$A22="Community food growing",$A22="Woodland",$A22="Shrub",$A22="Water"),"Not applicable",IF(ISNUMBER(IFERROR($B22*VLOOKUP((IF(
OR($A22="Residential urban land",$A22="Commercial/industrial urban land",$A22="Open urban land",$A22="Greenspace",$A22="Community food growing",$A22="Woodland",$A22="Shrub",$A22="Water"),"|||"&amp;$A22,(VLOOKUP(Nutrients_from_current_land_use!$B$5,Value_look_up_tables!$A$152:$B$152,2,FALSE)&amp;"|"&amp;$A22&amp;"|"&amp;VLOOKUP(Nutrients_from_current_land_use!$B$8,Value_look_up_tables!$A$165:$B$166,2,FALSE)&amp;"|"&amp;VLOOKUP(Nutrients_from_current_land_use!$B$7,Value_look_up_tables!$A$126:$C$148,3,FALSE)&amp;"|"&amp;VLOOKUP($B$6,Value_look_up_tables!$A$156:$B$161,2,FALSE)))),Value_look_up_tables!$F$22:$H$122,3,FALSE),
IFERROR($B22*VLOOKUP($A22&amp;"|"&amp;VLOOKUP(Nutrients_from_current_land_use!$B$8,Value_look_up_tables!$A$165:$B$166,2,FALSE)&amp;"|"&amp;VLOOKUP(Nutrients_from_current_land_use!$B$7,Value_look_up_tables!$A$126:$C$148,3,FALSE)&amp;"|"&amp;VLOOKUP($B$6,Value_look_up_tables!$A$156:$B$161,2,FALSE),Value_look_up_tables!$F$22:$H$122,3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2" s="6"/>
      <c r="F22" s="39"/>
    </row>
    <row r="23" spans="1:6" ht="43" customHeight="1" x14ac:dyDescent="0.35">
      <c r="A23" s="48"/>
      <c r="B23" s="30"/>
      <c r="C23" s="50">
        <f>IF(OR(ISBLANK($A23),ISBLANK($B23),ISBLANK($B$6),ISBLANK($B$7)),0,IFERROR($B23*VLOOKUP((IF(OR($A23="Residential urban land",$A23="Commercial/industrial urban land",$A23="Open urban land",$A23="Greenspace",$A23="Community food growing",$A23="Woodland",$A23="Shrub", $A23="Water"), "|||"&amp;$A23, (VLOOKUP(Nutrients_from_current_land_use!$B$5,Value_look_up_tables!$A$152:$B$152,2,FALSE)&amp;"|"&amp;$A23&amp;"|"&amp;VLOOKUP(Nutrients_from_current_land_use!$B$8,Value_look_up_tables!$A$165:$B$166,2,FALSE)&amp;"|"&amp;VLOOKUP(Nutrients_from_current_land_use!$B$7,Value_look_up_tables!$A$126:$C$148,3,FALSE)&amp;"|"&amp;VLOOKUP($B$6,Value_look_up_tables!$A$156:$B$161,2,FALSE)))),Value_look_up_tables!$F$22:$H$122,3,FALSE),
IFERROR(IFERROR($B23*VLOOKUP($A23&amp;"|"&amp;VLOOKUP(Nutrients_from_current_land_use!$B$8,Value_look_up_tables!$A$165:$B$166,2,FALSE)&amp;"|"&amp;VLOOKUP(Nutrients_from_current_land_use!$B$7,Value_look_up_tables!$A$126:$C$148,3,FALSE)&amp;"|"&amp;VLOOKUP($B$6,Value_look_up_tables!$A$156:$B$161,2,FALSE),Value_look_up_tables!$F$22:$H$122,3,FALSE),IFERROR($B23*VLOOKUP($A23&amp;"|"&amp;"TRUE"&amp;"|"&amp;VLOOKUP(Nutrients_from_current_land_use!$B$7,Value_look_up_tables!$A$126:$C$148,3,FALSE)&amp;"|"&amp;VLOOKUP($B$6,Value_look_up_tables!$A$156:$B$161,2,FALSE),Value_look_up_tables!$F$22:$H$122,3,FALSE),$B23*VLOOKUP($A23&amp;"|"&amp;VLOOKUP(Nutrients_from_current_land_use!$B$8,Value_look_up_tables!$A$165:$B$166,2,FALSE)&amp;"|"&amp;VLOOKUP(Nutrients_from_current_land_use!$B$7,Value_look_up_tables!$A$126:$C$148,3,FALSE)&amp;"|"&amp;"DrainedArGr",Value_look_up_tables!$F$22:$H$122,3,FALSE))),IFERROR($B23*VLOOKUP($A23&amp;"|"&amp;VLOOKUP(Nutrients_from_current_land_use!$B$7,Value_look_up_tables!$A$126:$C$148,3,FALSE),Value_look_up_tables!$I$22:$K$114,3,FALSE),$B23*VLOOKUP($A23,Value_look_up_tables!$B$22:$M$114,12,FALSE)))))</f>
        <v>0</v>
      </c>
      <c r="D23" s="41" t="str">
        <f>IF(
OR(ISBLANK($A23),ISBLANK($B23),ISBLANK($B$6),ISBLANK($B$5),ISBLANK($B$7),$A23="Residential urban land",$A23="Commercial/industrial urban land",$A23="Open urban land",$A23="Greenspace",$A23="Community food growing",$A23="Woodland",$A23="Shrub",$A23="Water"),"Not applicable",IF(ISNUMBER(IFERROR($B23*VLOOKUP((IF(
OR($A23="Residential urban land",$A23="Commercial/industrial urban land",$A23="Open urban land",$A23="Greenspace",$A23="Community food growing",$A23="Woodland",$A23="Shrub",$A23="Water"),"|||"&amp;$A23,(VLOOKUP(Nutrients_from_current_land_use!$B$5,Value_look_up_tables!$A$152:$B$152,2,FALSE)&amp;"|"&amp;$A23&amp;"|"&amp;VLOOKUP(Nutrients_from_current_land_use!$B$8,Value_look_up_tables!$A$165:$B$166,2,FALSE)&amp;"|"&amp;VLOOKUP(Nutrients_from_current_land_use!$B$7,Value_look_up_tables!$A$126:$C$148,3,FALSE)&amp;"|"&amp;VLOOKUP($B$6,Value_look_up_tables!$A$156:$B$161,2,FALSE)))),Value_look_up_tables!$F$22:$H$122,3,FALSE),
IFERROR($B23*VLOOKUP($A23&amp;"|"&amp;VLOOKUP(Nutrients_from_current_land_use!$B$8,Value_look_up_tables!$A$165:$B$166,2,FALSE)&amp;"|"&amp;VLOOKUP(Nutrients_from_current_land_use!$B$7,Value_look_up_tables!$A$126:$C$148,3,FALSE)&amp;"|"&amp;VLOOKUP($B$6,Value_look_up_tables!$A$156:$B$161,2,FALSE),Value_look_up_tables!$F$22:$H$122,3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3" s="6"/>
      <c r="F23" s="6"/>
    </row>
    <row r="24" spans="1:6" ht="43" customHeight="1" x14ac:dyDescent="0.35">
      <c r="A24" s="48"/>
      <c r="B24" s="30"/>
      <c r="C24" s="50">
        <f>IF(OR(ISBLANK($A24),ISBLANK($B24),ISBLANK($B$6),ISBLANK($B$7)),0,IFERROR($B24*VLOOKUP((IF(OR($A24="Residential urban land",$A24="Commercial/industrial urban land",$A24="Open urban land",$A24="Greenspace",$A24="Community food growing",$A24="Woodland",$A24="Shrub", $A24="Water"), "|||"&amp;$A24, (VLOOKUP(Nutrients_from_current_land_use!$B$5,Value_look_up_tables!$A$152:$B$152,2,FALSE)&amp;"|"&amp;$A24&amp;"|"&amp;VLOOKUP(Nutrients_from_current_land_use!$B$8,Value_look_up_tables!$A$165:$B$166,2,FALSE)&amp;"|"&amp;VLOOKUP(Nutrients_from_current_land_use!$B$7,Value_look_up_tables!$A$126:$C$148,3,FALSE)&amp;"|"&amp;VLOOKUP($B$6,Value_look_up_tables!$A$156:$B$161,2,FALSE)))),Value_look_up_tables!$F$22:$H$122,3,FALSE),
IFERROR(IFERROR($B24*VLOOKUP($A24&amp;"|"&amp;VLOOKUP(Nutrients_from_current_land_use!$B$8,Value_look_up_tables!$A$165:$B$166,2,FALSE)&amp;"|"&amp;VLOOKUP(Nutrients_from_current_land_use!$B$7,Value_look_up_tables!$A$126:$C$148,3,FALSE)&amp;"|"&amp;VLOOKUP($B$6,Value_look_up_tables!$A$156:$B$161,2,FALSE),Value_look_up_tables!$F$22:$H$122,3,FALSE),IFERROR($B24*VLOOKUP($A24&amp;"|"&amp;"TRUE"&amp;"|"&amp;VLOOKUP(Nutrients_from_current_land_use!$B$7,Value_look_up_tables!$A$126:$C$148,3,FALSE)&amp;"|"&amp;VLOOKUP($B$6,Value_look_up_tables!$A$156:$B$161,2,FALSE),Value_look_up_tables!$F$22:$H$122,3,FALSE),$B24*VLOOKUP($A24&amp;"|"&amp;VLOOKUP(Nutrients_from_current_land_use!$B$8,Value_look_up_tables!$A$165:$B$166,2,FALSE)&amp;"|"&amp;VLOOKUP(Nutrients_from_current_land_use!$B$7,Value_look_up_tables!$A$126:$C$148,3,FALSE)&amp;"|"&amp;"DrainedArGr",Value_look_up_tables!$F$22:$H$122,3,FALSE))),IFERROR($B24*VLOOKUP($A24&amp;"|"&amp;VLOOKUP(Nutrients_from_current_land_use!$B$7,Value_look_up_tables!$A$126:$C$148,3,FALSE),Value_look_up_tables!$I$22:$K$114,3,FALSE),$B24*VLOOKUP($A24,Value_look_up_tables!$B$22:$M$114,12,FALSE)))))</f>
        <v>0</v>
      </c>
      <c r="D24" s="41" t="str">
        <f>IF(
OR(ISBLANK($A24),ISBLANK($B24),ISBLANK($B$6),ISBLANK($B$5),ISBLANK($B$7),$A24="Residential urban land",$A24="Commercial/industrial urban land",$A24="Open urban land",$A24="Greenspace",$A24="Community food growing",$A24="Woodland",$A24="Shrub",$A24="Water"),"Not applicable",IF(ISNUMBER(IFERROR($B24*VLOOKUP((IF(
OR($A24="Residential urban land",$A24="Commercial/industrial urban land",$A24="Open urban land",$A24="Greenspace",$A24="Community food growing",$A24="Woodland",$A24="Shrub",$A24="Water"),"|||"&amp;$A24,(VLOOKUP(Nutrients_from_current_land_use!$B$5,Value_look_up_tables!$A$152:$B$152,2,FALSE)&amp;"|"&amp;$A24&amp;"|"&amp;VLOOKUP(Nutrients_from_current_land_use!$B$8,Value_look_up_tables!$A$165:$B$166,2,FALSE)&amp;"|"&amp;VLOOKUP(Nutrients_from_current_land_use!$B$7,Value_look_up_tables!$A$126:$C$148,3,FALSE)&amp;"|"&amp;VLOOKUP($B$6,Value_look_up_tables!$A$156:$B$161,2,FALSE)))),Value_look_up_tables!$F$22:$H$122,3,FALSE),
IFERROR($B24*VLOOKUP($A24&amp;"|"&amp;VLOOKUP(Nutrients_from_current_land_use!$B$8,Value_look_up_tables!$A$165:$B$166,2,FALSE)&amp;"|"&amp;VLOOKUP(Nutrients_from_current_land_use!$B$7,Value_look_up_tables!$A$126:$C$148,3,FALSE)&amp;"|"&amp;VLOOKUP($B$6,Value_look_up_tables!$A$156:$B$161,2,FALSE),Value_look_up_tables!$F$22:$H$122,3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4" s="6"/>
      <c r="F24" s="6"/>
    </row>
    <row r="25" spans="1:6" ht="43" customHeight="1" x14ac:dyDescent="0.35">
      <c r="A25" s="48"/>
      <c r="B25" s="30"/>
      <c r="C25" s="50">
        <f>IF(OR(ISBLANK($A25),ISBLANK($B25),ISBLANK($B$6),ISBLANK($B$7)),0,IFERROR($B25*VLOOKUP((IF(OR($A25="Residential urban land",$A25="Commercial/industrial urban land",$A25="Open urban land",$A25="Greenspace",$A25="Community food growing",$A25="Woodland",$A25="Shrub", $A25="Water"), "|||"&amp;$A25, (VLOOKUP(Nutrients_from_current_land_use!$B$5,Value_look_up_tables!$A$152:$B$152,2,FALSE)&amp;"|"&amp;$A25&amp;"|"&amp;VLOOKUP(Nutrients_from_current_land_use!$B$8,Value_look_up_tables!$A$165:$B$166,2,FALSE)&amp;"|"&amp;VLOOKUP(Nutrients_from_current_land_use!$B$7,Value_look_up_tables!$A$126:$C$148,3,FALSE)&amp;"|"&amp;VLOOKUP($B$6,Value_look_up_tables!$A$156:$B$161,2,FALSE)))),Value_look_up_tables!$F$22:$H$122,3,FALSE),
IFERROR(IFERROR($B25*VLOOKUP($A25&amp;"|"&amp;VLOOKUP(Nutrients_from_current_land_use!$B$8,Value_look_up_tables!$A$165:$B$166,2,FALSE)&amp;"|"&amp;VLOOKUP(Nutrients_from_current_land_use!$B$7,Value_look_up_tables!$A$126:$C$148,3,FALSE)&amp;"|"&amp;VLOOKUP($B$6,Value_look_up_tables!$A$156:$B$161,2,FALSE),Value_look_up_tables!$F$22:$H$122,3,FALSE),IFERROR($B25*VLOOKUP($A25&amp;"|"&amp;"TRUE"&amp;"|"&amp;VLOOKUP(Nutrients_from_current_land_use!$B$7,Value_look_up_tables!$A$126:$C$148,3,FALSE)&amp;"|"&amp;VLOOKUP($B$6,Value_look_up_tables!$A$156:$B$161,2,FALSE),Value_look_up_tables!$F$22:$H$122,3,FALSE),$B25*VLOOKUP($A25&amp;"|"&amp;VLOOKUP(Nutrients_from_current_land_use!$B$8,Value_look_up_tables!$A$165:$B$166,2,FALSE)&amp;"|"&amp;VLOOKUP(Nutrients_from_current_land_use!$B$7,Value_look_up_tables!$A$126:$C$148,3,FALSE)&amp;"|"&amp;"DrainedArGr",Value_look_up_tables!$F$22:$H$122,3,FALSE))),IFERROR($B25*VLOOKUP($A25&amp;"|"&amp;VLOOKUP(Nutrients_from_current_land_use!$B$7,Value_look_up_tables!$A$126:$C$148,3,FALSE),Value_look_up_tables!$I$22:$K$114,3,FALSE),$B25*VLOOKUP($A25,Value_look_up_tables!$B$22:$M$114,12,FALSE)))))</f>
        <v>0</v>
      </c>
      <c r="D25" s="41" t="str">
        <f>IF(
OR(ISBLANK($A25),ISBLANK($B25),ISBLANK($B$6),ISBLANK($B$5),ISBLANK($B$7),$A25="Residential urban land",$A25="Commercial/industrial urban land",$A25="Open urban land",$A25="Greenspace",$A25="Community food growing",$A25="Woodland",$A25="Shrub",$A25="Water"),"Not applicable",IF(ISNUMBER(IFERROR($B25*VLOOKUP((IF(
OR($A25="Residential urban land",$A25="Commercial/industrial urban land",$A25="Open urban land",$A25="Greenspace",$A25="Community food growing",$A25="Woodland",$A25="Shrub",$A25="Water"),"|||"&amp;$A25,(VLOOKUP(Nutrients_from_current_land_use!$B$5,Value_look_up_tables!$A$152:$B$152,2,FALSE)&amp;"|"&amp;$A25&amp;"|"&amp;VLOOKUP(Nutrients_from_current_land_use!$B$8,Value_look_up_tables!$A$165:$B$166,2,FALSE)&amp;"|"&amp;VLOOKUP(Nutrients_from_current_land_use!$B$7,Value_look_up_tables!$A$126:$C$148,3,FALSE)&amp;"|"&amp;VLOOKUP($B$6,Value_look_up_tables!$A$156:$B$161,2,FALSE)))),Value_look_up_tables!$F$22:$H$122,3,FALSE),
IFERROR($B25*VLOOKUP($A25&amp;"|"&amp;VLOOKUP(Nutrients_from_current_land_use!$B$8,Value_look_up_tables!$A$165:$B$166,2,FALSE)&amp;"|"&amp;VLOOKUP(Nutrients_from_current_land_use!$B$7,Value_look_up_tables!$A$126:$C$148,3,FALSE)&amp;"|"&amp;VLOOKUP($B$6,Value_look_up_tables!$A$156:$B$161,2,FALSE),Value_look_up_tables!$F$22:$H$122,3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c r="E25" s="6"/>
      <c r="F25" s="6"/>
    </row>
    <row r="26" spans="1:6" ht="43" customHeight="1" x14ac:dyDescent="0.35">
      <c r="A26" s="48"/>
      <c r="B26" s="30"/>
      <c r="C26" s="50">
        <f>IF(OR(ISBLANK($A26),ISBLANK($B26),ISBLANK($B$6),ISBLANK($B$7)),0,IFERROR($B26*VLOOKUP((IF(OR($A26="Residential urban land",$A26="Commercial/industrial urban land",$A26="Open urban land",$A26="Greenspace",$A26="Community food growing",$A26="Woodland",$A26="Shrub", $A26="Water"), "|||"&amp;$A26, (VLOOKUP(Nutrients_from_current_land_use!$B$5,Value_look_up_tables!$A$152:$B$152,2,FALSE)&amp;"|"&amp;$A26&amp;"|"&amp;VLOOKUP(Nutrients_from_current_land_use!$B$8,Value_look_up_tables!$A$165:$B$166,2,FALSE)&amp;"|"&amp;VLOOKUP(Nutrients_from_current_land_use!$B$7,Value_look_up_tables!$A$126:$C$148,3,FALSE)&amp;"|"&amp;VLOOKUP($B$6,Value_look_up_tables!$A$156:$B$161,2,FALSE)))),Value_look_up_tables!$F$22:$H$122,3,FALSE),
IFERROR(IFERROR($B26*VLOOKUP($A26&amp;"|"&amp;VLOOKUP(Nutrients_from_current_land_use!$B$8,Value_look_up_tables!$A$165:$B$166,2,FALSE)&amp;"|"&amp;VLOOKUP(Nutrients_from_current_land_use!$B$7,Value_look_up_tables!$A$126:$C$148,3,FALSE)&amp;"|"&amp;VLOOKUP($B$6,Value_look_up_tables!$A$156:$B$161,2,FALSE),Value_look_up_tables!$F$22:$H$122,3,FALSE),IFERROR($B26*VLOOKUP($A26&amp;"|"&amp;"TRUE"&amp;"|"&amp;VLOOKUP(Nutrients_from_current_land_use!$B$7,Value_look_up_tables!$A$126:$C$148,3,FALSE)&amp;"|"&amp;VLOOKUP($B$6,Value_look_up_tables!$A$156:$B$161,2,FALSE),Value_look_up_tables!$F$22:$H$122,3,FALSE),$B26*VLOOKUP($A26&amp;"|"&amp;VLOOKUP(Nutrients_from_current_land_use!$B$8,Value_look_up_tables!$A$165:$B$166,2,FALSE)&amp;"|"&amp;VLOOKUP(Nutrients_from_current_land_use!$B$7,Value_look_up_tables!$A$126:$C$148,3,FALSE)&amp;"|"&amp;"DrainedArGr",Value_look_up_tables!$F$22:$H$122,3,FALSE))),IFERROR($B26*VLOOKUP($A26&amp;"|"&amp;VLOOKUP(Nutrients_from_current_land_use!$B$7,Value_look_up_tables!$A$126:$C$148,3,FALSE),Value_look_up_tables!$I$22:$K$114,3,FALSE),$B26*VLOOKUP($A26,Value_look_up_tables!$B$22:$M$114,12,FALSE)))))</f>
        <v>0</v>
      </c>
      <c r="D26" s="41" t="str">
        <f>IF(
OR(ISBLANK($A26),ISBLANK($B26),ISBLANK($B$6),ISBLANK($B$5),ISBLANK($B$7),$A26="Residential urban land",$A26="Commercial/industrial urban land",$A26="Open urban land",$A26="Greenspace",$A26="Community food growing",$A26="Woodland",$A26="Shrub",$A26="Water"),"Not applicable",IF(ISNUMBER(IFERROR($B26*VLOOKUP((IF(
OR($A26="Residential urban land",$A26="Commercial/industrial urban land",$A26="Open urban land",$A26="Greenspace",$A26="Community food growing",$A26="Woodland",$A26="Shrub",$A26="Water"),"|||"&amp;$A26,(VLOOKUP(Nutrients_from_current_land_use!$B$5,Value_look_up_tables!$A$152:$B$152,2,FALSE)&amp;"|"&amp;$A26&amp;"|"&amp;VLOOKUP(Nutrients_from_current_land_use!$B$8,Value_look_up_tables!$A$165:$B$166,2,FALSE)&amp;"|"&amp;VLOOKUP(Nutrients_from_current_land_use!$B$7,Value_look_up_tables!$A$126:$C$148,3,FALSE)&amp;"|"&amp;VLOOKUP($B$6,Value_look_up_tables!$A$156:$B$161,2,FALSE)))),Value_look_up_tables!$F$22:$H$122,3,FALSE),
IFERROR($B26*VLOOKUP($A26&amp;"|"&amp;VLOOKUP(Nutrients_from_current_land_use!$B$8,Value_look_up_tables!$A$165:$B$166,2,FALSE)&amp;"|"&amp;VLOOKUP(Nutrients_from_current_land_use!$B$7,Value_look_up_tables!$A$126:$C$148,3,FALSE)&amp;"|"&amp;VLOOKUP($B$6,Value_look_up_tables!$A$156:$B$161,2,FALSE),Value_look_up_tables!$F$22:$H$122,3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7" spans="1:6" ht="43" customHeight="1" x14ac:dyDescent="0.35">
      <c r="A27" s="48"/>
      <c r="B27" s="30"/>
      <c r="C27" s="50">
        <f>IF(OR(ISBLANK($A27),ISBLANK($B27),ISBLANK($B$6),ISBLANK($B$7)),0,IFERROR($B27*VLOOKUP((IF(OR($A27="Residential urban land",$A27="Commercial/industrial urban land",$A27="Open urban land",$A27="Greenspace",$A27="Community food growing",$A27="Woodland",$A27="Shrub", $A27="Water"), "|||"&amp;$A27, (VLOOKUP(Nutrients_from_current_land_use!$B$5,Value_look_up_tables!$A$152:$B$152,2,FALSE)&amp;"|"&amp;$A27&amp;"|"&amp;VLOOKUP(Nutrients_from_current_land_use!$B$8,Value_look_up_tables!$A$165:$B$166,2,FALSE)&amp;"|"&amp;VLOOKUP(Nutrients_from_current_land_use!$B$7,Value_look_up_tables!$A$126:$C$148,3,FALSE)&amp;"|"&amp;VLOOKUP($B$6,Value_look_up_tables!$A$156:$B$161,2,FALSE)))),Value_look_up_tables!$F$22:$H$122,3,FALSE),
IFERROR(IFERROR($B27*VLOOKUP($A27&amp;"|"&amp;VLOOKUP(Nutrients_from_current_land_use!$B$8,Value_look_up_tables!$A$165:$B$166,2,FALSE)&amp;"|"&amp;VLOOKUP(Nutrients_from_current_land_use!$B$7,Value_look_up_tables!$A$126:$C$148,3,FALSE)&amp;"|"&amp;VLOOKUP($B$6,Value_look_up_tables!$A$156:$B$161,2,FALSE),Value_look_up_tables!$F$22:$H$122,3,FALSE),IFERROR($B27*VLOOKUP($A27&amp;"|"&amp;"TRUE"&amp;"|"&amp;VLOOKUP(Nutrients_from_current_land_use!$B$7,Value_look_up_tables!$A$126:$C$148,3,FALSE)&amp;"|"&amp;VLOOKUP($B$6,Value_look_up_tables!$A$156:$B$161,2,FALSE),Value_look_up_tables!$F$22:$H$122,3,FALSE),$B27*VLOOKUP($A27&amp;"|"&amp;VLOOKUP(Nutrients_from_current_land_use!$B$8,Value_look_up_tables!$A$165:$B$166,2,FALSE)&amp;"|"&amp;VLOOKUP(Nutrients_from_current_land_use!$B$7,Value_look_up_tables!$A$126:$C$148,3,FALSE)&amp;"|"&amp;"DrainedArGr",Value_look_up_tables!$F$22:$H$122,3,FALSE))),IFERROR($B27*VLOOKUP($A27&amp;"|"&amp;VLOOKUP(Nutrients_from_current_land_use!$B$7,Value_look_up_tables!$A$126:$C$148,3,FALSE),Value_look_up_tables!$I$22:$K$114,3,FALSE),$B27*VLOOKUP($A27,Value_look_up_tables!$B$22:$M$114,12,FALSE)))))</f>
        <v>0</v>
      </c>
      <c r="D27" s="41" t="str">
        <f>IF(
OR(ISBLANK($A27),ISBLANK($B27),ISBLANK($B$6),ISBLANK($B$5),ISBLANK($B$7),$A27="Residential urban land",$A27="Commercial/industrial urban land",$A27="Open urban land",$A27="Greenspace",$A27="Community food growing",$A27="Woodland",$A27="Shrub",$A27="Water"),"Not applicable",IF(ISNUMBER(IFERROR($B27*VLOOKUP((IF(
OR($A27="Residential urban land",$A27="Commercial/industrial urban land",$A27="Open urban land",$A27="Greenspace",$A27="Community food growing",$A27="Woodland",$A27="Shrub",$A27="Water"),"|||"&amp;$A27,(VLOOKUP(Nutrients_from_current_land_use!$B$5,Value_look_up_tables!$A$152:$B$152,2,FALSE)&amp;"|"&amp;$A27&amp;"|"&amp;VLOOKUP(Nutrients_from_current_land_use!$B$8,Value_look_up_tables!$A$165:$B$166,2,FALSE)&amp;"|"&amp;VLOOKUP(Nutrients_from_current_land_use!$B$7,Value_look_up_tables!$A$126:$C$148,3,FALSE)&amp;"|"&amp;VLOOKUP($B$6,Value_look_up_tables!$A$156:$B$161,2,FALSE)))),Value_look_up_tables!$F$22:$H$122,3,FALSE),
IFERROR($B27*VLOOKUP($A27&amp;"|"&amp;VLOOKUP(Nutrients_from_current_land_use!$B$8,Value_look_up_tables!$A$165:$B$166,2,FALSE)&amp;"|"&amp;VLOOKUP(Nutrients_from_current_land_use!$B$7,Value_look_up_tables!$A$126:$C$148,3,FALSE)&amp;"|"&amp;VLOOKUP($B$6,Value_look_up_tables!$A$156:$B$161,2,FALSE),Value_look_up_tables!$F$22:$H$122,3,FALSE),"In the absence of real world data, this figure has been generated using the most relevant average nutrient export coefficient."))),"Not applicable","In the absence of real world data, this figure has been generated using the most relevant average nutrient export coefficient."))</f>
        <v>Not applicable</v>
      </c>
    </row>
    <row r="28" spans="1:6" ht="24" customHeight="1" x14ac:dyDescent="0.35">
      <c r="A28" s="3" t="s">
        <v>92</v>
      </c>
      <c r="B28" s="42">
        <f>SUM(B11:B27)</f>
        <v>0</v>
      </c>
      <c r="C28" s="42">
        <f>SUM(C11:C27)</f>
        <v>0</v>
      </c>
      <c r="D28" s="49"/>
    </row>
    <row r="30" spans="1:6" x14ac:dyDescent="0.35">
      <c r="F30" s="43"/>
    </row>
  </sheetData>
  <sheetProtection algorithmName="SHA-512" hashValue="F6TjGVEUyR08KAmParhU4Oj6YfaFVdWj4QXno8XbGS7cM39NrjdBBDo+2eh7HyNrOucTMoqLxHLfD5MOZKt4Cw==" saltValue="HVUFfqv5Drmz8/qPSuSW1w==" spinCount="100000" sheet="1" objects="1" scenarios="1"/>
  <protectedRanges>
    <protectedRange algorithmName="SHA-512" hashValue="6MaqfLmjxE2CMsYMEtptASTKbC7XykMYNd+AlVy+V2v/64BykwcwkRmAkImBIYM0n+Am+TaTWEeHGgFZHNJWgA==" saltValue="1lVOneDC33VcvqS0774YtQ==" spinCount="100000" sqref="B5:B8 A11:B27" name="Range1"/>
  </protectedRanges>
  <conditionalFormatting sqref="D11:D27">
    <cfRule type="expression" dxfId="0" priority="14">
      <formula>($D11="In the absence of real world data, this figure has been generated using the most relevant average nutrient reduction coefficient.")</formula>
    </cfRule>
  </conditionalFormatting>
  <dataValidations xWindow="173" yWindow="764" count="1">
    <dataValidation type="decimal" operator="greaterThanOrEqual" allowBlank="1" showErrorMessage="1" prompt="Please enter area in hectares." sqref="B11:B27" xr:uid="{7A3F0B97-DB05-43E3-94F5-093694D5E348}">
      <formula1>0</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xWindow="173" yWindow="764" count="5">
        <x14:dataValidation type="list" allowBlank="1" showErrorMessage="1" errorTitle="Rainfall" error="Rainfall must be entered from the drop down list." prompt="Please enter the annual average rainfall for the development site. If unsure please see the instructions page (Section 3.3) for guidance on how to determine this. If the rainfall volume is not on the list, please select the nearest value." xr:uid="{506A711F-D616-42C7-91D7-47C349233471}">
          <x14:formula1>
            <xm:f>Value_look_up_tables!$A$138:$A$147</xm:f>
          </x14:formula1>
          <xm:sqref>B7</xm:sqref>
        </x14:dataValidation>
        <x14:dataValidation type="list" showErrorMessage="1" errorTitle="NVZ" error="Please select whether development area is within an NVZ." prompt="Please select whether the development area is within an NVZ. If unsure please see the instructions page (Section 3.4) for guidance on how to determine this. " xr:uid="{9F25A89B-2F33-4BD1-97BD-EA33B22A96BB}">
          <x14:formula1>
            <xm:f>Value_look_up_tables!$A$165:$A$166</xm:f>
          </x14:formula1>
          <xm:sqref>B8</xm:sqref>
        </x14:dataValidation>
        <x14:dataValidation type="list" operator="greaterThan" allowBlank="1" showErrorMessage="1" errorTitle="Soil drainage type" error="Pleas enter the soil drainage type for the development site." prompt="Please enter the soil drainage type for the development site. If unsure please see the instructions page (Section 3.2) for guidance on how to determine this." xr:uid="{30EB6C55-0D33-4679-BDCD-D3A716B82E75}">
          <x14:formula1>
            <xm:f>Value_look_up_tables!$A$156:$A$161</xm:f>
          </x14:formula1>
          <xm:sqref>B6</xm:sqref>
        </x14:dataValidation>
        <x14:dataValidation type="list" operator="greaterThan" allowBlank="1" showErrorMessage="1" errorTitle="Catchment Error" error="Please enter your catchment." prompt="Please enter the Operational Catchment that the development site is within. If unsure Please see the instructions page (Section 3.1) for guidance on how to determine this." xr:uid="{B2B19558-C6B4-46F2-B681-B62D4CF291FE}">
          <x14:formula1>
            <xm:f>Value_look_up_tables!$A$152:$A$152</xm:f>
          </x14:formula1>
          <xm:sqref>B5</xm:sqref>
        </x14:dataValidation>
        <x14:dataValidation type="list" allowBlank="1" showErrorMessage="1" errorTitle="Landcover" error="Please select all pre exisitng landcover types." prompt="Select exisiting (pre-development) land use types from the drop down list." xr:uid="{3D7D9629-040D-41DD-980D-2CF48476BDE7}">
          <x14:formula1>
            <xm:f>Value_look_up_tables!$A$190:$A$206</xm:f>
          </x14:formula1>
          <xm:sqref>A11:A27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1268-2FDD-4208-B879-2DF0627A5BBD}">
  <dimension ref="A1:E22"/>
  <sheetViews>
    <sheetView zoomScaleNormal="100" workbookViewId="0"/>
  </sheetViews>
  <sheetFormatPr defaultColWidth="9.1796875" defaultRowHeight="14" x14ac:dyDescent="0.3"/>
  <cols>
    <col min="1" max="1" width="67.7265625" style="52" customWidth="1"/>
    <col min="2" max="2" width="22.81640625" style="52" customWidth="1"/>
    <col min="3" max="3" width="24.54296875" style="52" customWidth="1"/>
    <col min="4" max="473" width="8.54296875" style="52" customWidth="1"/>
    <col min="474" max="16384" width="9.1796875" style="52"/>
  </cols>
  <sheetData>
    <row r="1" spans="1:3" ht="50.25" customHeight="1" x14ac:dyDescent="0.3">
      <c r="A1" s="5" t="s">
        <v>16</v>
      </c>
      <c r="B1" s="51"/>
      <c r="C1" s="51"/>
    </row>
    <row r="2" spans="1:3" ht="373.5" customHeight="1" x14ac:dyDescent="0.3">
      <c r="A2" s="7" t="s">
        <v>93</v>
      </c>
      <c r="B2" s="53"/>
      <c r="C2" s="51"/>
    </row>
    <row r="3" spans="1:3" ht="51" customHeight="1" x14ac:dyDescent="0.4">
      <c r="A3" s="8" t="s">
        <v>94</v>
      </c>
      <c r="B3" s="54"/>
      <c r="C3" s="54"/>
    </row>
    <row r="4" spans="1:3" ht="56.25" customHeight="1" x14ac:dyDescent="0.3">
      <c r="A4" s="59" t="s">
        <v>95</v>
      </c>
      <c r="B4" s="59" t="s">
        <v>89</v>
      </c>
      <c r="C4" s="59" t="s">
        <v>96</v>
      </c>
    </row>
    <row r="5" spans="1:3" ht="23.25" customHeight="1" x14ac:dyDescent="0.3">
      <c r="A5" s="61"/>
      <c r="B5" s="30"/>
      <c r="C5" s="50">
        <f>IFERROR(IF(OR(ISBLANK(A5),ISBLANK(B5)),0,B5*VLOOKUP((IF(OR(A5="Residential urban land",A5="Commercial/industrial urban land",A5="Open urban land",A5="Greenspace",A5="Community food growing",A5="Woodland",A5="Shrub", A5="Water"), "|||"&amp;A5, (VLOOKUP(Nutrients_from_current_land_use!$B$5,Value_look_up_tables!$A$152:$B$152,2,FALSE)&amp;"|"&amp;A5&amp;"|"&amp;VLOOKUP(Nutrients_from_current_land_use!$B$8,Value_look_up_tables!$A$165:$B$166,2,FALSE)&amp;"|"&amp;VLOOKUP(Nutrients_from_current_land_use!$B$7,Value_look_up_tables!$A$126:$C$148,3,FALSE)&amp;"|"&amp;VLOOKUP(Nutrients_from_current_land_use!$B$6,Value_look_up_tables!$A$156:$B$161,2,FALSE)))),Value_look_up_tables!$F$22:$H$122,3,FALSE)),0)</f>
        <v>0</v>
      </c>
    </row>
    <row r="6" spans="1:3" ht="23.25" customHeight="1" x14ac:dyDescent="0.3">
      <c r="A6" s="62"/>
      <c r="B6" s="63"/>
      <c r="C6" s="50">
        <f>IFERROR(IF(OR(ISBLANK(A6),ISBLANK(B6)),0,B6*VLOOKUP((IF(OR(A6="Residential urban land",A6="Commercial/industrial urban land",A6="Open urban land",A6="Greenspace",A6="Community food growing",A6="Woodland",A6="Shrub", A6="Water"), "|||"&amp;A6, (VLOOKUP(Nutrients_from_current_land_use!$B$5,Value_look_up_tables!$A$152:$B$152,2,FALSE)&amp;"|"&amp;A6&amp;"|"&amp;VLOOKUP(Nutrients_from_current_land_use!$B$8,Value_look_up_tables!$A$165:$B$166,2,FALSE)&amp;"|"&amp;VLOOKUP(Nutrients_from_current_land_use!$B$7,Value_look_up_tables!$A$126:$C$148,3,FALSE)&amp;"|"&amp;VLOOKUP(Nutrients_from_current_land_use!$B$6,Value_look_up_tables!$A$156:$B$161,2,FALSE)))),Value_look_up_tables!$F$22:$H$122,3,FALSE)),0)</f>
        <v>0</v>
      </c>
    </row>
    <row r="7" spans="1:3" ht="23.25" customHeight="1" x14ac:dyDescent="0.3">
      <c r="A7" s="62"/>
      <c r="B7" s="63"/>
      <c r="C7" s="50">
        <f>IFERROR(IF(OR(ISBLANK(A7),ISBLANK(B7)),0,B7*VLOOKUP((IF(OR(A7="Residential urban land",A7="Commercial/industrial urban land",A7="Open urban land",A7="Greenspace",A7="Community food growing",A7="Woodland",A7="Shrub", A7="Water"), "|||"&amp;A7, (VLOOKUP(Nutrients_from_current_land_use!$B$5,Value_look_up_tables!$A$152:$B$152,2,FALSE)&amp;"|"&amp;A7&amp;"|"&amp;VLOOKUP(Nutrients_from_current_land_use!$B$8,Value_look_up_tables!$A$165:$B$166,2,FALSE)&amp;"|"&amp;VLOOKUP(Nutrients_from_current_land_use!$B$7,Value_look_up_tables!$A$126:$C$148,3,FALSE)&amp;"|"&amp;VLOOKUP(Nutrients_from_current_land_use!$B$6,Value_look_up_tables!$A$156:$B$161,2,FALSE)))),Value_look_up_tables!$F$22:$H$122,3,FALSE)),0)</f>
        <v>0</v>
      </c>
    </row>
    <row r="8" spans="1:3" ht="23.25" customHeight="1" x14ac:dyDescent="0.3">
      <c r="A8" s="62"/>
      <c r="B8" s="63"/>
      <c r="C8" s="50">
        <f>IFERROR(IF(OR(ISBLANK(A8),ISBLANK(B8)),0,B8*VLOOKUP((IF(OR(A8="Residential urban land",A8="Commercial/industrial urban land",A8="Open urban land",A8="Greenspace",A8="Community food growing",A8="Woodland",A8="Shrub", A8="Water"), "|||"&amp;A8, (VLOOKUP(Nutrients_from_current_land_use!$B$5,Value_look_up_tables!$A$152:$B$152,2,FALSE)&amp;"|"&amp;A8&amp;"|"&amp;VLOOKUP(Nutrients_from_current_land_use!$B$8,Value_look_up_tables!$A$165:$B$166,2,FALSE)&amp;"|"&amp;VLOOKUP(Nutrients_from_current_land_use!$B$7,Value_look_up_tables!$A$126:$C$148,3,FALSE)&amp;"|"&amp;VLOOKUP(Nutrients_from_current_land_use!$B$6,Value_look_up_tables!$A$156:$B$161,2,FALSE)))),Value_look_up_tables!$F$22:$H$122,3,FALSE)),0)</f>
        <v>0</v>
      </c>
    </row>
    <row r="9" spans="1:3" ht="23.25" customHeight="1" x14ac:dyDescent="0.3">
      <c r="A9" s="62"/>
      <c r="B9" s="63"/>
      <c r="C9" s="50">
        <f>IFERROR(IF(OR(ISBLANK(A9),ISBLANK(B9)),0,B9*VLOOKUP((IF(OR(A9="Residential urban land",A9="Commercial/industrial urban land",A9="Open urban land",A9="Greenspace",A9="Community food growing",A9="Woodland",A9="Shrub", A9="Water"), "|||"&amp;A9, (VLOOKUP(Nutrients_from_current_land_use!$B$5,Value_look_up_tables!$A$152:$B$152,2,FALSE)&amp;"|"&amp;A9&amp;"|"&amp;VLOOKUP(Nutrients_from_current_land_use!$B$8,Value_look_up_tables!$A$165:$B$166,2,FALSE)&amp;"|"&amp;VLOOKUP(Nutrients_from_current_land_use!$B$7,Value_look_up_tables!$A$126:$C$148,3,FALSE)&amp;"|"&amp;VLOOKUP(Nutrients_from_current_land_use!$B$6,Value_look_up_tables!$A$156:$B$161,2,FALSE)))),Value_look_up_tables!$F$22:$H$122,3,FALSE)),0)</f>
        <v>0</v>
      </c>
    </row>
    <row r="10" spans="1:3" ht="23.25" customHeight="1" x14ac:dyDescent="0.3">
      <c r="A10" s="62"/>
      <c r="B10" s="63"/>
      <c r="C10" s="50">
        <f>IFERROR(IF(OR(ISBLANK(A10),ISBLANK(B10)),0,B10*VLOOKUP((IF(OR(A10="Residential urban land",A10="Commercial/industrial urban land",A10="Open urban land",A10="Greenspace",A10="Community food growing",A10="Woodland",A10="Shrub", A10="Water"), "|||"&amp;A10, (VLOOKUP(Nutrients_from_current_land_use!$B$5,Value_look_up_tables!$A$152:$B$152,2,FALSE)&amp;"|"&amp;A10&amp;"|"&amp;VLOOKUP(Nutrients_from_current_land_use!$B$8,Value_look_up_tables!$A$165:$B$166,2,FALSE)&amp;"|"&amp;VLOOKUP(Nutrients_from_current_land_use!$B$7,Value_look_up_tables!$A$126:$C$148,3,FALSE)&amp;"|"&amp;VLOOKUP(Nutrients_from_current_land_use!$B$6,Value_look_up_tables!$A$156:$B$161,2,FALSE)))),Value_look_up_tables!$F$22:$H$122,3,FALSE)),0)</f>
        <v>0</v>
      </c>
    </row>
    <row r="11" spans="1:3" ht="23.25" customHeight="1" x14ac:dyDescent="0.3">
      <c r="A11" s="62"/>
      <c r="B11" s="63"/>
      <c r="C11" s="50">
        <f>IFERROR(IF(OR(ISBLANK(A11),ISBLANK(B11)),0,B11*VLOOKUP((IF(OR(A11="Residential urban land",A11="Commercial/industrial urban land",A11="Open urban land",A11="Greenspace",A11="Community food growing",A11="Woodland",A11="Shrub", A11="Water"), "|||"&amp;A11, (VLOOKUP(Nutrients_from_current_land_use!$B$5,Value_look_up_tables!$A$152:$B$152,2,FALSE)&amp;"|"&amp;A11&amp;"|"&amp;VLOOKUP(Nutrients_from_current_land_use!$B$8,Value_look_up_tables!$A$165:$B$166,2,FALSE)&amp;"|"&amp;VLOOKUP(Nutrients_from_current_land_use!$B$7,Value_look_up_tables!$A$126:$C$148,3,FALSE)&amp;"|"&amp;VLOOKUP(Nutrients_from_current_land_use!$B$6,Value_look_up_tables!$A$156:$B$161,2,FALSE)))),Value_look_up_tables!$F$22:$H$122,3,FALSE)),0)</f>
        <v>0</v>
      </c>
    </row>
    <row r="12" spans="1:3" ht="23.25" customHeight="1" x14ac:dyDescent="0.3">
      <c r="A12" s="62"/>
      <c r="B12" s="63"/>
      <c r="C12" s="50">
        <f>IFERROR(IF(OR(ISBLANK(A12),ISBLANK(B12)),0,B12*VLOOKUP((IF(OR(A12="Residential urban land",A12="Commercial/industrial urban land",A12="Open urban land",A12="Greenspace",A12="Community food growing",A12="Woodland",A12="Shrub", A12="Water"), "|||"&amp;A12, (VLOOKUP(Nutrients_from_current_land_use!$B$5,Value_look_up_tables!$A$152:$B$152,2,FALSE)&amp;"|"&amp;A12&amp;"|"&amp;VLOOKUP(Nutrients_from_current_land_use!$B$8,Value_look_up_tables!$A$165:$B$166,2,FALSE)&amp;"|"&amp;VLOOKUP(Nutrients_from_current_land_use!$B$7,Value_look_up_tables!$A$126:$C$148,3,FALSE)&amp;"|"&amp;VLOOKUP(Nutrients_from_current_land_use!$B$6,Value_look_up_tables!$A$156:$B$161,2,FALSE)))),Value_look_up_tables!$F$22:$H$122,3,FALSE)),0)</f>
        <v>0</v>
      </c>
    </row>
    <row r="13" spans="1:3" ht="23.25" customHeight="1" x14ac:dyDescent="0.3">
      <c r="A13" s="62"/>
      <c r="B13" s="63"/>
      <c r="C13" s="50">
        <f>IFERROR(IF(OR(ISBLANK(A13),ISBLANK(B13)),0,B13*VLOOKUP((IF(OR(A13="Residential urban land",A13="Commercial/industrial urban land",A13="Open urban land",A13="Greenspace",A13="Community food growing",A13="Woodland",A13="Shrub", A13="Water"), "|||"&amp;A13, (VLOOKUP(Nutrients_from_current_land_use!$B$5,Value_look_up_tables!$A$152:$B$152,2,FALSE)&amp;"|"&amp;A13&amp;"|"&amp;VLOOKUP(Nutrients_from_current_land_use!$B$8,Value_look_up_tables!$A$165:$B$166,2,FALSE)&amp;"|"&amp;VLOOKUP(Nutrients_from_current_land_use!$B$7,Value_look_up_tables!$A$126:$C$148,3,FALSE)&amp;"|"&amp;VLOOKUP(Nutrients_from_current_land_use!$B$6,Value_look_up_tables!$A$156:$B$161,2,FALSE)))),Value_look_up_tables!$F$22:$H$122,3,FALSE)),0)</f>
        <v>0</v>
      </c>
    </row>
    <row r="14" spans="1:3" ht="23.25" customHeight="1" x14ac:dyDescent="0.3">
      <c r="A14" s="62"/>
      <c r="B14" s="63"/>
      <c r="C14" s="50">
        <f>IFERROR(IF(OR(ISBLANK(A14),ISBLANK(B14)),0,B14*VLOOKUP((IF(OR(A14="Residential urban land",A14="Commercial/industrial urban land",A14="Open urban land",A14="Greenspace",A14="Community food growing",A14="Woodland",A14="Shrub", A14="Water"), "|||"&amp;A14, (VLOOKUP(Nutrients_from_current_land_use!$B$5,Value_look_up_tables!$A$152:$B$152,2,FALSE)&amp;"|"&amp;A14&amp;"|"&amp;VLOOKUP(Nutrients_from_current_land_use!$B$8,Value_look_up_tables!$A$165:$B$166,2,FALSE)&amp;"|"&amp;VLOOKUP(Nutrients_from_current_land_use!$B$7,Value_look_up_tables!$A$126:$C$148,3,FALSE)&amp;"|"&amp;VLOOKUP(Nutrients_from_current_land_use!$B$6,Value_look_up_tables!$A$156:$B$161,2,FALSE)))),Value_look_up_tables!$F$22:$H$122,3,FALSE)),0)</f>
        <v>0</v>
      </c>
    </row>
    <row r="15" spans="1:3" ht="23.25" customHeight="1" x14ac:dyDescent="0.3">
      <c r="A15" s="62"/>
      <c r="B15" s="63"/>
      <c r="C15" s="50">
        <f>IFERROR(IF(OR(ISBLANK(A15),ISBLANK(B15)),0,B15*VLOOKUP((IF(OR(A15="Residential urban land",A15="Commercial/industrial urban land",A15="Open urban land",A15="Greenspace",A15="Community food growing",A15="Woodland",A15="Shrub", A15="Water"), "|||"&amp;A15, (VLOOKUP(Nutrients_from_current_land_use!$B$5,Value_look_up_tables!$A$152:$B$152,2,FALSE)&amp;"|"&amp;A15&amp;"|"&amp;VLOOKUP(Nutrients_from_current_land_use!$B$8,Value_look_up_tables!$A$165:$B$166,2,FALSE)&amp;"|"&amp;VLOOKUP(Nutrients_from_current_land_use!$B$7,Value_look_up_tables!$A$126:$C$148,3,FALSE)&amp;"|"&amp;VLOOKUP(Nutrients_from_current_land_use!$B$6,Value_look_up_tables!$A$156:$B$161,2,FALSE)))),Value_look_up_tables!$F$22:$H$122,3,FALSE)),0)</f>
        <v>0</v>
      </c>
    </row>
    <row r="16" spans="1:3" ht="23.25" customHeight="1" x14ac:dyDescent="0.3">
      <c r="A16" s="62"/>
      <c r="B16" s="63"/>
      <c r="C16" s="50">
        <f>IFERROR(IF(OR(ISBLANK(A16),ISBLANK(B16)),0,B16*VLOOKUP((IF(OR(A16="Residential urban land",A16="Commercial/industrial urban land",A16="Open urban land",A16="Greenspace",A16="Community food growing",A16="Woodland",A16="Shrub", A16="Water"), "|||"&amp;A16, (VLOOKUP(Nutrients_from_current_land_use!$B$5,Value_look_up_tables!$A$152:$B$152,2,FALSE)&amp;"|"&amp;A16&amp;"|"&amp;VLOOKUP(Nutrients_from_current_land_use!$B$8,Value_look_up_tables!$A$165:$B$166,2,FALSE)&amp;"|"&amp;VLOOKUP(Nutrients_from_current_land_use!$B$7,Value_look_up_tables!$A$126:$C$148,3,FALSE)&amp;"|"&amp;VLOOKUP(Nutrients_from_current_land_use!$B$6,Value_look_up_tables!$A$156:$B$161,2,FALSE)))),Value_look_up_tables!$F$22:$H$122,3,FALSE)),0)</f>
        <v>0</v>
      </c>
    </row>
    <row r="17" spans="1:5" ht="23.25" customHeight="1" x14ac:dyDescent="0.3">
      <c r="A17" s="62"/>
      <c r="B17" s="63"/>
      <c r="C17" s="50">
        <f>IFERROR(IF(OR(ISBLANK(A17),ISBLANK(B17)),0,B17*VLOOKUP((IF(OR(A17="Residential urban land",A17="Commercial/industrial urban land",A17="Open urban land",A17="Greenspace",A17="Community food growing",A17="Woodland",A17="Shrub", A17="Water"), "|||"&amp;A17, (VLOOKUP(Nutrients_from_current_land_use!$B$5,Value_look_up_tables!$A$152:$B$152,2,FALSE)&amp;"|"&amp;A17&amp;"|"&amp;VLOOKUP(Nutrients_from_current_land_use!$B$8,Value_look_up_tables!$A$165:$B$166,2,FALSE)&amp;"|"&amp;VLOOKUP(Nutrients_from_current_land_use!$B$7,Value_look_up_tables!$A$126:$C$148,3,FALSE)&amp;"|"&amp;VLOOKUP(Nutrients_from_current_land_use!$B$6,Value_look_up_tables!$A$156:$B$161,2,FALSE)))),Value_look_up_tables!$F$22:$H$122,3,FALSE)),0)</f>
        <v>0</v>
      </c>
    </row>
    <row r="18" spans="1:5" ht="23.25" customHeight="1" x14ac:dyDescent="0.3">
      <c r="A18" s="62"/>
      <c r="B18" s="63"/>
      <c r="C18" s="50">
        <f>IFERROR(IF(OR(ISBLANK(A18),ISBLANK(B18)),0,B18*VLOOKUP((IF(OR(A18="Residential urban land",A18="Commercial/industrial urban land",A18="Open urban land",A18="Greenspace",A18="Community food growing",A18="Woodland",A18="Shrub", A18="Water"), "|||"&amp;A18, (VLOOKUP(Nutrients_from_current_land_use!$B$5,Value_look_up_tables!$A$152:$B$152,2,FALSE)&amp;"|"&amp;A18&amp;"|"&amp;VLOOKUP(Nutrients_from_current_land_use!$B$8,Value_look_up_tables!$A$165:$B$166,2,FALSE)&amp;"|"&amp;VLOOKUP(Nutrients_from_current_land_use!$B$7,Value_look_up_tables!$A$126:$C$148,3,FALSE)&amp;"|"&amp;VLOOKUP(Nutrients_from_current_land_use!$B$6,Value_look_up_tables!$A$156:$B$161,2,FALSE)))),Value_look_up_tables!$F$22:$H$122,3,FALSE)),0)</f>
        <v>0</v>
      </c>
    </row>
    <row r="19" spans="1:5" ht="23.25" customHeight="1" x14ac:dyDescent="0.3">
      <c r="A19" s="62"/>
      <c r="B19" s="63"/>
      <c r="C19" s="50">
        <f>IFERROR(IF(OR(ISBLANK(A19),ISBLANK(B19)),0,B19*VLOOKUP((IF(OR(A19="Residential urban land",A19="Commercial/industrial urban land",A19="Open urban land",A19="Greenspace",A19="Community food growing",A19="Woodland",A19="Shrub", A19="Water"), "|||"&amp;A19, (VLOOKUP(Nutrients_from_current_land_use!$B$5,Value_look_up_tables!$A$152:$B$152,2,FALSE)&amp;"|"&amp;A19&amp;"|"&amp;VLOOKUP(Nutrients_from_current_land_use!$B$8,Value_look_up_tables!$A$165:$B$166,2,FALSE)&amp;"|"&amp;VLOOKUP(Nutrients_from_current_land_use!$B$7,Value_look_up_tables!$A$126:$C$148,3,FALSE)&amp;"|"&amp;VLOOKUP(Nutrients_from_current_land_use!$B$6,Value_look_up_tables!$A$156:$B$161,2,FALSE)))),Value_look_up_tables!$F$22:$H$122,3,FALSE)),0)</f>
        <v>0</v>
      </c>
    </row>
    <row r="20" spans="1:5" ht="23.25" customHeight="1" x14ac:dyDescent="0.3">
      <c r="A20" s="62"/>
      <c r="B20" s="63"/>
      <c r="C20" s="50">
        <f>IFERROR(IF(OR(ISBLANK(A20),ISBLANK(B20)),0,B20*VLOOKUP((IF(OR(A20="Residential urban land",A20="Commercial/industrial urban land",A20="Open urban land",A20="Greenspace",A20="Community food growing",A20="Woodland",A20="Shrub", A20="Water"), "|||"&amp;A20, (VLOOKUP(Nutrients_from_current_land_use!$B$5,Value_look_up_tables!$A$152:$B$152,2,FALSE)&amp;"|"&amp;A20&amp;"|"&amp;VLOOKUP(Nutrients_from_current_land_use!$B$8,Value_look_up_tables!$A$165:$B$166,2,FALSE)&amp;"|"&amp;VLOOKUP(Nutrients_from_current_land_use!$B$7,Value_look_up_tables!$A$126:$C$148,3,FALSE)&amp;"|"&amp;VLOOKUP(Nutrients_from_current_land_use!$B$6,Value_look_up_tables!$A$156:$B$161,2,FALSE)))),Value_look_up_tables!$F$22:$H$122,3,FALSE)),0)</f>
        <v>0</v>
      </c>
      <c r="E20" s="57"/>
    </row>
    <row r="21" spans="1:5" ht="23.25" customHeight="1" x14ac:dyDescent="0.3">
      <c r="A21" s="62"/>
      <c r="B21" s="63"/>
      <c r="C21" s="50">
        <f>IFERROR(IF(OR(ISBLANK(A21),ISBLANK(B21)),0,B21*VLOOKUP((IF(OR(A21="Residential urban land",A21="Commercial/industrial urban land",A21="Open urban land",A21="Greenspace",A21="Community food growing",A21="Woodland",A21="Shrub", A21="Water"), "|||"&amp;A21, (VLOOKUP(Nutrients_from_current_land_use!$B$5,Value_look_up_tables!$A$152:$B$152,2,FALSE)&amp;"|"&amp;A21&amp;"|"&amp;VLOOKUP(Nutrients_from_current_land_use!$B$8,Value_look_up_tables!$A$165:$B$166,2,FALSE)&amp;"|"&amp;VLOOKUP(Nutrients_from_current_land_use!$B$7,Value_look_up_tables!$A$126:$C$148,3,FALSE)&amp;"|"&amp;VLOOKUP(Nutrients_from_current_land_use!$B$6,Value_look_up_tables!$A$156:$B$161,2,FALSE)))),Value_look_up_tables!$F$22:$H$122,3,FALSE)),0)</f>
        <v>0</v>
      </c>
    </row>
    <row r="22" spans="1:5" ht="23.25" customHeight="1" x14ac:dyDescent="0.3">
      <c r="A22" s="64" t="s">
        <v>92</v>
      </c>
      <c r="B22" s="56">
        <f>SUM(B5:B21)</f>
        <v>0</v>
      </c>
      <c r="C22" s="56">
        <f>SUM(C5:C21)</f>
        <v>0</v>
      </c>
    </row>
  </sheetData>
  <sheetProtection algorithmName="SHA-512" hashValue="YjJghamNElWOzKtsK0lvuuI0M3CGuhSNYvQJvN6q0kpBdqwyydHnEO4205p4DYCujfxHiEb9k7P9AeymCBg07A==" saltValue="OwK6vMFfaVaB3hZieEaEwg==" spinCount="100000" sheet="1" objects="1" scenarios="1"/>
  <protectedRanges>
    <protectedRange algorithmName="SHA-512" hashValue="MvmTLotpKiuRnedI3A4NjKJPVt4Aw8hcOvmE+D0rBMjM9TiU4ekXkprnHN0k9oVg0inb+CLcUsLFrJxBFcC6uw==" saltValue="93Zg0snhziumGVhjlXa2zg==" spinCount="100000" sqref="A5:B21" name="Range1"/>
  </protectedRanges>
  <dataValidations xWindow="214" yWindow="437" count="1">
    <dataValidation type="decimal" operator="greaterThanOrEqual" allowBlank="1" showErrorMessage="1" prompt="Please enter area in hectares." sqref="B5:B21" xr:uid="{F230AB9C-8339-4373-B4B8-7B45A3D33AEE}">
      <formula1>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xWindow="214" yWindow="437" count="1">
        <x14:dataValidation type="list" allowBlank="1" showErrorMessage="1" errorTitle="Landcover" error="Please select all pre exisitng landcover types." prompt="Select post-development land use types from the drop down list." xr:uid="{1AF01F13-11D5-4733-B94A-D50AFED257B9}">
          <x14:formula1>
            <xm:f>Value_look_up_tables!$A$179:$A$186</xm:f>
          </x14:formula1>
          <xm:sqref>A5:A21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22A8-789E-4C71-B605-806538F98D8D}">
  <dimension ref="A1:K30"/>
  <sheetViews>
    <sheetView zoomScaleNormal="100" workbookViewId="0"/>
  </sheetViews>
  <sheetFormatPr defaultColWidth="9.1796875" defaultRowHeight="14" x14ac:dyDescent="0.35"/>
  <cols>
    <col min="1" max="1" width="132.1796875" style="65" customWidth="1"/>
    <col min="2" max="3" width="19.81640625" style="65" customWidth="1"/>
    <col min="4" max="4" width="22.1796875" style="65" customWidth="1"/>
    <col min="5" max="5" width="60.81640625" style="65" customWidth="1"/>
    <col min="6" max="6" width="23" style="65" customWidth="1"/>
    <col min="7" max="7" width="23.7265625" style="65" customWidth="1"/>
    <col min="8" max="8" width="117.1796875" style="65" customWidth="1"/>
    <col min="9" max="471" width="8.54296875" style="65" customWidth="1"/>
    <col min="472" max="16384" width="9.1796875" style="65"/>
  </cols>
  <sheetData>
    <row r="1" spans="1:11" ht="67.5" customHeight="1" x14ac:dyDescent="0.35">
      <c r="A1" s="5" t="s">
        <v>97</v>
      </c>
      <c r="B1" s="51"/>
      <c r="C1" s="51"/>
      <c r="D1" s="51"/>
    </row>
    <row r="2" spans="1:11" ht="409.6" customHeight="1" x14ac:dyDescent="0.35">
      <c r="A2" s="7" t="s">
        <v>98</v>
      </c>
      <c r="B2" s="66"/>
      <c r="C2" s="66"/>
      <c r="D2" s="66"/>
    </row>
    <row r="3" spans="1:11" ht="53.25" customHeight="1" x14ac:dyDescent="0.35">
      <c r="A3" s="84" t="s">
        <v>99</v>
      </c>
      <c r="B3" s="66"/>
      <c r="C3" s="66"/>
      <c r="D3" s="66"/>
    </row>
    <row r="4" spans="1:11" ht="97.5" customHeight="1" x14ac:dyDescent="0.35">
      <c r="A4" s="60" t="s">
        <v>100</v>
      </c>
      <c r="B4" s="60" t="s">
        <v>101</v>
      </c>
      <c r="C4" s="60" t="s">
        <v>102</v>
      </c>
      <c r="D4" s="60" t="s">
        <v>103</v>
      </c>
      <c r="E4" s="60" t="s">
        <v>104</v>
      </c>
      <c r="F4" s="60" t="s">
        <v>105</v>
      </c>
      <c r="G4" s="60" t="s">
        <v>106</v>
      </c>
      <c r="H4" s="69" t="s">
        <v>91</v>
      </c>
    </row>
    <row r="5" spans="1:11" ht="36" customHeight="1" x14ac:dyDescent="0.35">
      <c r="A5" s="61"/>
      <c r="B5" s="30"/>
      <c r="C5" s="70"/>
      <c r="D5" s="50">
        <f>IFERROR(IF(ISBLANK(A5),0,IF(ISBLANK(B5),0,VLOOKUP(A5,Nutrients_from_future_land_use!$A$5:$C$21,3,FALSE)*(B5/VLOOKUP(A5,Nutrients_from_future_land_use!$A$5:$C$21,2,FALSE)))),0)</f>
        <v>0</v>
      </c>
      <c r="E5" s="70"/>
      <c r="F5" s="70"/>
      <c r="G5" s="50">
        <f>IFERROR(IF(OR(ISBLANK($A5),ISBLANK($B5),ISBLANK($F5)),0,$C5/100*D5*F5/100),0)</f>
        <v>0</v>
      </c>
      <c r="H5" s="74" t="str">
        <f>IF(SUMIFS($B$5:$B$29,$A$5:$A$29,A5)&gt;SUMIFS(Nutrients_from_future_land_use!$B$5:$B$21,Nutrients_from_future_land_use!$A$5:$A$21,A5),"Area of new land covers within SuDS catchment area exceeds the area of new land covers proposed","Not applicable")</f>
        <v>Not applicable</v>
      </c>
    </row>
    <row r="6" spans="1:11" ht="36" customHeight="1" x14ac:dyDescent="0.35">
      <c r="A6" s="62"/>
      <c r="B6" s="63"/>
      <c r="C6" s="70"/>
      <c r="D6" s="50">
        <f>IFERROR(IF(ISBLANK(A6),0,IF(ISBLANK(B6),0,VLOOKUP(A6,Nutrients_from_future_land_use!$A$5:$C$21,3,FALSE)*(B6/VLOOKUP(A6,Nutrients_from_future_land_use!$A$5:$C$21,2,FALSE)))),0)</f>
        <v>0</v>
      </c>
      <c r="E6" s="70"/>
      <c r="F6" s="70"/>
      <c r="G6" s="50">
        <f t="shared" ref="G6:G29" si="0">IFERROR(IF(OR(ISBLANK($A6),ISBLANK($B6),ISBLANK($F6)),0,$C6/100*D6*F6/100),0)</f>
        <v>0</v>
      </c>
      <c r="H6" s="74" t="str">
        <f>IF(SUMIFS($B$5:$B$29,$A$5:$A$29,A6)&gt;SUMIFS(Nutrients_from_future_land_use!$B$5:$B$21,Nutrients_from_future_land_use!$A$5:$A$21,A6),"Area of new land covers within SuDS catchment area exceeds the area of new land covers proposed","Not applicable")</f>
        <v>Not applicable</v>
      </c>
    </row>
    <row r="7" spans="1:11" ht="36" customHeight="1" x14ac:dyDescent="0.35">
      <c r="A7" s="62"/>
      <c r="B7" s="63"/>
      <c r="C7" s="70"/>
      <c r="D7" s="50">
        <f>IFERROR(IF(ISBLANK(A7),0,IF(ISBLANK(B7),0,VLOOKUP(A7,Nutrients_from_future_land_use!$A$5:$C$21,3,FALSE)*(B7/VLOOKUP(A7,Nutrients_from_future_land_use!$A$5:$C$21,2,FALSE)))),0)</f>
        <v>0</v>
      </c>
      <c r="E7" s="70"/>
      <c r="F7" s="70"/>
      <c r="G7" s="50">
        <f t="shared" si="0"/>
        <v>0</v>
      </c>
      <c r="H7" s="74" t="str">
        <f>IF(SUMIFS($B$5:$B$29,$A$5:$A$29,A7)&gt;SUMIFS(Nutrients_from_future_land_use!$B$5:$B$21,Nutrients_from_future_land_use!$A$5:$A$21,A7),"Area of new land covers within SuDS catchment area exceeds the area of new land covers proposed","Not applicable")</f>
        <v>Not applicable</v>
      </c>
    </row>
    <row r="8" spans="1:11" ht="36" customHeight="1" x14ac:dyDescent="0.35">
      <c r="A8" s="62"/>
      <c r="B8" s="63"/>
      <c r="C8" s="70"/>
      <c r="D8" s="50">
        <f>IFERROR(IF(ISBLANK(A8),0,IF(ISBLANK(B8),0,VLOOKUP(A8,Nutrients_from_future_land_use!$A$5:$C$21,3,FALSE)*(B8/VLOOKUP(A8,Nutrients_from_future_land_use!$A$5:$C$21,2,FALSE)))),0)</f>
        <v>0</v>
      </c>
      <c r="E8" s="70"/>
      <c r="F8" s="70"/>
      <c r="G8" s="50">
        <f t="shared" si="0"/>
        <v>0</v>
      </c>
      <c r="H8" s="74" t="str">
        <f>IF(SUMIFS($B$5:$B$29,$A$5:$A$29,A8)&gt;SUMIFS(Nutrients_from_future_land_use!$B$5:$B$21,Nutrients_from_future_land_use!$A$5:$A$21,A8),"Area of new land covers within SuDS catchment area exceeds the area of new land covers proposed","Not applicable")</f>
        <v>Not applicable</v>
      </c>
    </row>
    <row r="9" spans="1:11" ht="36" customHeight="1" x14ac:dyDescent="0.35">
      <c r="A9" s="62"/>
      <c r="B9" s="63"/>
      <c r="C9" s="70"/>
      <c r="D9" s="50">
        <f>IFERROR(IF(ISBLANK(A9),0,IF(ISBLANK(B9),0,VLOOKUP(A9,Nutrients_from_future_land_use!$A$5:$C$21,3,FALSE)*(B9/VLOOKUP(A9,Nutrients_from_future_land_use!$A$5:$C$21,2,FALSE)))),0)</f>
        <v>0</v>
      </c>
      <c r="E9" s="70"/>
      <c r="F9" s="70"/>
      <c r="G9" s="50">
        <f t="shared" si="0"/>
        <v>0</v>
      </c>
      <c r="H9" s="74" t="str">
        <f>IF(SUMIFS($B$5:$B$29,$A$5:$A$29,A9)&gt;SUMIFS(Nutrients_from_future_land_use!$B$5:$B$21,Nutrients_from_future_land_use!$A$5:$A$21,A9),"Area of new land covers within SuDS catchment area exceeds the area of new land covers proposed","Not applicable")</f>
        <v>Not applicable</v>
      </c>
      <c r="K9" s="67"/>
    </row>
    <row r="10" spans="1:11" ht="36" customHeight="1" x14ac:dyDescent="0.35">
      <c r="A10" s="62"/>
      <c r="B10" s="63"/>
      <c r="C10" s="70"/>
      <c r="D10" s="50">
        <f>IFERROR(IF(ISBLANK(A10),0,IF(ISBLANK(B10),0,VLOOKUP(A10,Nutrients_from_future_land_use!$A$5:$C$21,3,FALSE)*(B10/VLOOKUP(A10,Nutrients_from_future_land_use!$A$5:$C$21,2,FALSE)))),0)</f>
        <v>0</v>
      </c>
      <c r="E10" s="70"/>
      <c r="F10" s="70"/>
      <c r="G10" s="50">
        <f t="shared" si="0"/>
        <v>0</v>
      </c>
      <c r="H10" s="74" t="str">
        <f>IF(SUMIFS($B$5:$B$29,$A$5:$A$29,A10)&gt;SUMIFS(Nutrients_from_future_land_use!$B$5:$B$21,Nutrients_from_future_land_use!$A$5:$A$21,A10),"Area of new land covers within SuDS catchment area exceeds the area of new land covers proposed","Not applicable")</f>
        <v>Not applicable</v>
      </c>
      <c r="K10" s="67"/>
    </row>
    <row r="11" spans="1:11" ht="36" customHeight="1" x14ac:dyDescent="0.35">
      <c r="A11" s="62"/>
      <c r="B11" s="63"/>
      <c r="C11" s="70"/>
      <c r="D11" s="50">
        <f>IFERROR(IF(ISBLANK(A11),0,IF(ISBLANK(B11),0,VLOOKUP(A11,Nutrients_from_future_land_use!$A$5:$C$21,3,FALSE)*(B11/VLOOKUP(A11,Nutrients_from_future_land_use!$A$5:$C$21,2,FALSE)))),0)</f>
        <v>0</v>
      </c>
      <c r="E11" s="70"/>
      <c r="F11" s="70"/>
      <c r="G11" s="50">
        <f t="shared" si="0"/>
        <v>0</v>
      </c>
      <c r="H11" s="74" t="str">
        <f>IF(SUMIFS($B$5:$B$29,$A$5:$A$29,A11)&gt;SUMIFS(Nutrients_from_future_land_use!$B$5:$B$21,Nutrients_from_future_land_use!$A$5:$A$21,A11),"Area of new land covers within SuDS catchment area exceeds the area of new land covers proposed","Not applicable")</f>
        <v>Not applicable</v>
      </c>
      <c r="K11" s="67"/>
    </row>
    <row r="12" spans="1:11" ht="36" customHeight="1" x14ac:dyDescent="0.35">
      <c r="A12" s="62"/>
      <c r="B12" s="63"/>
      <c r="C12" s="70"/>
      <c r="D12" s="50">
        <f>IFERROR(IF(ISBLANK(A12),0,IF(ISBLANK(B12),0,VLOOKUP(A12,Nutrients_from_future_land_use!$A$5:$C$21,3,FALSE)*(B12/VLOOKUP(A12,Nutrients_from_future_land_use!$A$5:$C$21,2,FALSE)))),0)</f>
        <v>0</v>
      </c>
      <c r="E12" s="70"/>
      <c r="F12" s="70"/>
      <c r="G12" s="50">
        <f t="shared" si="0"/>
        <v>0</v>
      </c>
      <c r="H12" s="74" t="str">
        <f>IF(SUMIFS($B$5:$B$29,$A$5:$A$29,A12)&gt;SUMIFS(Nutrients_from_future_land_use!$B$5:$B$21,Nutrients_from_future_land_use!$A$5:$A$21,A12),"Area of new land covers within SuDS catchment area exceeds the area of new land covers proposed","Not applicable")</f>
        <v>Not applicable</v>
      </c>
      <c r="K12" s="67"/>
    </row>
    <row r="13" spans="1:11" ht="36" customHeight="1" x14ac:dyDescent="0.35">
      <c r="A13" s="62"/>
      <c r="B13" s="63"/>
      <c r="C13" s="70"/>
      <c r="D13" s="50">
        <f>IFERROR(IF(ISBLANK(A13),0,IF(ISBLANK(B13),0,VLOOKUP(A13,Nutrients_from_future_land_use!$A$5:$C$21,3,FALSE)*(B13/VLOOKUP(A13,Nutrients_from_future_land_use!$A$5:$C$21,2,FALSE)))),0)</f>
        <v>0</v>
      </c>
      <c r="E13" s="70"/>
      <c r="F13" s="70"/>
      <c r="G13" s="50">
        <f t="shared" si="0"/>
        <v>0</v>
      </c>
      <c r="H13" s="74" t="str">
        <f>IF(SUMIFS($B$5:$B$29,$A$5:$A$29,A13)&gt;SUMIFS(Nutrients_from_future_land_use!$B$5:$B$21,Nutrients_from_future_land_use!$A$5:$A$21,A13),"Area of new land covers within SuDS catchment area exceeds the area of new land covers proposed","Not applicable")</f>
        <v>Not applicable</v>
      </c>
      <c r="K13" s="67"/>
    </row>
    <row r="14" spans="1:11" ht="36" customHeight="1" x14ac:dyDescent="0.35">
      <c r="A14" s="62"/>
      <c r="B14" s="63"/>
      <c r="C14" s="70"/>
      <c r="D14" s="50">
        <f>IFERROR(IF(ISBLANK(A14),0,IF(ISBLANK(B14),0,VLOOKUP(A14,Nutrients_from_future_land_use!$A$5:$C$21,3,FALSE)*(B14/VLOOKUP(A14,Nutrients_from_future_land_use!$A$5:$C$21,2,FALSE)))),0)</f>
        <v>0</v>
      </c>
      <c r="E14" s="70"/>
      <c r="F14" s="70"/>
      <c r="G14" s="50">
        <f t="shared" si="0"/>
        <v>0</v>
      </c>
      <c r="H14" s="74" t="str">
        <f>IF(SUMIFS($B$5:$B$29,$A$5:$A$29,A14)&gt;SUMIFS(Nutrients_from_future_land_use!$B$5:$B$21,Nutrients_from_future_land_use!$A$5:$A$21,A14),"Area of new land covers within SuDS catchment area exceeds the area of new land covers proposed","Not applicable")</f>
        <v>Not applicable</v>
      </c>
      <c r="K14" s="67"/>
    </row>
    <row r="15" spans="1:11" ht="36" customHeight="1" x14ac:dyDescent="0.35">
      <c r="A15" s="62"/>
      <c r="B15" s="63"/>
      <c r="C15" s="70"/>
      <c r="D15" s="50">
        <f>IFERROR(IF(ISBLANK(A15),0,IF(ISBLANK(B15),0,VLOOKUP(A15,Nutrients_from_future_land_use!$A$5:$C$21,3,FALSE)*(B15/VLOOKUP(A15,Nutrients_from_future_land_use!$A$5:$C$21,2,FALSE)))),0)</f>
        <v>0</v>
      </c>
      <c r="E15" s="70"/>
      <c r="F15" s="70"/>
      <c r="G15" s="50">
        <f t="shared" si="0"/>
        <v>0</v>
      </c>
      <c r="H15" s="74" t="str">
        <f>IF(SUMIFS($B$5:$B$29,$A$5:$A$29,A15)&gt;SUMIFS(Nutrients_from_future_land_use!$B$5:$B$21,Nutrients_from_future_land_use!$A$5:$A$21,A15),"Area of new land covers within SuDS catchment area exceeds the area of new land covers proposed","Not applicable")</f>
        <v>Not applicable</v>
      </c>
    </row>
    <row r="16" spans="1:11" ht="36" customHeight="1" x14ac:dyDescent="0.35">
      <c r="A16" s="62"/>
      <c r="B16" s="63"/>
      <c r="C16" s="70"/>
      <c r="D16" s="50">
        <f>IFERROR(IF(ISBLANK(A16),0,IF(ISBLANK(B16),0,VLOOKUP(A16,Nutrients_from_future_land_use!$A$5:$C$21,3,FALSE)*(B16/VLOOKUP(A16,Nutrients_from_future_land_use!$A$5:$C$21,2,FALSE)))),0)</f>
        <v>0</v>
      </c>
      <c r="E16" s="70"/>
      <c r="F16" s="70"/>
      <c r="G16" s="50">
        <f t="shared" si="0"/>
        <v>0</v>
      </c>
      <c r="H16" s="74" t="str">
        <f>IF(SUMIFS($B$5:$B$29,$A$5:$A$29,A16)&gt;SUMIFS(Nutrients_from_future_land_use!$B$5:$B$21,Nutrients_from_future_land_use!$A$5:$A$21,A16),"Area of new land covers within SuDS catchment area exceeds the area of new land covers proposed","Not applicable")</f>
        <v>Not applicable</v>
      </c>
    </row>
    <row r="17" spans="1:8" ht="36" customHeight="1" x14ac:dyDescent="0.35">
      <c r="A17" s="62"/>
      <c r="B17" s="63"/>
      <c r="C17" s="70"/>
      <c r="D17" s="50">
        <f>IFERROR(IF(ISBLANK(A17),0,IF(ISBLANK(B17),0,VLOOKUP(A17,Nutrients_from_future_land_use!$A$5:$C$21,3,FALSE)*(B17/VLOOKUP(A17,Nutrients_from_future_land_use!$A$5:$C$21,2,FALSE)))),0)</f>
        <v>0</v>
      </c>
      <c r="E17" s="70"/>
      <c r="F17" s="70"/>
      <c r="G17" s="50">
        <f t="shared" si="0"/>
        <v>0</v>
      </c>
      <c r="H17" s="74" t="str">
        <f>IF(SUMIFS($B$5:$B$29,$A$5:$A$29,A17)&gt;SUMIFS(Nutrients_from_future_land_use!$B$5:$B$21,Nutrients_from_future_land_use!$A$5:$A$21,A17),"Area of new land covers within SuDS catchment area exceeds the area of new land covers proposed","Not applicable")</f>
        <v>Not applicable</v>
      </c>
    </row>
    <row r="18" spans="1:8" ht="36" customHeight="1" x14ac:dyDescent="0.35">
      <c r="A18" s="62"/>
      <c r="B18" s="63"/>
      <c r="C18" s="70"/>
      <c r="D18" s="50">
        <f>IFERROR(IF(ISBLANK(A18),0,IF(ISBLANK(B18),0,VLOOKUP(A18,Nutrients_from_future_land_use!$A$5:$C$21,3,FALSE)*(B18/VLOOKUP(A18,Nutrients_from_future_land_use!$A$5:$C$21,2,FALSE)))),0)</f>
        <v>0</v>
      </c>
      <c r="E18" s="70"/>
      <c r="F18" s="70"/>
      <c r="G18" s="50">
        <f t="shared" si="0"/>
        <v>0</v>
      </c>
      <c r="H18" s="74" t="str">
        <f>IF(SUMIFS($B$5:$B$29,$A$5:$A$29,A18)&gt;SUMIFS(Nutrients_from_future_land_use!$B$5:$B$21,Nutrients_from_future_land_use!$A$5:$A$21,A18),"Area of new land covers within SuDS catchment area exceeds the area of new land covers proposed","Not applicable")</f>
        <v>Not applicable</v>
      </c>
    </row>
    <row r="19" spans="1:8" ht="36" customHeight="1" x14ac:dyDescent="0.35">
      <c r="A19" s="62"/>
      <c r="B19" s="63"/>
      <c r="C19" s="70"/>
      <c r="D19" s="50">
        <f>IFERROR(IF(ISBLANK(A19),0,IF(ISBLANK(B19),0,VLOOKUP(A19,Nutrients_from_future_land_use!$A$5:$C$21,3,FALSE)*(B19/VLOOKUP(A19,Nutrients_from_future_land_use!$A$5:$C$21,2,FALSE)))),0)</f>
        <v>0</v>
      </c>
      <c r="E19" s="70"/>
      <c r="F19" s="70"/>
      <c r="G19" s="50">
        <f t="shared" si="0"/>
        <v>0</v>
      </c>
      <c r="H19" s="74" t="str">
        <f>IF(SUMIFS($B$5:$B$29,$A$5:$A$29,A19)&gt;SUMIFS(Nutrients_from_future_land_use!$B$5:$B$21,Nutrients_from_future_land_use!$A$5:$A$21,A19),"Area of new land covers within SuDS catchment area exceeds the area of new land covers proposed","Not applicable")</f>
        <v>Not applicable</v>
      </c>
    </row>
    <row r="20" spans="1:8" ht="36" customHeight="1" x14ac:dyDescent="0.35">
      <c r="A20" s="62"/>
      <c r="B20" s="63"/>
      <c r="C20" s="70"/>
      <c r="D20" s="50">
        <f>IFERROR(IF(ISBLANK(A20),0,IF(ISBLANK(B20),0,VLOOKUP(A20,Nutrients_from_future_land_use!$A$5:$C$21,3,FALSE)*(B20/VLOOKUP(A20,Nutrients_from_future_land_use!$A$5:$C$21,2,FALSE)))),0)</f>
        <v>0</v>
      </c>
      <c r="E20" s="70"/>
      <c r="F20" s="70"/>
      <c r="G20" s="50">
        <f>IFERROR(IF(OR(ISBLANK($A20),ISBLANK($B20),ISBLANK($F20)),0,$C20/100*D20*F20/100),0)</f>
        <v>0</v>
      </c>
      <c r="H20" s="74" t="str">
        <f>IF(SUMIFS($B$5:$B$29,$A$5:$A$29,A20)&gt;SUMIFS(Nutrients_from_future_land_use!$B$5:$B$21,Nutrients_from_future_land_use!$A$5:$A$21,A20),"Area of new land covers within SuDS catchment area exceeds the area of new land covers proposed","Not applicable")</f>
        <v>Not applicable</v>
      </c>
    </row>
    <row r="21" spans="1:8" ht="36" customHeight="1" x14ac:dyDescent="0.35">
      <c r="A21" s="62"/>
      <c r="B21" s="63"/>
      <c r="C21" s="70"/>
      <c r="D21" s="50">
        <f>IFERROR(IF(ISBLANK(A21),0,IF(ISBLANK(B21),0,VLOOKUP(A21,Nutrients_from_future_land_use!$A$5:$C$21,3,FALSE)*(B21/VLOOKUP(A21,Nutrients_from_future_land_use!$A$5:$C$21,2,FALSE)))),0)</f>
        <v>0</v>
      </c>
      <c r="E21" s="70"/>
      <c r="F21" s="70"/>
      <c r="G21" s="50">
        <f t="shared" si="0"/>
        <v>0</v>
      </c>
      <c r="H21" s="74" t="str">
        <f>IF(SUMIFS($B$5:$B$29,$A$5:$A$29,A21)&gt;SUMIFS(Nutrients_from_future_land_use!$B$5:$B$21,Nutrients_from_future_land_use!$A$5:$A$21,A21),"Area of new land covers within SuDS catchment area exceeds the area of new land covers proposed","Not applicable")</f>
        <v>Not applicable</v>
      </c>
    </row>
    <row r="22" spans="1:8" ht="36" customHeight="1" x14ac:dyDescent="0.35">
      <c r="A22" s="62"/>
      <c r="B22" s="63"/>
      <c r="C22" s="70"/>
      <c r="D22" s="50">
        <f>IFERROR(IF(ISBLANK(A22),0,IF(ISBLANK(B22),0,VLOOKUP(A22,Nutrients_from_future_land_use!$A$5:$C$21,3,FALSE)*(B22/VLOOKUP(A22,Nutrients_from_future_land_use!$A$5:$C$21,2,FALSE)))),0)</f>
        <v>0</v>
      </c>
      <c r="E22" s="70"/>
      <c r="F22" s="70"/>
      <c r="G22" s="50">
        <f t="shared" si="0"/>
        <v>0</v>
      </c>
      <c r="H22" s="74" t="str">
        <f>IF(SUMIFS($B$5:$B$29,$A$5:$A$29,A22)&gt;SUMIFS(Nutrients_from_future_land_use!$B$5:$B$21,Nutrients_from_future_land_use!$A$5:$A$21,A22),"Area of new land covers within SuDS catchment area exceeds the area of new land covers proposed","Not applicable")</f>
        <v>Not applicable</v>
      </c>
    </row>
    <row r="23" spans="1:8" ht="36" customHeight="1" x14ac:dyDescent="0.35">
      <c r="A23" s="62"/>
      <c r="B23" s="63"/>
      <c r="C23" s="70"/>
      <c r="D23" s="50">
        <f>IFERROR(IF(ISBLANK(A23),0,IF(ISBLANK(B23),0,VLOOKUP(A23,Nutrients_from_future_land_use!$A$5:$C$21,3,FALSE)*(B23/VLOOKUP(A23,Nutrients_from_future_land_use!$A$5:$C$21,2,FALSE)))),0)</f>
        <v>0</v>
      </c>
      <c r="E23" s="70"/>
      <c r="F23" s="70"/>
      <c r="G23" s="50">
        <f t="shared" si="0"/>
        <v>0</v>
      </c>
      <c r="H23" s="74" t="str">
        <f>IF(SUMIFS($B$5:$B$29,$A$5:$A$29,A23)&gt;SUMIFS(Nutrients_from_future_land_use!$B$5:$B$21,Nutrients_from_future_land_use!$A$5:$A$21,A23),"Area of new land covers within SuDS catchment area exceeds the area of new land covers proposed","Not applicable")</f>
        <v>Not applicable</v>
      </c>
    </row>
    <row r="24" spans="1:8" ht="36" customHeight="1" x14ac:dyDescent="0.35">
      <c r="A24" s="62"/>
      <c r="B24" s="63"/>
      <c r="C24" s="70"/>
      <c r="D24" s="50">
        <f>IFERROR(IF(ISBLANK(A24),0,IF(ISBLANK(B24),0,VLOOKUP(A24,Nutrients_from_future_land_use!$A$5:$C$21,3,FALSE)*(B24/VLOOKUP(A24,Nutrients_from_future_land_use!$A$5:$C$21,2,FALSE)))),0)</f>
        <v>0</v>
      </c>
      <c r="E24" s="70"/>
      <c r="F24" s="70"/>
      <c r="G24" s="50">
        <f t="shared" si="0"/>
        <v>0</v>
      </c>
      <c r="H24" s="74" t="str">
        <f>IF(SUMIFS($B$5:$B$29,$A$5:$A$29,A24)&gt;SUMIFS(Nutrients_from_future_land_use!$B$5:$B$21,Nutrients_from_future_land_use!$A$5:$A$21,A24),"Area of new land covers within SuDS catchment area exceeds the area of new land covers proposed","Not applicable")</f>
        <v>Not applicable</v>
      </c>
    </row>
    <row r="25" spans="1:8" ht="36" customHeight="1" x14ac:dyDescent="0.35">
      <c r="A25" s="62"/>
      <c r="B25" s="63"/>
      <c r="C25" s="70"/>
      <c r="D25" s="50">
        <f>IFERROR(IF(ISBLANK(A25),0,IF(ISBLANK(B25),0,VLOOKUP(A25,Nutrients_from_future_land_use!$A$5:$C$21,3,FALSE)*(B25/VLOOKUP(A25,Nutrients_from_future_land_use!$A$5:$C$21,2,FALSE)))),0)</f>
        <v>0</v>
      </c>
      <c r="E25" s="70"/>
      <c r="F25" s="70"/>
      <c r="G25" s="50">
        <f t="shared" si="0"/>
        <v>0</v>
      </c>
      <c r="H25" s="74" t="str">
        <f>IF(SUMIFS($B$5:$B$29,$A$5:$A$29,A25)&gt;SUMIFS(Nutrients_from_future_land_use!$B$5:$B$21,Nutrients_from_future_land_use!$A$5:$A$21,A25),"Area of new land covers within SuDS catchment area exceeds the area of new land covers proposed","Not applicable")</f>
        <v>Not applicable</v>
      </c>
    </row>
    <row r="26" spans="1:8" ht="36" customHeight="1" x14ac:dyDescent="0.35">
      <c r="A26" s="62"/>
      <c r="B26" s="63"/>
      <c r="C26" s="70"/>
      <c r="D26" s="50">
        <f>IFERROR(IF(ISBLANK(A26),0,IF(ISBLANK(B26),0,VLOOKUP(A26,Nutrients_from_future_land_use!$A$5:$C$21,3,FALSE)*(B26/VLOOKUP(A26,Nutrients_from_future_land_use!$A$5:$C$21,2,FALSE)))),0)</f>
        <v>0</v>
      </c>
      <c r="E26" s="70"/>
      <c r="F26" s="70"/>
      <c r="G26" s="50">
        <f>IFERROR(IF(OR(ISBLANK($A26),ISBLANK($B26),ISBLANK($F26)),0,$C26/100*D26*F26/100),0)</f>
        <v>0</v>
      </c>
      <c r="H26" s="74" t="str">
        <f>IF(SUMIFS($B$5:$B$29,$A$5:$A$29,A26)&gt;SUMIFS(Nutrients_from_future_land_use!$B$5:$B$21,Nutrients_from_future_land_use!$A$5:$A$21,A26),"Area of new land covers within SuDS catchment area exceeds the area of new land covers proposed","Not applicable")</f>
        <v>Not applicable</v>
      </c>
    </row>
    <row r="27" spans="1:8" ht="36" customHeight="1" x14ac:dyDescent="0.35">
      <c r="A27" s="62"/>
      <c r="B27" s="63"/>
      <c r="C27" s="70"/>
      <c r="D27" s="50">
        <f>IFERROR(IF(ISBLANK(A27),0,IF(ISBLANK(B27),0,VLOOKUP(A27,Nutrients_from_future_land_use!$A$5:$C$21,3,FALSE)*(B27/VLOOKUP(A27,Nutrients_from_future_land_use!$A$5:$C$21,2,FALSE)))),0)</f>
        <v>0</v>
      </c>
      <c r="E27" s="70"/>
      <c r="F27" s="70"/>
      <c r="G27" s="50">
        <f t="shared" si="0"/>
        <v>0</v>
      </c>
      <c r="H27" s="74" t="str">
        <f>IF(SUMIFS($B$5:$B$29,$A$5:$A$29,A27)&gt;SUMIFS(Nutrients_from_future_land_use!$B$5:$B$21,Nutrients_from_future_land_use!$A$5:$A$21,A27),"Area of new land covers within SuDS catchment area exceeds the area of new land covers proposed","Not applicable")</f>
        <v>Not applicable</v>
      </c>
    </row>
    <row r="28" spans="1:8" ht="36" customHeight="1" x14ac:dyDescent="0.35">
      <c r="A28" s="62"/>
      <c r="B28" s="63"/>
      <c r="C28" s="70"/>
      <c r="D28" s="50">
        <f>IFERROR(IF(ISBLANK(A28),0,IF(ISBLANK(B28),0,VLOOKUP(A28,Nutrients_from_future_land_use!$A$5:$C$21,3,FALSE)*(B28/VLOOKUP(A28,Nutrients_from_future_land_use!$A$5:$C$21,2,FALSE)))),0)</f>
        <v>0</v>
      </c>
      <c r="E28" s="70"/>
      <c r="F28" s="70"/>
      <c r="G28" s="50">
        <f t="shared" si="0"/>
        <v>0</v>
      </c>
      <c r="H28" s="74" t="str">
        <f>IF(SUMIFS($B$5:$B$29,$A$5:$A$29,A28)&gt;SUMIFS(Nutrients_from_future_land_use!$B$5:$B$21,Nutrients_from_future_land_use!$A$5:$A$21,A28),"Area of new land covers within SuDS catchment area exceeds the area of new land covers proposed","Not applicable")</f>
        <v>Not applicable</v>
      </c>
    </row>
    <row r="29" spans="1:8" ht="36" customHeight="1" x14ac:dyDescent="0.35">
      <c r="A29" s="62"/>
      <c r="B29" s="63"/>
      <c r="C29" s="70"/>
      <c r="D29" s="50">
        <f>IFERROR(IF(ISBLANK(A29),0,IF(ISBLANK(B29),0,VLOOKUP(A29,Nutrients_from_future_land_use!$A$5:$C$21,3,FALSE)*(B29/VLOOKUP(A29,Nutrients_from_future_land_use!$A$5:$C$21,2,FALSE)))),0)</f>
        <v>0</v>
      </c>
      <c r="E29" s="70"/>
      <c r="F29" s="70"/>
      <c r="G29" s="50">
        <f t="shared" si="0"/>
        <v>0</v>
      </c>
      <c r="H29" s="74" t="str">
        <f>IF(SUMIFS($B$5:$B$29,$A$5:$A$29,A29)&gt;SUMIFS(Nutrients_from_future_land_use!$B$5:$B$21,Nutrients_from_future_land_use!$A$5:$A$21,A29),"Area of new land covers within SuDS catchment area exceeds the area of new land covers proposed","Not applicable")</f>
        <v>Not applicable</v>
      </c>
    </row>
    <row r="30" spans="1:8" ht="28.5" customHeight="1" x14ac:dyDescent="0.35">
      <c r="A30" s="64" t="s">
        <v>92</v>
      </c>
      <c r="B30" s="68">
        <f>SUM(B5:B29)</f>
        <v>0</v>
      </c>
      <c r="C30" s="71"/>
      <c r="D30" s="68">
        <f t="shared" ref="D30" si="1">SUM(D5:D29)</f>
        <v>0</v>
      </c>
      <c r="E30" s="72"/>
      <c r="F30" s="72"/>
      <c r="G30" s="56">
        <f>SUM(G5:G29)</f>
        <v>0</v>
      </c>
      <c r="H30" s="73"/>
    </row>
  </sheetData>
  <sheetProtection algorithmName="SHA-512" hashValue="L0c/hSwLe9EanswF+8VGR+8u3rHNJZSakkiAM67aJBrvkk521SuMABEIxlt+tlg6cAw2ZIuniHL/47IGUzBPGw==" saltValue="gsnY1vQBibvoNcMIzZmUSw==" spinCount="100000" sheet="1" objects="1" scenarios="1"/>
  <protectedRanges>
    <protectedRange algorithmName="SHA-512" hashValue="MvmTLotpKiuRnedI3A4NjKJPVt4Aw8hcOvmE+D0rBMjM9TiU4ekXkprnHN0k9oVg0inb+CLcUsLFrJxBFcC6uw==" saltValue="93Zg0snhziumGVhjlXa2zg==" spinCount="100000" sqref="A5:A29 B30:D30" name="Range1"/>
    <protectedRange algorithmName="SHA-512" hashValue="MvmTLotpKiuRnedI3A4NjKJPVt4Aw8hcOvmE+D0rBMjM9TiU4ekXkprnHN0k9oVg0inb+CLcUsLFrJxBFcC6uw==" saltValue="93Zg0snhziumGVhjlXa2zg==" spinCount="100000" sqref="B5:C29" name="Range1_1"/>
  </protectedRanges>
  <phoneticPr fontId="9" type="noConversion"/>
  <dataValidations count="4">
    <dataValidation type="decimal" operator="greaterThanOrEqual" allowBlank="1" showErrorMessage="1" prompt="Please enter area in hectares." sqref="B5:B29" xr:uid="{217E3FA1-1BB8-45C3-9D2C-1D4956B28508}">
      <formula1>0</formula1>
    </dataValidation>
    <dataValidation type="decimal" allowBlank="1" showErrorMessage="1" prompt="Please enter area in hectares." sqref="C5:C29" xr:uid="{FBC78870-43D9-4EA6-A174-BF01D3A5A955}">
      <formula1>0</formula1>
      <formula2>100</formula2>
    </dataValidation>
    <dataValidation allowBlank="1" showErrorMessage="1" prompt="Please enter area in hectares." sqref="B30:D30" xr:uid="{4F17A0C8-BADF-4DA8-A067-4ABBCFF91399}"/>
    <dataValidation type="decimal" allowBlank="1" showErrorMessage="1" sqref="F5:F29" xr:uid="{71280BD0-17E2-4B70-8A1F-A9E40789C1E4}">
      <formula1>0</formula1>
      <formula2>100</formula2>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151555C-C9B1-4515-88DE-D67B24751730}">
          <x14:formula1>
            <xm:f>_xlfn.ANCHORARRAY(Value_look_up_tables!$A$210)</xm:f>
          </x14:formula1>
          <xm:sqref>A5:A29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82EE-826E-403B-BCD4-7E1A897AA803}">
  <dimension ref="A1:D16"/>
  <sheetViews>
    <sheetView zoomScaleNormal="100" workbookViewId="0"/>
  </sheetViews>
  <sheetFormatPr defaultColWidth="9.1796875" defaultRowHeight="14" x14ac:dyDescent="0.35"/>
  <cols>
    <col min="1" max="1" width="78.7265625" style="65" customWidth="1"/>
    <col min="2" max="2" width="30.81640625" style="65" customWidth="1"/>
    <col min="3" max="4" width="40.54296875" style="65" customWidth="1"/>
    <col min="5" max="466" width="8.54296875" style="65" customWidth="1"/>
    <col min="467" max="16384" width="9.1796875" style="65"/>
  </cols>
  <sheetData>
    <row r="1" spans="1:4" ht="50.25" customHeight="1" x14ac:dyDescent="0.35">
      <c r="A1" s="5" t="s">
        <v>107</v>
      </c>
      <c r="B1" s="51"/>
    </row>
    <row r="2" spans="1:4" ht="249" customHeight="1" x14ac:dyDescent="0.35">
      <c r="A2" s="55" t="s">
        <v>108</v>
      </c>
      <c r="B2" s="75"/>
      <c r="C2" s="74"/>
      <c r="D2" s="74"/>
    </row>
    <row r="3" spans="1:4" ht="50.25" customHeight="1" x14ac:dyDescent="0.35">
      <c r="A3" s="8" t="s">
        <v>109</v>
      </c>
      <c r="B3" s="58"/>
      <c r="C3" s="74"/>
      <c r="D3" s="74"/>
    </row>
    <row r="4" spans="1:4" ht="24.75" customHeight="1" x14ac:dyDescent="0.35">
      <c r="A4" s="32" t="s">
        <v>76</v>
      </c>
      <c r="B4" s="2" t="s">
        <v>77</v>
      </c>
    </row>
    <row r="5" spans="1:4" ht="24.75" customHeight="1" x14ac:dyDescent="0.35">
      <c r="A5" s="76" t="s">
        <v>110</v>
      </c>
      <c r="B5" s="77">
        <f>Nutrients_from_wastewater!B18</f>
        <v>0</v>
      </c>
    </row>
    <row r="6" spans="1:4" ht="24.75" customHeight="1" x14ac:dyDescent="0.35">
      <c r="A6" s="18" t="s">
        <v>111</v>
      </c>
      <c r="B6" s="78">
        <f>IFERROR(Nutrients_from_future_land_use!C22-SuDS!G30-Nutrients_from_current_land_use!C28,0)</f>
        <v>0</v>
      </c>
    </row>
    <row r="7" spans="1:4" ht="24.75" customHeight="1" x14ac:dyDescent="0.35">
      <c r="A7" s="18" t="s">
        <v>112</v>
      </c>
      <c r="B7" s="78">
        <f>IFERROR(B5+B6,0)</f>
        <v>0</v>
      </c>
    </row>
    <row r="8" spans="1:4" ht="24.75" customHeight="1" x14ac:dyDescent="0.35">
      <c r="A8" s="18" t="s">
        <v>113</v>
      </c>
      <c r="B8" s="78">
        <f>IFERROR(IF(B7&lt;0,B7,B7*1.2),0)</f>
        <v>0</v>
      </c>
    </row>
    <row r="9" spans="1:4" ht="24.75" customHeight="1" x14ac:dyDescent="0.35">
      <c r="A9" s="82" t="str">
        <f>IFERROR(IF(AND(Nutrients_from_wastewater!$B$5&lt;DATE(2025,1,1),OR((VLOOKUP(Nutrients_from_wastewater!$B$9,Value_look_up_tables!$A$5:$E$16,2,FALSE))&gt;(VLOOKUP(Nutrients_from_wastewater!$B$9,Value_look_up_tables!$A$5:$E$16,3,FALSE)),(VLOOKUP(Nutrients_from_wastewater!$B$9,Value_look_up_tables!$A$5:$E$16,2,FALSE))&gt;(VLOOKUP(Nutrients_from_wastewater!$B$9,Value_look_up_tables!$A$5:$E$16,3,FALSE)))),"Post-2030 annual nutrient budget","Annual nutrient budget"),"Annual nutrient budget")</f>
        <v>Annual nutrient budget</v>
      </c>
      <c r="B9" s="83"/>
    </row>
    <row r="10" spans="1:4" ht="24.75" customHeight="1" x14ac:dyDescent="0.35">
      <c r="A10" s="76" t="s">
        <v>114</v>
      </c>
      <c r="B10" s="78">
        <f>IFERROR(IF(ROUND(B8,2)&lt;0,0,ROUND(B8,2)),0)</f>
        <v>0</v>
      </c>
    </row>
    <row r="11" spans="1:4" ht="24.75" customHeight="1" x14ac:dyDescent="0.35">
      <c r="A11" s="82" t="str">
        <f>IF(Nutrients_from_wastewater!A19="Not applicable","Not applicable",IF(LEFT(Nutrients_from_wastewater!A19,9)="Pre-2030 ",LEFT(Nutrients_from_wastewater!A19,9),LEFT(Nutrients_from_wastewater!A19,10))&amp;"nutrient budget")</f>
        <v>Not applicable</v>
      </c>
      <c r="B11" s="83"/>
    </row>
    <row r="12" spans="1:4" ht="24.75" customHeight="1" x14ac:dyDescent="0.35">
      <c r="A12" s="76" t="str">
        <f>IF(A11&lt;&gt;"Not applicable","The total annual phosphorus load to mitigate is (kg TP/yr):","Not applicable")</f>
        <v>Not applicable</v>
      </c>
      <c r="B12" s="79" t="str">
        <f>IF(IFERROR(ROUND((Nutrients_from_wastewater!B20+$B$6)*1.2,2),"Not applicable")&lt;0,0,IFERROR(ROUND((Nutrients_from_wastewater!B20+$B$6)*1.2,2),"Not applicable"))</f>
        <v>Not applicable</v>
      </c>
    </row>
    <row r="13" spans="1:4" ht="24.75" customHeight="1" x14ac:dyDescent="0.35">
      <c r="A13" s="82" t="str">
        <f>IF(Nutrients_from_wastewater!A21="Not applicable","Not applicable",LEFT(Nutrients_from_wastewater!A21,9)&amp;"nutrient budget")</f>
        <v>Not applicable</v>
      </c>
      <c r="B13" s="83"/>
    </row>
    <row r="14" spans="1:4" ht="24.75" customHeight="1" x14ac:dyDescent="0.35">
      <c r="A14" s="80" t="str">
        <f>IF(A13&lt;&gt;"Not applicable","The total annual phosphorus load to mitigate is (kg TP/yr):","Not applicable")</f>
        <v>Not applicable</v>
      </c>
      <c r="B14" s="79" t="str">
        <f>IF(IFERROR(IF(Nutrients_from_wastewater!$A$21="Not applicable","Not applicable",ROUND((Nutrients_from_wastewater!B22+$B$6)*1.2,2)),IFERROR(B12,"Not applicable"))&lt;0,0,IFERROR(IF(Nutrients_from_wastewater!$A$21="Not applicable","Not applicable",ROUND((Nutrients_from_wastewater!B22+$B$6)*1.2,2)),IFERROR(B12,"Not applicable")))</f>
        <v>Not applicable</v>
      </c>
    </row>
    <row r="15" spans="1:4" ht="22.5" customHeight="1" x14ac:dyDescent="0.35">
      <c r="A15" s="81"/>
      <c r="B15" s="56"/>
    </row>
    <row r="16" spans="1:4" ht="15.5" x14ac:dyDescent="0.35">
      <c r="A16" s="81"/>
      <c r="B16" s="56"/>
      <c r="C16" s="58"/>
    </row>
  </sheetData>
  <sheetProtection algorithmName="SHA-512" hashValue="Yl1tg9wqEnWJJBUIkIx9IstnjTwsRr98StgeIs04q7KAnTqu9ycyd/4AsuCoIi5EGlWGe5n4vy6ejD00CkNf9g==" saltValue="0nw2xQIC0GmcFqDlzH8ADg==" spinCount="100000" sheet="1" objects="1" scenarios="1"/>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3125CCC-BE42-4D41-A6C3-63F556A5FD41}">
          <x14:formula1>
            <xm:f>'C:\Users\DS56\OneDrive - Ricardo Plc\NE NN\[Copy of Herefordshire Council Phosphate Budget Calculator_Final.xlsx]Stage 2 and 3 lookups'!#REF!</xm:f>
          </x14:formula1>
          <xm:sqref>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A7AF-3E94-4ACD-8BCA-F732777F79B7}">
  <dimension ref="A1:N210"/>
  <sheetViews>
    <sheetView topLeftCell="A4" zoomScaleNormal="100" workbookViewId="0">
      <selection activeCell="E10" sqref="E10"/>
    </sheetView>
  </sheetViews>
  <sheetFormatPr defaultColWidth="65.453125" defaultRowHeight="14" x14ac:dyDescent="0.3"/>
  <cols>
    <col min="1" max="1" width="47.26953125" style="88" customWidth="1"/>
    <col min="2" max="4" width="15.7265625" style="88" customWidth="1"/>
    <col min="5" max="5" width="25.7265625" style="88" customWidth="1"/>
    <col min="6" max="6" width="79.81640625" style="88" customWidth="1"/>
    <col min="7" max="8" width="15.7265625" style="88" customWidth="1"/>
    <col min="9" max="9" width="25.7265625" style="88" customWidth="1"/>
    <col min="10" max="13" width="15.7265625" style="88" customWidth="1"/>
    <col min="14" max="16384" width="65.453125" style="88"/>
  </cols>
  <sheetData>
    <row r="1" spans="1:14" ht="50.25" customHeight="1" x14ac:dyDescent="0.3">
      <c r="A1" s="111" t="s">
        <v>12</v>
      </c>
      <c r="B1" s="86"/>
      <c r="C1" s="87"/>
      <c r="D1" s="87"/>
      <c r="E1" s="87"/>
      <c r="F1" s="87"/>
      <c r="G1" s="87"/>
      <c r="H1" s="87"/>
      <c r="I1" s="87"/>
      <c r="J1" s="87"/>
      <c r="K1" s="87"/>
      <c r="L1" s="87"/>
      <c r="M1" s="87"/>
      <c r="N1" s="87"/>
    </row>
    <row r="2" spans="1:14" ht="57.75" customHeight="1" x14ac:dyDescent="0.3">
      <c r="A2" s="99" t="s">
        <v>115</v>
      </c>
    </row>
    <row r="3" spans="1:14" ht="37.5" customHeight="1" x14ac:dyDescent="0.3">
      <c r="A3" s="110" t="s">
        <v>116</v>
      </c>
      <c r="B3" s="89"/>
    </row>
    <row r="4" spans="1:14" ht="75.75" customHeight="1" x14ac:dyDescent="0.3">
      <c r="A4" s="121" t="s">
        <v>117</v>
      </c>
      <c r="B4" s="122" t="s">
        <v>118</v>
      </c>
      <c r="C4" s="122" t="s">
        <v>119</v>
      </c>
      <c r="D4" s="123" t="s">
        <v>120</v>
      </c>
      <c r="E4" s="43"/>
      <c r="F4" s="81"/>
      <c r="G4" s="81"/>
      <c r="H4" s="43"/>
      <c r="I4" s="43"/>
      <c r="J4" s="81"/>
      <c r="L4" s="65"/>
      <c r="M4" s="65"/>
    </row>
    <row r="5" spans="1:14" x14ac:dyDescent="0.3">
      <c r="A5" s="90" t="s">
        <v>121</v>
      </c>
      <c r="B5" s="91">
        <v>0</v>
      </c>
      <c r="C5" s="91">
        <v>0</v>
      </c>
      <c r="D5" s="92">
        <v>0</v>
      </c>
      <c r="E5" s="65"/>
      <c r="F5" s="65"/>
      <c r="G5" s="65"/>
      <c r="H5" s="65"/>
      <c r="I5" s="65"/>
      <c r="J5" s="65"/>
      <c r="L5" s="65"/>
      <c r="M5" s="65"/>
    </row>
    <row r="6" spans="1:14" x14ac:dyDescent="0.3">
      <c r="A6" s="90" t="s">
        <v>122</v>
      </c>
      <c r="B6" s="91">
        <v>0</v>
      </c>
      <c r="C6" s="91">
        <v>0</v>
      </c>
      <c r="D6" s="92">
        <v>0</v>
      </c>
      <c r="E6" s="65"/>
      <c r="F6" s="65"/>
      <c r="G6" s="65"/>
      <c r="H6" s="65"/>
      <c r="I6" s="65"/>
      <c r="J6" s="65"/>
      <c r="L6" s="65"/>
      <c r="M6" s="65"/>
    </row>
    <row r="7" spans="1:14" x14ac:dyDescent="0.3">
      <c r="A7" s="90" t="s">
        <v>123</v>
      </c>
      <c r="B7" s="91">
        <v>0</v>
      </c>
      <c r="C7" s="91">
        <v>0</v>
      </c>
      <c r="D7" s="92">
        <v>0</v>
      </c>
      <c r="E7" s="65"/>
      <c r="F7" s="65"/>
      <c r="G7" s="65"/>
      <c r="H7" s="65"/>
      <c r="I7" s="65"/>
      <c r="J7" s="65"/>
      <c r="L7" s="65"/>
      <c r="M7" s="65"/>
    </row>
    <row r="8" spans="1:14" x14ac:dyDescent="0.3">
      <c r="A8" s="90" t="s">
        <v>124</v>
      </c>
      <c r="B8" s="91">
        <v>8</v>
      </c>
      <c r="C8" s="91">
        <v>8</v>
      </c>
      <c r="D8" s="92">
        <v>8</v>
      </c>
      <c r="E8" s="65"/>
      <c r="F8" s="65"/>
      <c r="G8" s="65"/>
      <c r="H8" s="65"/>
      <c r="I8" s="65"/>
      <c r="J8" s="65"/>
      <c r="L8" s="65"/>
      <c r="M8" s="65"/>
    </row>
    <row r="9" spans="1:14" x14ac:dyDescent="0.3">
      <c r="A9" s="90" t="s">
        <v>125</v>
      </c>
      <c r="B9" s="91">
        <v>1</v>
      </c>
      <c r="C9" s="91">
        <v>0.8</v>
      </c>
      <c r="D9" s="92">
        <v>0.25</v>
      </c>
      <c r="E9" s="65"/>
      <c r="F9" s="65"/>
      <c r="G9" s="65"/>
      <c r="H9" s="65"/>
      <c r="I9" s="65"/>
      <c r="J9" s="65"/>
      <c r="L9" s="65"/>
      <c r="M9" s="65"/>
    </row>
    <row r="10" spans="1:14" x14ac:dyDescent="0.3">
      <c r="A10" s="90" t="s">
        <v>126</v>
      </c>
      <c r="B10" s="91">
        <v>1</v>
      </c>
      <c r="C10" s="91">
        <v>1</v>
      </c>
      <c r="D10" s="92">
        <v>0.25</v>
      </c>
      <c r="E10" s="65"/>
      <c r="F10" s="65"/>
      <c r="G10" s="65"/>
      <c r="H10" s="65"/>
      <c r="I10" s="65"/>
      <c r="J10" s="65"/>
      <c r="L10" s="65"/>
      <c r="M10" s="65"/>
    </row>
    <row r="11" spans="1:14" x14ac:dyDescent="0.3">
      <c r="A11" s="90" t="s">
        <v>127</v>
      </c>
      <c r="B11" s="91">
        <v>8</v>
      </c>
      <c r="C11" s="91">
        <v>8</v>
      </c>
      <c r="D11" s="92">
        <v>8</v>
      </c>
      <c r="E11" s="65"/>
      <c r="F11" s="65"/>
      <c r="G11" s="65"/>
      <c r="H11" s="65"/>
      <c r="I11" s="65"/>
      <c r="J11" s="65"/>
      <c r="L11" s="65"/>
      <c r="M11" s="65"/>
    </row>
    <row r="12" spans="1:14" x14ac:dyDescent="0.3">
      <c r="A12" s="90" t="s">
        <v>128</v>
      </c>
      <c r="B12" s="91">
        <v>0</v>
      </c>
      <c r="C12" s="91">
        <v>0</v>
      </c>
      <c r="D12" s="92">
        <v>0</v>
      </c>
      <c r="E12" s="65"/>
      <c r="F12" s="65"/>
      <c r="G12" s="65"/>
      <c r="H12" s="65"/>
      <c r="I12" s="65"/>
      <c r="J12" s="65"/>
      <c r="L12" s="65"/>
      <c r="M12" s="65"/>
    </row>
    <row r="13" spans="1:14" x14ac:dyDescent="0.3">
      <c r="A13" s="90" t="s">
        <v>129</v>
      </c>
      <c r="B13" s="91">
        <v>8</v>
      </c>
      <c r="C13" s="91">
        <v>2</v>
      </c>
      <c r="D13" s="92">
        <v>0.25</v>
      </c>
      <c r="E13" s="65"/>
      <c r="F13" s="65"/>
      <c r="G13" s="65"/>
      <c r="H13" s="65"/>
      <c r="I13" s="65"/>
      <c r="J13" s="65"/>
      <c r="L13" s="65"/>
      <c r="M13" s="65"/>
    </row>
    <row r="14" spans="1:14" x14ac:dyDescent="0.3">
      <c r="A14" s="90" t="s">
        <v>130</v>
      </c>
      <c r="B14" s="91">
        <v>8</v>
      </c>
      <c r="C14" s="91">
        <v>8</v>
      </c>
      <c r="D14" s="92">
        <v>0.25</v>
      </c>
      <c r="E14" s="65"/>
      <c r="F14" s="65"/>
      <c r="G14" s="65"/>
      <c r="H14" s="65"/>
      <c r="I14" s="65"/>
      <c r="J14" s="65"/>
      <c r="L14" s="65"/>
      <c r="M14" s="65"/>
    </row>
    <row r="15" spans="1:14" x14ac:dyDescent="0.3">
      <c r="A15" s="90" t="s">
        <v>131</v>
      </c>
      <c r="B15" s="91">
        <v>9.6999999999999993</v>
      </c>
      <c r="C15" s="91">
        <v>9.6999999999999993</v>
      </c>
      <c r="D15" s="92">
        <v>9.6999999999999993</v>
      </c>
      <c r="E15" s="65"/>
      <c r="F15" s="65"/>
      <c r="G15" s="65"/>
      <c r="H15" s="65"/>
      <c r="I15" s="65"/>
      <c r="J15" s="65"/>
      <c r="L15" s="65"/>
      <c r="M15" s="65"/>
    </row>
    <row r="16" spans="1:14" x14ac:dyDescent="0.3">
      <c r="A16" s="90" t="s">
        <v>132</v>
      </c>
      <c r="B16" s="91">
        <v>11.6</v>
      </c>
      <c r="C16" s="91">
        <v>11.6</v>
      </c>
      <c r="D16" s="92">
        <v>11.6</v>
      </c>
      <c r="E16" s="65"/>
      <c r="F16" s="65"/>
      <c r="G16" s="65"/>
      <c r="H16" s="65"/>
      <c r="I16" s="65"/>
      <c r="J16" s="65"/>
      <c r="L16" s="65"/>
      <c r="M16" s="65"/>
    </row>
    <row r="17" spans="1:13" x14ac:dyDescent="0.3">
      <c r="A17" s="90" t="s">
        <v>133</v>
      </c>
      <c r="B17" s="91"/>
      <c r="C17" s="91"/>
      <c r="D17" s="92"/>
      <c r="E17" s="65"/>
      <c r="F17" s="65"/>
      <c r="G17" s="65"/>
      <c r="H17" s="65"/>
      <c r="I17" s="65"/>
      <c r="J17" s="65"/>
      <c r="L17" s="65"/>
      <c r="M17" s="65"/>
    </row>
    <row r="18" spans="1:13" x14ac:dyDescent="0.3">
      <c r="A18" s="93" t="s">
        <v>134</v>
      </c>
      <c r="B18" s="94"/>
      <c r="C18" s="94"/>
      <c r="D18" s="95"/>
      <c r="E18" s="65"/>
      <c r="F18" s="65"/>
      <c r="G18" s="65"/>
      <c r="H18" s="65"/>
      <c r="I18" s="65"/>
      <c r="J18" s="65"/>
      <c r="L18" s="65"/>
      <c r="M18" s="65"/>
    </row>
    <row r="19" spans="1:13" x14ac:dyDescent="0.3">
      <c r="A19" s="65"/>
      <c r="B19" s="65"/>
      <c r="C19" s="65"/>
      <c r="D19" s="65"/>
      <c r="E19" s="65"/>
      <c r="F19" s="65"/>
      <c r="G19" s="65"/>
      <c r="H19" s="65"/>
      <c r="I19" s="65"/>
      <c r="J19" s="65"/>
      <c r="K19" s="65"/>
      <c r="L19" s="65"/>
      <c r="M19" s="65"/>
    </row>
    <row r="20" spans="1:13" ht="37.5" customHeight="1" x14ac:dyDescent="0.3">
      <c r="A20" s="106" t="s">
        <v>135</v>
      </c>
      <c r="B20" s="108"/>
      <c r="C20" s="65"/>
      <c r="D20" s="65"/>
      <c r="E20" s="65"/>
      <c r="F20" s="65"/>
      <c r="G20" s="65"/>
      <c r="H20" s="65"/>
      <c r="I20" s="65"/>
      <c r="J20" s="65"/>
      <c r="K20" s="65"/>
      <c r="L20" s="65"/>
      <c r="M20" s="65"/>
    </row>
    <row r="21" spans="1:13" ht="56" x14ac:dyDescent="0.3">
      <c r="A21" s="120" t="s">
        <v>136</v>
      </c>
      <c r="B21" s="120" t="s">
        <v>137</v>
      </c>
      <c r="C21" s="120" t="s">
        <v>138</v>
      </c>
      <c r="D21" s="120" t="s">
        <v>139</v>
      </c>
      <c r="E21" s="120" t="s">
        <v>140</v>
      </c>
      <c r="F21" s="120" t="s">
        <v>141</v>
      </c>
      <c r="G21" s="120" t="s">
        <v>142</v>
      </c>
      <c r="H21" s="120" t="s">
        <v>143</v>
      </c>
      <c r="I21" s="120" t="s">
        <v>144</v>
      </c>
      <c r="J21" s="120" t="s">
        <v>145</v>
      </c>
      <c r="K21" s="120" t="s">
        <v>146</v>
      </c>
      <c r="L21" s="120" t="s">
        <v>147</v>
      </c>
      <c r="M21" s="120" t="s">
        <v>148</v>
      </c>
    </row>
    <row r="22" spans="1:13" x14ac:dyDescent="0.3">
      <c r="A22" s="96" t="s">
        <v>149</v>
      </c>
      <c r="B22" s="96" t="s">
        <v>150</v>
      </c>
      <c r="C22" s="96" t="b">
        <v>0</v>
      </c>
      <c r="D22" s="96" t="s">
        <v>151</v>
      </c>
      <c r="E22" s="96" t="s">
        <v>152</v>
      </c>
      <c r="F22" s="91" t="s">
        <v>153</v>
      </c>
      <c r="G22" s="103"/>
      <c r="H22" s="103">
        <v>0.22268165934573059</v>
      </c>
      <c r="I22" s="91" t="s">
        <v>154</v>
      </c>
      <c r="J22" s="91"/>
      <c r="K22" s="91">
        <v>0.68141784218540236</v>
      </c>
      <c r="L22" s="91"/>
      <c r="M22" s="91">
        <v>0.57584362538797151</v>
      </c>
    </row>
    <row r="23" spans="1:13" x14ac:dyDescent="0.3">
      <c r="A23" s="96" t="s">
        <v>149</v>
      </c>
      <c r="B23" s="96" t="s">
        <v>150</v>
      </c>
      <c r="C23" s="96" t="b">
        <v>0</v>
      </c>
      <c r="D23" s="96" t="s">
        <v>151</v>
      </c>
      <c r="E23" s="96" t="s">
        <v>155</v>
      </c>
      <c r="F23" s="91" t="s">
        <v>156</v>
      </c>
      <c r="G23" s="103"/>
      <c r="H23" s="103">
        <v>1.1401540250250741</v>
      </c>
      <c r="I23" s="91" t="s">
        <v>154</v>
      </c>
      <c r="J23" s="91"/>
      <c r="K23" s="91"/>
      <c r="L23" s="91"/>
      <c r="M23" s="91"/>
    </row>
    <row r="24" spans="1:13" x14ac:dyDescent="0.3">
      <c r="A24" s="96" t="s">
        <v>149</v>
      </c>
      <c r="B24" s="96" t="s">
        <v>150</v>
      </c>
      <c r="C24" s="96" t="b">
        <v>0</v>
      </c>
      <c r="D24" s="96" t="s">
        <v>157</v>
      </c>
      <c r="E24" s="96" t="s">
        <v>152</v>
      </c>
      <c r="F24" s="91" t="s">
        <v>158</v>
      </c>
      <c r="G24" s="103"/>
      <c r="H24" s="103">
        <v>0.3333551030803249</v>
      </c>
      <c r="I24" s="91" t="s">
        <v>159</v>
      </c>
      <c r="J24" s="91"/>
      <c r="K24" s="91">
        <v>1.0086397335954627</v>
      </c>
      <c r="L24" s="91"/>
      <c r="M24" s="91"/>
    </row>
    <row r="25" spans="1:13" x14ac:dyDescent="0.3">
      <c r="A25" s="96" t="s">
        <v>149</v>
      </c>
      <c r="B25" s="96" t="s">
        <v>150</v>
      </c>
      <c r="C25" s="96" t="b">
        <v>0</v>
      </c>
      <c r="D25" s="96" t="s">
        <v>160</v>
      </c>
      <c r="E25" s="96" t="s">
        <v>152</v>
      </c>
      <c r="F25" s="91" t="s">
        <v>161</v>
      </c>
      <c r="G25" s="103"/>
      <c r="H25" s="103">
        <v>0.60718371410075633</v>
      </c>
      <c r="I25" s="91" t="s">
        <v>162</v>
      </c>
      <c r="J25" s="91"/>
      <c r="K25" s="91">
        <v>0.62718886616162217</v>
      </c>
      <c r="L25" s="91"/>
      <c r="M25" s="91"/>
    </row>
    <row r="26" spans="1:13" x14ac:dyDescent="0.3">
      <c r="A26" s="96" t="s">
        <v>149</v>
      </c>
      <c r="B26" s="96" t="s">
        <v>163</v>
      </c>
      <c r="C26" s="96" t="b">
        <v>0</v>
      </c>
      <c r="D26" s="96" t="s">
        <v>151</v>
      </c>
      <c r="E26" s="96" t="s">
        <v>152</v>
      </c>
      <c r="F26" s="91" t="s">
        <v>164</v>
      </c>
      <c r="G26" s="103"/>
      <c r="H26" s="103">
        <v>0.17194498911032507</v>
      </c>
      <c r="I26" s="91" t="s">
        <v>165</v>
      </c>
      <c r="J26" s="91"/>
      <c r="K26" s="91">
        <v>0.44228131422957839</v>
      </c>
      <c r="L26" s="91"/>
      <c r="M26" s="91">
        <v>0.55359621588568753</v>
      </c>
    </row>
    <row r="27" spans="1:13" x14ac:dyDescent="0.3">
      <c r="A27" s="96" t="s">
        <v>149</v>
      </c>
      <c r="B27" s="96" t="s">
        <v>163</v>
      </c>
      <c r="C27" s="96" t="b">
        <v>0</v>
      </c>
      <c r="D27" s="96" t="s">
        <v>151</v>
      </c>
      <c r="E27" s="96" t="s">
        <v>155</v>
      </c>
      <c r="F27" s="91" t="s">
        <v>166</v>
      </c>
      <c r="G27" s="103"/>
      <c r="H27" s="103">
        <v>0.71261763934883171</v>
      </c>
      <c r="I27" s="91" t="s">
        <v>165</v>
      </c>
      <c r="J27" s="91"/>
      <c r="K27" s="91"/>
      <c r="L27" s="91"/>
      <c r="M27" s="91"/>
    </row>
    <row r="28" spans="1:13" x14ac:dyDescent="0.3">
      <c r="A28" s="96" t="s">
        <v>149</v>
      </c>
      <c r="B28" s="96" t="s">
        <v>163</v>
      </c>
      <c r="C28" s="96" t="b">
        <v>0</v>
      </c>
      <c r="D28" s="96" t="s">
        <v>157</v>
      </c>
      <c r="E28" s="96" t="s">
        <v>152</v>
      </c>
      <c r="F28" s="91" t="s">
        <v>167</v>
      </c>
      <c r="G28" s="103"/>
      <c r="H28" s="103">
        <v>0.25964333144221985</v>
      </c>
      <c r="I28" s="91" t="s">
        <v>168</v>
      </c>
      <c r="J28" s="91"/>
      <c r="K28" s="91">
        <v>0.71156903297947238</v>
      </c>
      <c r="L28" s="91"/>
      <c r="M28" s="91"/>
    </row>
    <row r="29" spans="1:13" x14ac:dyDescent="0.3">
      <c r="A29" s="96" t="s">
        <v>149</v>
      </c>
      <c r="B29" s="96" t="s">
        <v>163</v>
      </c>
      <c r="C29" s="96" t="b">
        <v>0</v>
      </c>
      <c r="D29" s="96" t="s">
        <v>157</v>
      </c>
      <c r="E29" s="96" t="s">
        <v>155</v>
      </c>
      <c r="F29" s="91" t="s">
        <v>169</v>
      </c>
      <c r="G29" s="103"/>
      <c r="H29" s="103">
        <v>1.163494734516725</v>
      </c>
      <c r="I29" s="91" t="s">
        <v>168</v>
      </c>
      <c r="J29" s="91"/>
      <c r="K29" s="91"/>
      <c r="L29" s="91"/>
      <c r="M29" s="91"/>
    </row>
    <row r="30" spans="1:13" x14ac:dyDescent="0.3">
      <c r="A30" s="96" t="s">
        <v>149</v>
      </c>
      <c r="B30" s="96" t="s">
        <v>163</v>
      </c>
      <c r="C30" s="96" t="b">
        <v>0</v>
      </c>
      <c r="D30" s="96" t="s">
        <v>160</v>
      </c>
      <c r="E30" s="96" t="s">
        <v>152</v>
      </c>
      <c r="F30" s="91" t="s">
        <v>170</v>
      </c>
      <c r="G30" s="103"/>
      <c r="H30" s="103">
        <v>0.46028038501033652</v>
      </c>
      <c r="I30" s="91" t="s">
        <v>171</v>
      </c>
      <c r="J30" s="91"/>
      <c r="K30" s="91">
        <v>1.0204598222702475</v>
      </c>
      <c r="L30" s="91"/>
      <c r="M30" s="91"/>
    </row>
    <row r="31" spans="1:13" x14ac:dyDescent="0.3">
      <c r="A31" s="96" t="s">
        <v>149</v>
      </c>
      <c r="B31" s="96" t="s">
        <v>172</v>
      </c>
      <c r="C31" s="96" t="b">
        <v>0</v>
      </c>
      <c r="D31" s="96" t="s">
        <v>151</v>
      </c>
      <c r="E31" s="96" t="s">
        <v>152</v>
      </c>
      <c r="F31" s="91" t="s">
        <v>173</v>
      </c>
      <c r="G31" s="103"/>
      <c r="H31" s="103">
        <v>0.18714087595685056</v>
      </c>
      <c r="I31" s="91" t="s">
        <v>174</v>
      </c>
      <c r="J31" s="91"/>
      <c r="K31" s="91">
        <v>0.52213843112372327</v>
      </c>
      <c r="L31" s="91"/>
      <c r="M31" s="91">
        <v>0.4603345341999493</v>
      </c>
    </row>
    <row r="32" spans="1:13" x14ac:dyDescent="0.3">
      <c r="A32" s="96" t="s">
        <v>149</v>
      </c>
      <c r="B32" s="96" t="s">
        <v>172</v>
      </c>
      <c r="C32" s="96" t="b">
        <v>0</v>
      </c>
      <c r="D32" s="96" t="s">
        <v>151</v>
      </c>
      <c r="E32" s="96" t="s">
        <v>155</v>
      </c>
      <c r="F32" s="91" t="s">
        <v>175</v>
      </c>
      <c r="G32" s="103"/>
      <c r="H32" s="103">
        <v>0.85713598629059606</v>
      </c>
      <c r="I32" s="91" t="s">
        <v>174</v>
      </c>
      <c r="J32" s="91"/>
      <c r="K32" s="91"/>
      <c r="L32" s="91"/>
      <c r="M32" s="91"/>
    </row>
    <row r="33" spans="1:14" x14ac:dyDescent="0.3">
      <c r="A33" s="96" t="s">
        <v>149</v>
      </c>
      <c r="B33" s="96" t="s">
        <v>172</v>
      </c>
      <c r="C33" s="96" t="b">
        <v>0</v>
      </c>
      <c r="D33" s="96" t="s">
        <v>157</v>
      </c>
      <c r="E33" s="96" t="s">
        <v>152</v>
      </c>
      <c r="F33" s="91" t="s">
        <v>176</v>
      </c>
      <c r="G33" s="103"/>
      <c r="H33" s="103">
        <v>0.28402055023308725</v>
      </c>
      <c r="I33" s="91" t="s">
        <v>177</v>
      </c>
      <c r="J33" s="91"/>
      <c r="K33" s="91">
        <v>0.85779038374461691</v>
      </c>
      <c r="L33" s="91"/>
      <c r="M33" s="91"/>
    </row>
    <row r="34" spans="1:14" x14ac:dyDescent="0.3">
      <c r="A34" s="96" t="s">
        <v>149</v>
      </c>
      <c r="B34" s="96" t="s">
        <v>172</v>
      </c>
      <c r="C34" s="96" t="b">
        <v>0</v>
      </c>
      <c r="D34" s="96" t="s">
        <v>160</v>
      </c>
      <c r="E34" s="96" t="s">
        <v>152</v>
      </c>
      <c r="F34" s="91" t="s">
        <v>178</v>
      </c>
      <c r="G34" s="103"/>
      <c r="H34" s="103">
        <v>0.5130407243192634</v>
      </c>
      <c r="I34" s="91" t="s">
        <v>179</v>
      </c>
      <c r="J34" s="91"/>
      <c r="K34" s="91">
        <v>0.52284595887251317</v>
      </c>
      <c r="L34" s="91"/>
      <c r="M34" s="91"/>
    </row>
    <row r="35" spans="1:14" x14ac:dyDescent="0.3">
      <c r="A35" s="96" t="s">
        <v>149</v>
      </c>
      <c r="B35" s="96" t="s">
        <v>180</v>
      </c>
      <c r="C35" s="96" t="b">
        <v>0</v>
      </c>
      <c r="D35" s="96" t="s">
        <v>157</v>
      </c>
      <c r="E35" s="96" t="s">
        <v>152</v>
      </c>
      <c r="F35" s="91" t="s">
        <v>181</v>
      </c>
      <c r="G35" s="103"/>
      <c r="H35" s="103">
        <v>0.3383681037858165</v>
      </c>
      <c r="I35" s="91" t="s">
        <v>182</v>
      </c>
      <c r="J35" s="91"/>
      <c r="K35" s="91">
        <v>0.35706930429970718</v>
      </c>
      <c r="L35" s="91"/>
      <c r="M35" s="91">
        <v>0.3383681037858165</v>
      </c>
    </row>
    <row r="36" spans="1:14" x14ac:dyDescent="0.3">
      <c r="A36" s="96" t="s">
        <v>149</v>
      </c>
      <c r="B36" s="96" t="s">
        <v>183</v>
      </c>
      <c r="C36" s="96" t="b">
        <v>0</v>
      </c>
      <c r="D36" s="96" t="s">
        <v>157</v>
      </c>
      <c r="E36" s="96" t="s">
        <v>152</v>
      </c>
      <c r="F36" s="91" t="s">
        <v>184</v>
      </c>
      <c r="G36" s="103"/>
      <c r="H36" s="103">
        <v>0.34689722906915599</v>
      </c>
      <c r="I36" s="91" t="s">
        <v>185</v>
      </c>
      <c r="J36" s="91"/>
      <c r="K36" s="91">
        <v>0.67558960936027868</v>
      </c>
      <c r="L36" s="91"/>
      <c r="M36" s="91">
        <v>0.46462885420662936</v>
      </c>
    </row>
    <row r="37" spans="1:14" x14ac:dyDescent="0.3">
      <c r="A37" s="96" t="s">
        <v>149</v>
      </c>
      <c r="B37" s="96" t="s">
        <v>183</v>
      </c>
      <c r="C37" s="96" t="b">
        <v>0</v>
      </c>
      <c r="D37" s="96" t="s">
        <v>160</v>
      </c>
      <c r="E37" s="96" t="s">
        <v>152</v>
      </c>
      <c r="F37" s="91" t="s">
        <v>186</v>
      </c>
      <c r="G37" s="103"/>
      <c r="H37" s="103">
        <v>0.58236047934410273</v>
      </c>
      <c r="I37" s="91" t="s">
        <v>187</v>
      </c>
      <c r="J37" s="91"/>
      <c r="K37" s="91">
        <v>0.57295573579860282</v>
      </c>
      <c r="L37" s="91"/>
      <c r="M37" s="91"/>
    </row>
    <row r="38" spans="1:14" x14ac:dyDescent="0.3">
      <c r="A38" s="96" t="s">
        <v>149</v>
      </c>
      <c r="B38" s="96" t="s">
        <v>188</v>
      </c>
      <c r="C38" s="96" t="b">
        <v>0</v>
      </c>
      <c r="D38" s="96" t="s">
        <v>151</v>
      </c>
      <c r="E38" s="96" t="s">
        <v>152</v>
      </c>
      <c r="F38" s="91" t="s">
        <v>189</v>
      </c>
      <c r="G38" s="103"/>
      <c r="H38" s="103">
        <v>0.26992088251761831</v>
      </c>
      <c r="I38" s="91" t="s">
        <v>190</v>
      </c>
      <c r="J38" s="91"/>
      <c r="K38" s="91">
        <v>0.40891475781580722</v>
      </c>
      <c r="L38" s="91"/>
      <c r="M38" s="91">
        <v>0.38942536717842063</v>
      </c>
    </row>
    <row r="39" spans="1:14" x14ac:dyDescent="0.3">
      <c r="A39" s="96" t="s">
        <v>149</v>
      </c>
      <c r="B39" s="96" t="s">
        <v>188</v>
      </c>
      <c r="C39" s="96" t="b">
        <v>0</v>
      </c>
      <c r="D39" s="96" t="s">
        <v>151</v>
      </c>
      <c r="E39" s="96" t="s">
        <v>155</v>
      </c>
      <c r="F39" s="91" t="s">
        <v>191</v>
      </c>
      <c r="G39" s="103"/>
      <c r="H39" s="103">
        <v>0.54790863311399618</v>
      </c>
      <c r="I39" s="91" t="s">
        <v>190</v>
      </c>
      <c r="J39" s="91"/>
      <c r="K39" s="91"/>
      <c r="L39" s="91"/>
      <c r="M39" s="91"/>
    </row>
    <row r="40" spans="1:14" x14ac:dyDescent="0.3">
      <c r="A40" s="96" t="s">
        <v>149</v>
      </c>
      <c r="B40" s="96" t="s">
        <v>188</v>
      </c>
      <c r="C40" s="96" t="b">
        <v>0</v>
      </c>
      <c r="D40" s="96" t="s">
        <v>157</v>
      </c>
      <c r="E40" s="96" t="s">
        <v>152</v>
      </c>
      <c r="F40" s="91" t="s">
        <v>192</v>
      </c>
      <c r="G40" s="103"/>
      <c r="H40" s="103">
        <v>0.35044658590364736</v>
      </c>
      <c r="I40" s="91" t="s">
        <v>193</v>
      </c>
      <c r="J40" s="91"/>
      <c r="K40" s="91">
        <v>1.2622759694102776</v>
      </c>
      <c r="L40" s="91"/>
      <c r="M40" s="91"/>
    </row>
    <row r="41" spans="1:14" x14ac:dyDescent="0.3">
      <c r="A41" s="96" t="s">
        <v>149</v>
      </c>
      <c r="B41" s="96" t="s">
        <v>194</v>
      </c>
      <c r="C41" s="96" t="b">
        <v>0</v>
      </c>
      <c r="D41" s="96" t="s">
        <v>151</v>
      </c>
      <c r="E41" s="96" t="s">
        <v>152</v>
      </c>
      <c r="F41" s="91" t="s">
        <v>195</v>
      </c>
      <c r="G41" s="103"/>
      <c r="H41" s="103">
        <v>0.13157422071153757</v>
      </c>
      <c r="I41" s="91" t="s">
        <v>196</v>
      </c>
      <c r="J41" s="91"/>
      <c r="K41" s="91">
        <v>0.4072393176286469</v>
      </c>
      <c r="L41" s="91"/>
      <c r="M41" s="91">
        <v>0.19885718043466599</v>
      </c>
    </row>
    <row r="42" spans="1:14" x14ac:dyDescent="0.3">
      <c r="A42" s="96" t="s">
        <v>149</v>
      </c>
      <c r="B42" s="96" t="s">
        <v>194</v>
      </c>
      <c r="C42" s="96" t="b">
        <v>0</v>
      </c>
      <c r="D42" s="96" t="s">
        <v>151</v>
      </c>
      <c r="E42" s="96" t="s">
        <v>155</v>
      </c>
      <c r="F42" s="91" t="s">
        <v>197</v>
      </c>
      <c r="G42" s="103"/>
      <c r="H42" s="103">
        <v>0.15152641664437672</v>
      </c>
      <c r="I42" s="91" t="s">
        <v>196</v>
      </c>
      <c r="J42" s="91"/>
      <c r="K42" s="91"/>
      <c r="L42" s="91"/>
      <c r="M42" s="91"/>
    </row>
    <row r="43" spans="1:14" x14ac:dyDescent="0.3">
      <c r="A43" s="96" t="s">
        <v>149</v>
      </c>
      <c r="B43" s="96" t="s">
        <v>194</v>
      </c>
      <c r="C43" s="96" t="b">
        <v>0</v>
      </c>
      <c r="D43" s="96" t="s">
        <v>157</v>
      </c>
      <c r="E43" s="96" t="s">
        <v>152</v>
      </c>
      <c r="F43" s="91" t="s">
        <v>198</v>
      </c>
      <c r="G43" s="103"/>
      <c r="H43" s="103">
        <v>0.18569948347402684</v>
      </c>
      <c r="I43" s="91" t="s">
        <v>199</v>
      </c>
      <c r="J43" s="91"/>
      <c r="K43" s="91">
        <v>0.60419664890869507</v>
      </c>
      <c r="L43" s="91"/>
      <c r="M43" s="91"/>
      <c r="N43" s="65"/>
    </row>
    <row r="44" spans="1:14" x14ac:dyDescent="0.3">
      <c r="A44" s="96" t="s">
        <v>149</v>
      </c>
      <c r="B44" s="96" t="s">
        <v>194</v>
      </c>
      <c r="C44" s="96" t="b">
        <v>0</v>
      </c>
      <c r="D44" s="96" t="s">
        <v>157</v>
      </c>
      <c r="E44" s="96" t="s">
        <v>155</v>
      </c>
      <c r="F44" s="91" t="s">
        <v>200</v>
      </c>
      <c r="G44" s="103"/>
      <c r="H44" s="103">
        <v>0.23753379696144195</v>
      </c>
      <c r="I44" s="91" t="s">
        <v>199</v>
      </c>
      <c r="J44" s="91"/>
      <c r="K44" s="91"/>
      <c r="L44" s="91"/>
      <c r="M44" s="91"/>
      <c r="N44" s="65"/>
    </row>
    <row r="45" spans="1:14" x14ac:dyDescent="0.3">
      <c r="A45" s="96" t="s">
        <v>149</v>
      </c>
      <c r="B45" s="96" t="s">
        <v>194</v>
      </c>
      <c r="C45" s="96" t="b">
        <v>0</v>
      </c>
      <c r="D45" s="96" t="s">
        <v>160</v>
      </c>
      <c r="E45" s="96" t="s">
        <v>152</v>
      </c>
      <c r="F45" s="91" t="s">
        <v>201</v>
      </c>
      <c r="G45" s="103"/>
      <c r="H45" s="103">
        <v>0.2879519843819468</v>
      </c>
      <c r="I45" s="91" t="s">
        <v>202</v>
      </c>
      <c r="J45" s="91"/>
      <c r="K45" s="91">
        <v>0.30865771267291875</v>
      </c>
      <c r="L45" s="91"/>
      <c r="M45" s="91"/>
      <c r="N45" s="65"/>
    </row>
    <row r="46" spans="1:14" x14ac:dyDescent="0.3">
      <c r="A46" s="96" t="s">
        <v>149</v>
      </c>
      <c r="B46" s="96" t="s">
        <v>203</v>
      </c>
      <c r="C46" s="96" t="b">
        <v>0</v>
      </c>
      <c r="D46" s="96" t="s">
        <v>151</v>
      </c>
      <c r="E46" s="96" t="s">
        <v>152</v>
      </c>
      <c r="F46" s="91" t="s">
        <v>204</v>
      </c>
      <c r="G46" s="103"/>
      <c r="H46" s="103">
        <v>0.16814283133104013</v>
      </c>
      <c r="I46" s="91" t="s">
        <v>205</v>
      </c>
      <c r="J46" s="91"/>
      <c r="K46" s="91">
        <v>0.57695716214575077</v>
      </c>
      <c r="L46" s="91"/>
      <c r="M46" s="91">
        <v>0.31121168835227103</v>
      </c>
      <c r="N46" s="65"/>
    </row>
    <row r="47" spans="1:14" x14ac:dyDescent="0.3">
      <c r="A47" s="96" t="s">
        <v>149</v>
      </c>
      <c r="B47" s="96" t="s">
        <v>203</v>
      </c>
      <c r="C47" s="96" t="b">
        <v>0</v>
      </c>
      <c r="D47" s="96" t="s">
        <v>151</v>
      </c>
      <c r="E47" s="96" t="s">
        <v>155</v>
      </c>
      <c r="F47" s="91" t="s">
        <v>206</v>
      </c>
      <c r="G47" s="103"/>
      <c r="H47" s="103">
        <v>0.30783078577548562</v>
      </c>
      <c r="I47" s="91" t="s">
        <v>205</v>
      </c>
      <c r="J47" s="91"/>
      <c r="K47" s="91"/>
      <c r="L47" s="91"/>
      <c r="M47" s="91"/>
      <c r="N47" s="65"/>
    </row>
    <row r="48" spans="1:14" x14ac:dyDescent="0.3">
      <c r="A48" s="96" t="s">
        <v>149</v>
      </c>
      <c r="B48" s="96" t="s">
        <v>203</v>
      </c>
      <c r="C48" s="96" t="b">
        <v>0</v>
      </c>
      <c r="D48" s="96" t="s">
        <v>157</v>
      </c>
      <c r="E48" s="96" t="s">
        <v>152</v>
      </c>
      <c r="F48" s="91" t="s">
        <v>207</v>
      </c>
      <c r="G48" s="103"/>
      <c r="H48" s="103">
        <v>0.23321843844624723</v>
      </c>
      <c r="I48" s="91" t="s">
        <v>208</v>
      </c>
      <c r="J48" s="91"/>
      <c r="K48" s="91">
        <v>0.84797876400328276</v>
      </c>
      <c r="L48" s="91"/>
      <c r="M48" s="91"/>
      <c r="N48" s="65"/>
    </row>
    <row r="49" spans="1:14" x14ac:dyDescent="0.3">
      <c r="A49" s="96" t="s">
        <v>149</v>
      </c>
      <c r="B49" s="96" t="s">
        <v>203</v>
      </c>
      <c r="C49" s="96" t="b">
        <v>0</v>
      </c>
      <c r="D49" s="96" t="s">
        <v>157</v>
      </c>
      <c r="E49" s="96" t="s">
        <v>155</v>
      </c>
      <c r="F49" s="91" t="s">
        <v>209</v>
      </c>
      <c r="G49" s="103"/>
      <c r="H49" s="103">
        <v>0.48234614724253844</v>
      </c>
      <c r="I49" s="91" t="s">
        <v>208</v>
      </c>
      <c r="J49" s="91"/>
      <c r="K49" s="91"/>
      <c r="L49" s="91"/>
      <c r="M49" s="91"/>
      <c r="N49" s="65"/>
    </row>
    <row r="50" spans="1:14" x14ac:dyDescent="0.3">
      <c r="A50" s="96" t="s">
        <v>149</v>
      </c>
      <c r="B50" s="96" t="s">
        <v>203</v>
      </c>
      <c r="C50" s="96" t="b">
        <v>0</v>
      </c>
      <c r="D50" s="96" t="s">
        <v>160</v>
      </c>
      <c r="E50" s="96" t="s">
        <v>152</v>
      </c>
      <c r="F50" s="91" t="s">
        <v>210</v>
      </c>
      <c r="G50" s="103"/>
      <c r="H50" s="103">
        <v>0.36452023896604369</v>
      </c>
      <c r="I50" s="91" t="s">
        <v>211</v>
      </c>
      <c r="J50" s="91"/>
      <c r="K50" s="91">
        <v>0.47532415308784554</v>
      </c>
      <c r="L50" s="91"/>
      <c r="M50" s="91"/>
      <c r="N50" s="65"/>
    </row>
    <row r="51" spans="1:14" x14ac:dyDescent="0.3">
      <c r="A51" s="96" t="s">
        <v>149</v>
      </c>
      <c r="B51" s="96" t="s">
        <v>212</v>
      </c>
      <c r="C51" s="96" t="b">
        <v>0</v>
      </c>
      <c r="D51" s="96" t="s">
        <v>151</v>
      </c>
      <c r="E51" s="96" t="s">
        <v>152</v>
      </c>
      <c r="F51" s="91" t="s">
        <v>213</v>
      </c>
      <c r="G51" s="103"/>
      <c r="H51" s="103">
        <v>0.21015917992383415</v>
      </c>
      <c r="I51" s="91" t="s">
        <v>214</v>
      </c>
      <c r="J51" s="91"/>
      <c r="K51" s="91">
        <v>0.8271843343157933</v>
      </c>
      <c r="L51" s="91"/>
      <c r="M51" s="91">
        <v>0.4345452568699254</v>
      </c>
      <c r="N51" s="65"/>
    </row>
    <row r="52" spans="1:14" x14ac:dyDescent="0.3">
      <c r="A52" s="96" t="s">
        <v>149</v>
      </c>
      <c r="B52" s="96" t="s">
        <v>212</v>
      </c>
      <c r="C52" s="96" t="b">
        <v>0</v>
      </c>
      <c r="D52" s="96" t="s">
        <v>151</v>
      </c>
      <c r="E52" s="96" t="s">
        <v>155</v>
      </c>
      <c r="F52" s="91" t="s">
        <v>215</v>
      </c>
      <c r="G52" s="103"/>
      <c r="H52" s="103">
        <v>0.7230894864759182</v>
      </c>
      <c r="I52" s="91" t="s">
        <v>214</v>
      </c>
      <c r="J52" s="91"/>
      <c r="K52" s="91"/>
      <c r="L52" s="91"/>
      <c r="M52" s="91"/>
      <c r="N52" s="65"/>
    </row>
    <row r="53" spans="1:14" x14ac:dyDescent="0.3">
      <c r="A53" s="96" t="s">
        <v>149</v>
      </c>
      <c r="B53" s="96" t="s">
        <v>212</v>
      </c>
      <c r="C53" s="96" t="b">
        <v>0</v>
      </c>
      <c r="D53" s="96" t="s">
        <v>157</v>
      </c>
      <c r="E53" s="96" t="s">
        <v>152</v>
      </c>
      <c r="F53" s="91" t="s">
        <v>216</v>
      </c>
      <c r="G53" s="103"/>
      <c r="H53" s="103">
        <v>0.29927843349330513</v>
      </c>
      <c r="I53" s="91" t="s">
        <v>217</v>
      </c>
      <c r="J53" s="91"/>
      <c r="K53" s="91">
        <v>0.75257215783271969</v>
      </c>
      <c r="L53" s="91"/>
      <c r="M53" s="91"/>
      <c r="N53" s="65"/>
    </row>
    <row r="54" spans="1:14" x14ac:dyDescent="0.3">
      <c r="A54" s="96" t="s">
        <v>149</v>
      </c>
      <c r="B54" s="96" t="s">
        <v>212</v>
      </c>
      <c r="C54" s="96" t="b">
        <v>0</v>
      </c>
      <c r="D54" s="96" t="s">
        <v>160</v>
      </c>
      <c r="E54" s="96" t="s">
        <v>152</v>
      </c>
      <c r="F54" s="91" t="s">
        <v>218</v>
      </c>
      <c r="G54" s="103"/>
      <c r="H54" s="103">
        <v>0.50565392758664407</v>
      </c>
      <c r="I54" s="91" t="s">
        <v>219</v>
      </c>
      <c r="J54" s="91"/>
      <c r="K54" s="91">
        <v>0.50565392758664407</v>
      </c>
      <c r="L54" s="91"/>
      <c r="M54" s="91"/>
      <c r="N54" s="65"/>
    </row>
    <row r="55" spans="1:14" x14ac:dyDescent="0.3">
      <c r="A55" s="96" t="s">
        <v>220</v>
      </c>
      <c r="B55" s="96" t="s">
        <v>150</v>
      </c>
      <c r="C55" s="96" t="b">
        <v>0</v>
      </c>
      <c r="D55" s="96" t="s">
        <v>151</v>
      </c>
      <c r="E55" s="96" t="s">
        <v>152</v>
      </c>
      <c r="F55" s="91" t="s">
        <v>221</v>
      </c>
      <c r="G55" s="103"/>
      <c r="H55" s="103">
        <v>0.23490287338438326</v>
      </c>
      <c r="I55" s="91"/>
      <c r="J55" s="91"/>
      <c r="K55" s="91"/>
      <c r="L55" s="91"/>
      <c r="M55" s="91"/>
      <c r="N55" s="65"/>
    </row>
    <row r="56" spans="1:14" x14ac:dyDescent="0.3">
      <c r="A56" s="96" t="s">
        <v>220</v>
      </c>
      <c r="B56" s="96" t="s">
        <v>150</v>
      </c>
      <c r="C56" s="96" t="b">
        <v>0</v>
      </c>
      <c r="D56" s="96" t="s">
        <v>151</v>
      </c>
      <c r="E56" s="96" t="s">
        <v>155</v>
      </c>
      <c r="F56" s="91" t="s">
        <v>222</v>
      </c>
      <c r="G56" s="103"/>
      <c r="H56" s="103">
        <v>1.1878274173255803</v>
      </c>
      <c r="I56" s="91"/>
      <c r="J56" s="91"/>
      <c r="K56" s="91"/>
      <c r="L56" s="91"/>
      <c r="M56" s="91"/>
      <c r="N56" s="65"/>
    </row>
    <row r="57" spans="1:14" x14ac:dyDescent="0.3">
      <c r="A57" s="96" t="s">
        <v>220</v>
      </c>
      <c r="B57" s="96" t="s">
        <v>150</v>
      </c>
      <c r="C57" s="96" t="b">
        <v>0</v>
      </c>
      <c r="D57" s="96" t="s">
        <v>151</v>
      </c>
      <c r="E57" s="96" t="s">
        <v>223</v>
      </c>
      <c r="F57" s="91" t="s">
        <v>224</v>
      </c>
      <c r="G57" s="103"/>
      <c r="H57" s="103">
        <v>1.5047366803804829</v>
      </c>
      <c r="I57" s="91"/>
      <c r="J57" s="91"/>
      <c r="K57" s="91"/>
      <c r="L57" s="91"/>
      <c r="M57" s="91"/>
      <c r="N57" s="65"/>
    </row>
    <row r="58" spans="1:14" x14ac:dyDescent="0.3">
      <c r="A58" s="96" t="s">
        <v>220</v>
      </c>
      <c r="B58" s="96" t="s">
        <v>150</v>
      </c>
      <c r="C58" s="96" t="b">
        <v>0</v>
      </c>
      <c r="D58" s="96" t="s">
        <v>157</v>
      </c>
      <c r="E58" s="96" t="s">
        <v>152</v>
      </c>
      <c r="F58" s="91" t="s">
        <v>225</v>
      </c>
      <c r="G58" s="103"/>
      <c r="H58" s="103">
        <v>0.35328669229046539</v>
      </c>
      <c r="I58" s="91"/>
      <c r="J58" s="91"/>
      <c r="K58" s="91"/>
      <c r="L58" s="91"/>
      <c r="M58" s="91"/>
      <c r="N58" s="65"/>
    </row>
    <row r="59" spans="1:14" x14ac:dyDescent="0.3">
      <c r="A59" s="96" t="s">
        <v>220</v>
      </c>
      <c r="B59" s="96" t="s">
        <v>150</v>
      </c>
      <c r="C59" s="96" t="b">
        <v>0</v>
      </c>
      <c r="D59" s="96" t="s">
        <v>160</v>
      </c>
      <c r="E59" s="96" t="s">
        <v>152</v>
      </c>
      <c r="F59" s="91" t="s">
        <v>226</v>
      </c>
      <c r="G59" s="103"/>
      <c r="H59" s="103">
        <v>0.64719401822248801</v>
      </c>
      <c r="I59" s="91"/>
      <c r="J59" s="91"/>
      <c r="K59" s="91"/>
      <c r="L59" s="91"/>
      <c r="M59" s="91"/>
      <c r="N59" s="65"/>
    </row>
    <row r="60" spans="1:14" x14ac:dyDescent="0.3">
      <c r="A60" s="96" t="s">
        <v>220</v>
      </c>
      <c r="B60" s="96" t="s">
        <v>163</v>
      </c>
      <c r="C60" s="96" t="b">
        <v>0</v>
      </c>
      <c r="D60" s="96" t="s">
        <v>227</v>
      </c>
      <c r="E60" s="96" t="s">
        <v>152</v>
      </c>
      <c r="F60" s="91" t="s">
        <v>228</v>
      </c>
      <c r="G60" s="103"/>
      <c r="H60" s="103">
        <v>9.9667132012879411E-2</v>
      </c>
      <c r="I60" s="91"/>
      <c r="J60" s="91"/>
      <c r="K60" s="91"/>
      <c r="L60" s="91"/>
      <c r="M60" s="91"/>
      <c r="N60" s="65"/>
    </row>
    <row r="61" spans="1:14" x14ac:dyDescent="0.3">
      <c r="A61" s="96" t="s">
        <v>220</v>
      </c>
      <c r="B61" s="96" t="s">
        <v>163</v>
      </c>
      <c r="C61" s="96" t="b">
        <v>0</v>
      </c>
      <c r="D61" s="96" t="s">
        <v>151</v>
      </c>
      <c r="E61" s="96" t="s">
        <v>152</v>
      </c>
      <c r="F61" s="91" t="s">
        <v>229</v>
      </c>
      <c r="G61" s="103"/>
      <c r="H61" s="103">
        <v>0.17966901376902461</v>
      </c>
      <c r="I61" s="91"/>
      <c r="J61" s="91"/>
      <c r="K61" s="91"/>
      <c r="L61" s="91"/>
      <c r="M61" s="91"/>
      <c r="N61" s="65"/>
    </row>
    <row r="62" spans="1:14" x14ac:dyDescent="0.3">
      <c r="A62" s="96" t="s">
        <v>220</v>
      </c>
      <c r="B62" s="96" t="s">
        <v>163</v>
      </c>
      <c r="C62" s="96" t="b">
        <v>0</v>
      </c>
      <c r="D62" s="96" t="s">
        <v>151</v>
      </c>
      <c r="E62" s="96" t="s">
        <v>155</v>
      </c>
      <c r="F62" s="91" t="s">
        <v>230</v>
      </c>
      <c r="G62" s="103"/>
      <c r="H62" s="103">
        <v>0.74014591724651024</v>
      </c>
      <c r="I62" s="91"/>
      <c r="J62" s="91"/>
      <c r="K62" s="91"/>
      <c r="L62" s="91"/>
      <c r="M62" s="91"/>
      <c r="N62" s="65"/>
    </row>
    <row r="63" spans="1:14" x14ac:dyDescent="0.3">
      <c r="A63" s="96" t="s">
        <v>220</v>
      </c>
      <c r="B63" s="96" t="s">
        <v>163</v>
      </c>
      <c r="C63" s="96" t="b">
        <v>0</v>
      </c>
      <c r="D63" s="96" t="s">
        <v>151</v>
      </c>
      <c r="E63" s="96" t="s">
        <v>223</v>
      </c>
      <c r="F63" s="91" t="s">
        <v>231</v>
      </c>
      <c r="G63" s="103"/>
      <c r="H63" s="103">
        <v>1.1328115826464347</v>
      </c>
      <c r="I63" s="91"/>
      <c r="J63" s="91"/>
      <c r="K63" s="91"/>
      <c r="L63" s="91"/>
      <c r="M63" s="91"/>
      <c r="N63" s="65"/>
    </row>
    <row r="64" spans="1:14" x14ac:dyDescent="0.3">
      <c r="A64" s="96" t="s">
        <v>220</v>
      </c>
      <c r="B64" s="96" t="s">
        <v>163</v>
      </c>
      <c r="C64" s="96" t="b">
        <v>0</v>
      </c>
      <c r="D64" s="96" t="s">
        <v>157</v>
      </c>
      <c r="E64" s="96" t="s">
        <v>152</v>
      </c>
      <c r="F64" s="91" t="s">
        <v>232</v>
      </c>
      <c r="G64" s="103"/>
      <c r="H64" s="103">
        <v>0.271725597223757</v>
      </c>
      <c r="I64" s="91"/>
      <c r="J64" s="91"/>
      <c r="K64" s="91"/>
      <c r="L64" s="91"/>
      <c r="M64" s="91"/>
      <c r="N64" s="65"/>
    </row>
    <row r="65" spans="1:14" x14ac:dyDescent="0.3">
      <c r="A65" s="96" t="s">
        <v>220</v>
      </c>
      <c r="B65" s="96" t="s">
        <v>163</v>
      </c>
      <c r="C65" s="96" t="b">
        <v>0</v>
      </c>
      <c r="D65" s="96" t="s">
        <v>157</v>
      </c>
      <c r="E65" s="96" t="s">
        <v>155</v>
      </c>
      <c r="F65" s="91" t="s">
        <v>233</v>
      </c>
      <c r="G65" s="103"/>
      <c r="H65" s="103">
        <v>1.2094002378935655</v>
      </c>
      <c r="I65" s="91"/>
      <c r="J65" s="91"/>
      <c r="K65" s="91"/>
      <c r="L65" s="91"/>
      <c r="M65" s="91"/>
      <c r="N65" s="65"/>
    </row>
    <row r="66" spans="1:14" x14ac:dyDescent="0.3">
      <c r="A66" s="96" t="s">
        <v>220</v>
      </c>
      <c r="B66" s="96" t="s">
        <v>163</v>
      </c>
      <c r="C66" s="96" t="b">
        <v>0</v>
      </c>
      <c r="D66" s="96" t="s">
        <v>160</v>
      </c>
      <c r="E66" s="96" t="s">
        <v>152</v>
      </c>
      <c r="F66" s="91" t="s">
        <v>234</v>
      </c>
      <c r="G66" s="103"/>
      <c r="H66" s="103">
        <v>0.48403359878593799</v>
      </c>
      <c r="I66" s="91"/>
      <c r="J66" s="91"/>
      <c r="K66" s="91"/>
      <c r="L66" s="91"/>
      <c r="M66" s="91"/>
      <c r="N66" s="65"/>
    </row>
    <row r="67" spans="1:14" x14ac:dyDescent="0.3">
      <c r="A67" s="96" t="s">
        <v>220</v>
      </c>
      <c r="B67" s="96" t="s">
        <v>163</v>
      </c>
      <c r="C67" s="96" t="b">
        <v>0</v>
      </c>
      <c r="D67" s="96" t="s">
        <v>160</v>
      </c>
      <c r="E67" s="96" t="s">
        <v>155</v>
      </c>
      <c r="F67" s="91" t="s">
        <v>235</v>
      </c>
      <c r="G67" s="103"/>
      <c r="H67" s="103">
        <v>1.5806392595301584</v>
      </c>
      <c r="I67" s="91"/>
      <c r="J67" s="91"/>
      <c r="K67" s="91"/>
      <c r="L67" s="91"/>
      <c r="M67" s="91"/>
      <c r="N67" s="65"/>
    </row>
    <row r="68" spans="1:14" x14ac:dyDescent="0.3">
      <c r="A68" s="96" t="s">
        <v>220</v>
      </c>
      <c r="B68" s="96" t="s">
        <v>172</v>
      </c>
      <c r="C68" s="96" t="b">
        <v>0</v>
      </c>
      <c r="D68" s="96" t="s">
        <v>151</v>
      </c>
      <c r="E68" s="96" t="s">
        <v>152</v>
      </c>
      <c r="F68" s="91" t="s">
        <v>236</v>
      </c>
      <c r="G68" s="103"/>
      <c r="H68" s="103">
        <v>0.19368909570759363</v>
      </c>
      <c r="I68" s="91"/>
      <c r="J68" s="91"/>
      <c r="K68" s="91"/>
      <c r="L68" s="91"/>
      <c r="M68" s="91"/>
      <c r="N68" s="65"/>
    </row>
    <row r="69" spans="1:14" x14ac:dyDescent="0.3">
      <c r="A69" s="96" t="s">
        <v>220</v>
      </c>
      <c r="B69" s="96" t="s">
        <v>172</v>
      </c>
      <c r="C69" s="96" t="b">
        <v>0</v>
      </c>
      <c r="D69" s="96" t="s">
        <v>151</v>
      </c>
      <c r="E69" s="96" t="s">
        <v>155</v>
      </c>
      <c r="F69" s="91" t="s">
        <v>237</v>
      </c>
      <c r="G69" s="103"/>
      <c r="H69" s="103">
        <v>0.87447661142384892</v>
      </c>
      <c r="I69" s="91"/>
      <c r="J69" s="91"/>
      <c r="K69" s="91"/>
      <c r="L69" s="91"/>
      <c r="M69" s="91"/>
      <c r="N69" s="65"/>
    </row>
    <row r="70" spans="1:14" x14ac:dyDescent="0.3">
      <c r="A70" s="96" t="s">
        <v>220</v>
      </c>
      <c r="B70" s="96" t="s">
        <v>172</v>
      </c>
      <c r="C70" s="96" t="b">
        <v>0</v>
      </c>
      <c r="D70" s="96" t="s">
        <v>151</v>
      </c>
      <c r="E70" s="96" t="s">
        <v>223</v>
      </c>
      <c r="F70" s="91" t="s">
        <v>238</v>
      </c>
      <c r="G70" s="103"/>
      <c r="H70" s="103">
        <v>1.2151952579607659</v>
      </c>
      <c r="I70" s="91"/>
      <c r="J70" s="91"/>
      <c r="K70" s="91"/>
      <c r="L70" s="91"/>
      <c r="M70" s="91"/>
      <c r="N70" s="65"/>
    </row>
    <row r="71" spans="1:14" x14ac:dyDescent="0.3">
      <c r="A71" s="96" t="s">
        <v>220</v>
      </c>
      <c r="B71" s="96" t="s">
        <v>172</v>
      </c>
      <c r="C71" s="96" t="b">
        <v>0</v>
      </c>
      <c r="D71" s="96" t="s">
        <v>157</v>
      </c>
      <c r="E71" s="96" t="s">
        <v>152</v>
      </c>
      <c r="F71" s="91" t="s">
        <v>239</v>
      </c>
      <c r="G71" s="103"/>
      <c r="H71" s="103">
        <v>0.29401105151602119</v>
      </c>
      <c r="I71" s="91"/>
      <c r="J71" s="91"/>
      <c r="K71" s="91"/>
      <c r="L71" s="91"/>
      <c r="M71" s="91"/>
      <c r="N71" s="65"/>
    </row>
    <row r="72" spans="1:14" x14ac:dyDescent="0.3">
      <c r="A72" s="96" t="s">
        <v>220</v>
      </c>
      <c r="B72" s="96" t="s">
        <v>172</v>
      </c>
      <c r="C72" s="96" t="b">
        <v>0</v>
      </c>
      <c r="D72" s="96" t="s">
        <v>157</v>
      </c>
      <c r="E72" s="96" t="s">
        <v>155</v>
      </c>
      <c r="F72" s="91" t="s">
        <v>240</v>
      </c>
      <c r="G72" s="103"/>
      <c r="H72" s="103">
        <v>1.4315602172561466</v>
      </c>
      <c r="I72" s="91"/>
      <c r="J72" s="91"/>
      <c r="K72" s="91"/>
      <c r="L72" s="91"/>
      <c r="M72" s="91"/>
      <c r="N72" s="65"/>
    </row>
    <row r="73" spans="1:14" x14ac:dyDescent="0.3">
      <c r="A73" s="96" t="s">
        <v>220</v>
      </c>
      <c r="B73" s="96" t="s">
        <v>172</v>
      </c>
      <c r="C73" s="96" t="b">
        <v>0</v>
      </c>
      <c r="D73" s="96" t="s">
        <v>160</v>
      </c>
      <c r="E73" s="96" t="s">
        <v>152</v>
      </c>
      <c r="F73" s="91" t="s">
        <v>241</v>
      </c>
      <c r="G73" s="103"/>
      <c r="H73" s="103">
        <v>0.53265119342576284</v>
      </c>
      <c r="I73" s="91"/>
      <c r="J73" s="91"/>
      <c r="K73" s="91"/>
      <c r="L73" s="91"/>
      <c r="M73" s="91"/>
      <c r="N73" s="65"/>
    </row>
    <row r="74" spans="1:14" x14ac:dyDescent="0.3">
      <c r="A74" s="96" t="s">
        <v>220</v>
      </c>
      <c r="B74" s="96" t="s">
        <v>180</v>
      </c>
      <c r="C74" s="96" t="b">
        <v>0</v>
      </c>
      <c r="D74" s="96" t="s">
        <v>151</v>
      </c>
      <c r="E74" s="96" t="s">
        <v>152</v>
      </c>
      <c r="F74" s="91" t="s">
        <v>242</v>
      </c>
      <c r="G74" s="103"/>
      <c r="H74" s="103">
        <v>0.27023357488845956</v>
      </c>
      <c r="I74" s="91"/>
      <c r="J74" s="91"/>
      <c r="K74" s="91"/>
      <c r="L74" s="91"/>
      <c r="M74" s="91"/>
      <c r="N74" s="65"/>
    </row>
    <row r="75" spans="1:14" x14ac:dyDescent="0.3">
      <c r="A75" s="96" t="s">
        <v>220</v>
      </c>
      <c r="B75" s="96" t="s">
        <v>180</v>
      </c>
      <c r="C75" s="96" t="b">
        <v>0</v>
      </c>
      <c r="D75" s="96" t="s">
        <v>157</v>
      </c>
      <c r="E75" s="96" t="s">
        <v>152</v>
      </c>
      <c r="F75" s="91" t="s">
        <v>243</v>
      </c>
      <c r="G75" s="103"/>
      <c r="H75" s="103">
        <v>0.37577050481359792</v>
      </c>
      <c r="I75" s="91"/>
      <c r="J75" s="91"/>
      <c r="K75" s="91"/>
      <c r="L75" s="91"/>
      <c r="M75" s="91"/>
      <c r="N75" s="65"/>
    </row>
    <row r="76" spans="1:14" x14ac:dyDescent="0.3">
      <c r="A76" s="96" t="s">
        <v>220</v>
      </c>
      <c r="B76" s="96" t="s">
        <v>180</v>
      </c>
      <c r="C76" s="96" t="b">
        <v>0</v>
      </c>
      <c r="D76" s="96" t="s">
        <v>160</v>
      </c>
      <c r="E76" s="96" t="s">
        <v>155</v>
      </c>
      <c r="F76" s="91" t="s">
        <v>244</v>
      </c>
      <c r="G76" s="103"/>
      <c r="H76" s="103">
        <v>2.1014649352642651</v>
      </c>
      <c r="I76" s="91"/>
      <c r="J76" s="91"/>
      <c r="K76" s="91"/>
      <c r="L76" s="91"/>
      <c r="M76" s="91"/>
      <c r="N76" s="65"/>
    </row>
    <row r="77" spans="1:14" x14ac:dyDescent="0.3">
      <c r="A77" s="96" t="s">
        <v>220</v>
      </c>
      <c r="B77" s="96" t="s">
        <v>183</v>
      </c>
      <c r="C77" s="96" t="b">
        <v>0</v>
      </c>
      <c r="D77" s="96" t="s">
        <v>151</v>
      </c>
      <c r="E77" s="96" t="s">
        <v>152</v>
      </c>
      <c r="F77" s="91" t="s">
        <v>245</v>
      </c>
      <c r="G77" s="103"/>
      <c r="H77" s="103">
        <v>0.25128274753335572</v>
      </c>
      <c r="I77" s="91"/>
      <c r="J77" s="91"/>
      <c r="K77" s="91"/>
      <c r="L77" s="91"/>
      <c r="M77" s="91"/>
      <c r="N77" s="65"/>
    </row>
    <row r="78" spans="1:14" x14ac:dyDescent="0.3">
      <c r="A78" s="96" t="s">
        <v>220</v>
      </c>
      <c r="B78" s="96" t="s">
        <v>183</v>
      </c>
      <c r="C78" s="96" t="b">
        <v>0</v>
      </c>
      <c r="D78" s="96" t="s">
        <v>151</v>
      </c>
      <c r="E78" s="96" t="s">
        <v>223</v>
      </c>
      <c r="F78" s="91" t="s">
        <v>246</v>
      </c>
      <c r="G78" s="103"/>
      <c r="H78" s="103">
        <v>1.5329407148986443</v>
      </c>
      <c r="I78" s="91"/>
      <c r="J78" s="91"/>
      <c r="K78" s="91"/>
      <c r="L78" s="91"/>
      <c r="M78" s="91"/>
      <c r="N78" s="65"/>
    </row>
    <row r="79" spans="1:14" x14ac:dyDescent="0.3">
      <c r="A79" s="96" t="s">
        <v>220</v>
      </c>
      <c r="B79" s="96" t="s">
        <v>183</v>
      </c>
      <c r="C79" s="96" t="b">
        <v>0</v>
      </c>
      <c r="D79" s="96" t="s">
        <v>157</v>
      </c>
      <c r="E79" s="96" t="s">
        <v>152</v>
      </c>
      <c r="F79" s="91" t="s">
        <v>247</v>
      </c>
      <c r="G79" s="103"/>
      <c r="H79" s="103">
        <v>0.33416931789252152</v>
      </c>
      <c r="I79" s="91"/>
      <c r="J79" s="91"/>
      <c r="K79" s="91"/>
      <c r="L79" s="91"/>
      <c r="M79" s="91"/>
      <c r="N79" s="65"/>
    </row>
    <row r="80" spans="1:14" x14ac:dyDescent="0.3">
      <c r="A80" s="96" t="s">
        <v>220</v>
      </c>
      <c r="B80" s="96" t="s">
        <v>183</v>
      </c>
      <c r="C80" s="96" t="b">
        <v>0</v>
      </c>
      <c r="D80" s="96" t="s">
        <v>157</v>
      </c>
      <c r="E80" s="96" t="s">
        <v>155</v>
      </c>
      <c r="F80" s="91" t="s">
        <v>248</v>
      </c>
      <c r="G80" s="103"/>
      <c r="H80" s="103">
        <v>1.0042819896514015</v>
      </c>
      <c r="I80" s="91"/>
      <c r="J80" s="91"/>
      <c r="K80" s="103"/>
      <c r="L80" s="91"/>
      <c r="M80" s="103"/>
    </row>
    <row r="81" spans="1:13" x14ac:dyDescent="0.3">
      <c r="A81" s="96" t="s">
        <v>220</v>
      </c>
      <c r="B81" s="96" t="s">
        <v>183</v>
      </c>
      <c r="C81" s="96" t="b">
        <v>0</v>
      </c>
      <c r="D81" s="96" t="s">
        <v>160</v>
      </c>
      <c r="E81" s="96" t="s">
        <v>152</v>
      </c>
      <c r="F81" s="91" t="s">
        <v>249</v>
      </c>
      <c r="G81" s="103"/>
      <c r="H81" s="103">
        <v>0.56355099225310279</v>
      </c>
      <c r="I81" s="91"/>
      <c r="J81" s="91"/>
      <c r="K81" s="103"/>
      <c r="L81" s="91"/>
      <c r="M81" s="103"/>
    </row>
    <row r="82" spans="1:13" x14ac:dyDescent="0.3">
      <c r="A82" s="96" t="s">
        <v>220</v>
      </c>
      <c r="B82" s="96" t="s">
        <v>188</v>
      </c>
      <c r="C82" s="96" t="b">
        <v>0</v>
      </c>
      <c r="D82" s="96" t="s">
        <v>227</v>
      </c>
      <c r="E82" s="96" t="s">
        <v>152</v>
      </c>
      <c r="F82" s="91" t="s">
        <v>250</v>
      </c>
      <c r="G82" s="103"/>
      <c r="H82" s="103">
        <v>0.17111117562897143</v>
      </c>
      <c r="I82" s="91"/>
      <c r="J82" s="91"/>
      <c r="K82" s="103"/>
      <c r="L82" s="91"/>
      <c r="M82" s="103"/>
    </row>
    <row r="83" spans="1:13" x14ac:dyDescent="0.3">
      <c r="A83" s="96" t="s">
        <v>220</v>
      </c>
      <c r="B83" s="96" t="s">
        <v>188</v>
      </c>
      <c r="C83" s="96" t="b">
        <v>0</v>
      </c>
      <c r="D83" s="96" t="s">
        <v>151</v>
      </c>
      <c r="E83" s="96" t="s">
        <v>152</v>
      </c>
      <c r="F83" s="91" t="s">
        <v>251</v>
      </c>
      <c r="G83" s="103"/>
      <c r="H83" s="103">
        <v>0.24350374953152004</v>
      </c>
      <c r="I83" s="91"/>
      <c r="J83" s="91"/>
      <c r="K83" s="103"/>
      <c r="L83" s="91"/>
      <c r="M83" s="103"/>
    </row>
    <row r="84" spans="1:13" x14ac:dyDescent="0.3">
      <c r="A84" s="96" t="s">
        <v>220</v>
      </c>
      <c r="B84" s="96" t="s">
        <v>188</v>
      </c>
      <c r="C84" s="96" t="b">
        <v>0</v>
      </c>
      <c r="D84" s="96" t="s">
        <v>151</v>
      </c>
      <c r="E84" s="96" t="s">
        <v>155</v>
      </c>
      <c r="F84" s="91" t="s">
        <v>252</v>
      </c>
      <c r="G84" s="103"/>
      <c r="H84" s="103">
        <v>0.48844003999261881</v>
      </c>
      <c r="I84" s="91"/>
      <c r="J84" s="91"/>
      <c r="K84" s="103"/>
      <c r="L84" s="91"/>
      <c r="M84" s="103"/>
    </row>
    <row r="85" spans="1:13" x14ac:dyDescent="0.3">
      <c r="A85" s="96" t="s">
        <v>220</v>
      </c>
      <c r="B85" s="96" t="s">
        <v>188</v>
      </c>
      <c r="C85" s="96" t="b">
        <v>0</v>
      </c>
      <c r="D85" s="96" t="s">
        <v>151</v>
      </c>
      <c r="E85" s="96" t="s">
        <v>223</v>
      </c>
      <c r="F85" s="91" t="s">
        <v>253</v>
      </c>
      <c r="G85" s="103"/>
      <c r="H85" s="103">
        <v>1.9249247585922504</v>
      </c>
      <c r="I85" s="91"/>
      <c r="J85" s="91"/>
      <c r="K85" s="103"/>
      <c r="L85" s="91"/>
      <c r="M85" s="103"/>
    </row>
    <row r="86" spans="1:13" x14ac:dyDescent="0.3">
      <c r="A86" s="96" t="s">
        <v>220</v>
      </c>
      <c r="B86" s="96" t="s">
        <v>188</v>
      </c>
      <c r="C86" s="96" t="b">
        <v>0</v>
      </c>
      <c r="D86" s="96" t="s">
        <v>157</v>
      </c>
      <c r="E86" s="96" t="s">
        <v>152</v>
      </c>
      <c r="F86" s="91" t="s">
        <v>254</v>
      </c>
      <c r="G86" s="103"/>
      <c r="H86" s="103">
        <v>0.32149380459785626</v>
      </c>
      <c r="I86" s="91"/>
      <c r="J86" s="91"/>
      <c r="K86" s="103"/>
      <c r="L86" s="91"/>
      <c r="M86" s="103"/>
    </row>
    <row r="87" spans="1:13" x14ac:dyDescent="0.3">
      <c r="A87" s="96" t="s">
        <v>220</v>
      </c>
      <c r="B87" s="96" t="s">
        <v>188</v>
      </c>
      <c r="C87" s="96" t="b">
        <v>0</v>
      </c>
      <c r="D87" s="96" t="s">
        <v>157</v>
      </c>
      <c r="E87" s="96" t="s">
        <v>155</v>
      </c>
      <c r="F87" s="91" t="s">
        <v>255</v>
      </c>
      <c r="G87" s="103"/>
      <c r="H87" s="103">
        <v>0.75323496217316543</v>
      </c>
      <c r="I87" s="91"/>
      <c r="J87" s="91"/>
      <c r="K87" s="103"/>
      <c r="L87" s="91"/>
      <c r="M87" s="103"/>
    </row>
    <row r="88" spans="1:13" x14ac:dyDescent="0.3">
      <c r="A88" s="96" t="s">
        <v>220</v>
      </c>
      <c r="B88" s="96" t="s">
        <v>188</v>
      </c>
      <c r="C88" s="96" t="b">
        <v>0</v>
      </c>
      <c r="D88" s="96" t="s">
        <v>157</v>
      </c>
      <c r="E88" s="96" t="s">
        <v>223</v>
      </c>
      <c r="F88" s="91" t="s">
        <v>256</v>
      </c>
      <c r="G88" s="103"/>
      <c r="H88" s="103">
        <v>2.6831463601540202</v>
      </c>
      <c r="I88" s="91"/>
      <c r="J88" s="91"/>
      <c r="K88" s="103"/>
      <c r="L88" s="91"/>
      <c r="M88" s="103"/>
    </row>
    <row r="89" spans="1:13" x14ac:dyDescent="0.3">
      <c r="A89" s="96" t="s">
        <v>220</v>
      </c>
      <c r="B89" s="96" t="s">
        <v>188</v>
      </c>
      <c r="C89" s="96" t="b">
        <v>0</v>
      </c>
      <c r="D89" s="96" t="s">
        <v>160</v>
      </c>
      <c r="E89" s="96" t="s">
        <v>152</v>
      </c>
      <c r="F89" s="91" t="s">
        <v>257</v>
      </c>
      <c r="G89" s="103"/>
      <c r="H89" s="103">
        <v>0.48647179221390252</v>
      </c>
      <c r="I89" s="91"/>
      <c r="J89" s="91"/>
      <c r="K89" s="103"/>
      <c r="L89" s="91"/>
      <c r="M89" s="103"/>
    </row>
    <row r="90" spans="1:13" x14ac:dyDescent="0.3">
      <c r="A90" s="96" t="s">
        <v>220</v>
      </c>
      <c r="B90" s="96" t="s">
        <v>194</v>
      </c>
      <c r="C90" s="96" t="b">
        <v>0</v>
      </c>
      <c r="D90" s="96" t="s">
        <v>151</v>
      </c>
      <c r="E90" s="96" t="s">
        <v>152</v>
      </c>
      <c r="F90" s="91" t="s">
        <v>258</v>
      </c>
      <c r="G90" s="103"/>
      <c r="H90" s="103">
        <v>0.13618145821253019</v>
      </c>
      <c r="I90" s="91"/>
      <c r="J90" s="91"/>
      <c r="K90" s="103"/>
      <c r="L90" s="91"/>
      <c r="M90" s="103"/>
    </row>
    <row r="91" spans="1:13" x14ac:dyDescent="0.3">
      <c r="A91" s="96" t="s">
        <v>220</v>
      </c>
      <c r="B91" s="96" t="s">
        <v>194</v>
      </c>
      <c r="C91" s="96" t="b">
        <v>0</v>
      </c>
      <c r="D91" s="96" t="s">
        <v>151</v>
      </c>
      <c r="E91" s="96" t="s">
        <v>155</v>
      </c>
      <c r="F91" s="91" t="s">
        <v>259</v>
      </c>
      <c r="G91" s="103"/>
      <c r="H91" s="103">
        <v>0.15714234694412485</v>
      </c>
      <c r="I91" s="91"/>
      <c r="J91" s="91"/>
      <c r="K91" s="103"/>
      <c r="L91" s="91"/>
      <c r="M91" s="103"/>
    </row>
    <row r="92" spans="1:13" x14ac:dyDescent="0.3">
      <c r="A92" s="96" t="s">
        <v>220</v>
      </c>
      <c r="B92" s="96" t="s">
        <v>194</v>
      </c>
      <c r="C92" s="96" t="b">
        <v>0</v>
      </c>
      <c r="D92" s="96" t="s">
        <v>151</v>
      </c>
      <c r="E92" s="96" t="s">
        <v>223</v>
      </c>
      <c r="F92" s="91" t="s">
        <v>260</v>
      </c>
      <c r="G92" s="103"/>
      <c r="H92" s="103">
        <v>0.93861731553002659</v>
      </c>
      <c r="I92" s="91"/>
      <c r="J92" s="91"/>
      <c r="K92" s="103"/>
      <c r="L92" s="91"/>
      <c r="M92" s="103"/>
    </row>
    <row r="93" spans="1:13" x14ac:dyDescent="0.3">
      <c r="A93" s="96" t="s">
        <v>220</v>
      </c>
      <c r="B93" s="96" t="s">
        <v>194</v>
      </c>
      <c r="C93" s="96" t="b">
        <v>0</v>
      </c>
      <c r="D93" s="96" t="s">
        <v>157</v>
      </c>
      <c r="E93" s="96" t="s">
        <v>152</v>
      </c>
      <c r="F93" s="91" t="s">
        <v>261</v>
      </c>
      <c r="G93" s="103"/>
      <c r="H93" s="103">
        <v>0.19186698217721845</v>
      </c>
      <c r="I93" s="91"/>
      <c r="J93" s="91"/>
      <c r="K93" s="103"/>
      <c r="L93" s="91"/>
      <c r="M93" s="103"/>
    </row>
    <row r="94" spans="1:13" x14ac:dyDescent="0.3">
      <c r="A94" s="96" t="s">
        <v>220</v>
      </c>
      <c r="B94" s="96" t="s">
        <v>194</v>
      </c>
      <c r="C94" s="96" t="b">
        <v>0</v>
      </c>
      <c r="D94" s="96" t="s">
        <v>157</v>
      </c>
      <c r="E94" s="96" t="s">
        <v>155</v>
      </c>
      <c r="F94" s="91" t="s">
        <v>262</v>
      </c>
      <c r="G94" s="103"/>
      <c r="H94" s="103">
        <v>0.24618653709927885</v>
      </c>
      <c r="I94" s="91"/>
      <c r="J94" s="91"/>
      <c r="K94" s="103"/>
      <c r="L94" s="91"/>
      <c r="M94" s="103"/>
    </row>
    <row r="95" spans="1:13" x14ac:dyDescent="0.3">
      <c r="A95" s="96" t="s">
        <v>220</v>
      </c>
      <c r="B95" s="96" t="s">
        <v>194</v>
      </c>
      <c r="C95" s="96" t="b">
        <v>0</v>
      </c>
      <c r="D95" s="96" t="s">
        <v>157</v>
      </c>
      <c r="E95" s="96" t="s">
        <v>223</v>
      </c>
      <c r="F95" s="91" t="s">
        <v>263</v>
      </c>
      <c r="G95" s="103"/>
      <c r="H95" s="103">
        <v>1.3893566662906163</v>
      </c>
      <c r="I95" s="91"/>
      <c r="J95" s="91"/>
      <c r="K95" s="103"/>
      <c r="L95" s="91"/>
      <c r="M95" s="103"/>
    </row>
    <row r="96" spans="1:13" x14ac:dyDescent="0.3">
      <c r="A96" s="96" t="s">
        <v>220</v>
      </c>
      <c r="B96" s="96" t="s">
        <v>194</v>
      </c>
      <c r="C96" s="96" t="b">
        <v>0</v>
      </c>
      <c r="D96" s="96" t="s">
        <v>160</v>
      </c>
      <c r="E96" s="96" t="s">
        <v>152</v>
      </c>
      <c r="F96" s="91" t="s">
        <v>264</v>
      </c>
      <c r="G96" s="103"/>
      <c r="H96" s="103">
        <v>0.29721385874634476</v>
      </c>
      <c r="I96" s="91"/>
      <c r="J96" s="91"/>
      <c r="K96" s="103"/>
      <c r="L96" s="91"/>
      <c r="M96" s="103"/>
    </row>
    <row r="97" spans="1:13" x14ac:dyDescent="0.3">
      <c r="A97" s="96" t="s">
        <v>220</v>
      </c>
      <c r="B97" s="96" t="s">
        <v>194</v>
      </c>
      <c r="C97" s="96" t="b">
        <v>0</v>
      </c>
      <c r="D97" s="96" t="s">
        <v>160</v>
      </c>
      <c r="E97" s="96" t="s">
        <v>155</v>
      </c>
      <c r="F97" s="91" t="s">
        <v>265</v>
      </c>
      <c r="G97" s="103"/>
      <c r="H97" s="103">
        <v>0.32936344096389064</v>
      </c>
      <c r="I97" s="91"/>
      <c r="J97" s="91"/>
      <c r="K97" s="103"/>
      <c r="L97" s="91"/>
      <c r="M97" s="103"/>
    </row>
    <row r="98" spans="1:13" x14ac:dyDescent="0.3">
      <c r="A98" s="96" t="s">
        <v>220</v>
      </c>
      <c r="B98" s="96" t="s">
        <v>203</v>
      </c>
      <c r="C98" s="96" t="b">
        <v>0</v>
      </c>
      <c r="D98" s="96" t="s">
        <v>227</v>
      </c>
      <c r="E98" s="96" t="s">
        <v>152</v>
      </c>
      <c r="F98" s="91" t="s">
        <v>266</v>
      </c>
      <c r="G98" s="103"/>
      <c r="H98" s="103">
        <v>0.10987165813711512</v>
      </c>
      <c r="I98" s="91"/>
      <c r="J98" s="91"/>
      <c r="K98" s="103"/>
      <c r="L98" s="91"/>
      <c r="M98" s="103"/>
    </row>
    <row r="99" spans="1:13" x14ac:dyDescent="0.3">
      <c r="A99" s="96" t="s">
        <v>220</v>
      </c>
      <c r="B99" s="96" t="s">
        <v>203</v>
      </c>
      <c r="C99" s="96" t="b">
        <v>0</v>
      </c>
      <c r="D99" s="96" t="s">
        <v>227</v>
      </c>
      <c r="E99" s="96" t="s">
        <v>155</v>
      </c>
      <c r="F99" s="91" t="s">
        <v>267</v>
      </c>
      <c r="G99" s="103"/>
      <c r="H99" s="103">
        <v>0.16788126164990416</v>
      </c>
      <c r="I99" s="91"/>
      <c r="J99" s="91"/>
      <c r="K99" s="103"/>
      <c r="L99" s="91"/>
      <c r="M99" s="103"/>
    </row>
    <row r="100" spans="1:13" x14ac:dyDescent="0.3">
      <c r="A100" s="96" t="s">
        <v>220</v>
      </c>
      <c r="B100" s="96" t="s">
        <v>203</v>
      </c>
      <c r="C100" s="96" t="b">
        <v>0</v>
      </c>
      <c r="D100" s="96" t="s">
        <v>151</v>
      </c>
      <c r="E100" s="96" t="s">
        <v>152</v>
      </c>
      <c r="F100" s="91" t="s">
        <v>268</v>
      </c>
      <c r="G100" s="103"/>
      <c r="H100" s="103">
        <v>0.16884775107756472</v>
      </c>
      <c r="I100" s="91"/>
      <c r="J100" s="91"/>
      <c r="K100" s="103"/>
      <c r="L100" s="91"/>
      <c r="M100" s="103"/>
    </row>
    <row r="101" spans="1:13" x14ac:dyDescent="0.3">
      <c r="A101" s="96" t="s">
        <v>220</v>
      </c>
      <c r="B101" s="96" t="s">
        <v>203</v>
      </c>
      <c r="C101" s="96" t="b">
        <v>0</v>
      </c>
      <c r="D101" s="96" t="s">
        <v>151</v>
      </c>
      <c r="E101" s="96" t="s">
        <v>155</v>
      </c>
      <c r="F101" s="91" t="s">
        <v>269</v>
      </c>
      <c r="G101" s="103"/>
      <c r="H101" s="103">
        <v>0.28443574141182154</v>
      </c>
      <c r="I101" s="91"/>
      <c r="J101" s="91"/>
      <c r="K101" s="103"/>
      <c r="L101" s="91"/>
      <c r="M101" s="103"/>
    </row>
    <row r="102" spans="1:13" x14ac:dyDescent="0.3">
      <c r="A102" s="96" t="s">
        <v>220</v>
      </c>
      <c r="B102" s="96" t="s">
        <v>203</v>
      </c>
      <c r="C102" s="96" t="b">
        <v>0</v>
      </c>
      <c r="D102" s="96" t="s">
        <v>151</v>
      </c>
      <c r="E102" s="96" t="s">
        <v>223</v>
      </c>
      <c r="F102" s="91" t="s">
        <v>270</v>
      </c>
      <c r="G102" s="103"/>
      <c r="H102" s="103">
        <v>1.2548978693307264</v>
      </c>
      <c r="I102" s="91"/>
      <c r="J102" s="91"/>
      <c r="K102" s="103"/>
      <c r="L102" s="91"/>
      <c r="M102" s="103"/>
    </row>
    <row r="103" spans="1:13" x14ac:dyDescent="0.3">
      <c r="A103" s="96" t="s">
        <v>220</v>
      </c>
      <c r="B103" s="96" t="s">
        <v>203</v>
      </c>
      <c r="C103" s="96" t="b">
        <v>0</v>
      </c>
      <c r="D103" s="96" t="s">
        <v>157</v>
      </c>
      <c r="E103" s="96" t="s">
        <v>152</v>
      </c>
      <c r="F103" s="91" t="s">
        <v>271</v>
      </c>
      <c r="G103" s="103"/>
      <c r="H103" s="103">
        <v>0.23376894433894241</v>
      </c>
      <c r="I103" s="91"/>
      <c r="J103" s="91"/>
      <c r="K103" s="103"/>
      <c r="L103" s="91"/>
      <c r="M103" s="103"/>
    </row>
    <row r="104" spans="1:13" x14ac:dyDescent="0.3">
      <c r="A104" s="96" t="s">
        <v>220</v>
      </c>
      <c r="B104" s="96" t="s">
        <v>203</v>
      </c>
      <c r="C104" s="96" t="b">
        <v>0</v>
      </c>
      <c r="D104" s="96" t="s">
        <v>157</v>
      </c>
      <c r="E104" s="96" t="s">
        <v>155</v>
      </c>
      <c r="F104" s="91" t="s">
        <v>272</v>
      </c>
      <c r="G104" s="103"/>
      <c r="H104" s="103">
        <v>0.44518640477949822</v>
      </c>
      <c r="I104" s="91"/>
      <c r="J104" s="91"/>
      <c r="K104" s="103"/>
      <c r="L104" s="91"/>
      <c r="M104" s="103"/>
    </row>
    <row r="105" spans="1:13" x14ac:dyDescent="0.3">
      <c r="A105" s="96" t="s">
        <v>220</v>
      </c>
      <c r="B105" s="96" t="s">
        <v>203</v>
      </c>
      <c r="C105" s="96" t="b">
        <v>0</v>
      </c>
      <c r="D105" s="96" t="s">
        <v>157</v>
      </c>
      <c r="E105" s="96" t="s">
        <v>223</v>
      </c>
      <c r="F105" s="91" t="s">
        <v>273</v>
      </c>
      <c r="G105" s="103"/>
      <c r="H105" s="103">
        <v>1.8283717063210627</v>
      </c>
      <c r="I105" s="91"/>
      <c r="J105" s="91"/>
      <c r="K105" s="103"/>
      <c r="L105" s="91"/>
      <c r="M105" s="103"/>
    </row>
    <row r="106" spans="1:13" x14ac:dyDescent="0.3">
      <c r="A106" s="96" t="s">
        <v>220</v>
      </c>
      <c r="B106" s="96" t="s">
        <v>203</v>
      </c>
      <c r="C106" s="96" t="b">
        <v>0</v>
      </c>
      <c r="D106" s="96" t="s">
        <v>160</v>
      </c>
      <c r="E106" s="96" t="s">
        <v>152</v>
      </c>
      <c r="F106" s="91" t="s">
        <v>274</v>
      </c>
      <c r="G106" s="103"/>
      <c r="H106" s="103">
        <v>0.36336482088913746</v>
      </c>
      <c r="I106" s="91"/>
      <c r="J106" s="91"/>
      <c r="K106" s="103"/>
      <c r="L106" s="91"/>
      <c r="M106" s="103"/>
    </row>
    <row r="107" spans="1:13" x14ac:dyDescent="0.3">
      <c r="A107" s="96" t="s">
        <v>220</v>
      </c>
      <c r="B107" s="96" t="s">
        <v>203</v>
      </c>
      <c r="C107" s="96" t="b">
        <v>0</v>
      </c>
      <c r="D107" s="96" t="s">
        <v>160</v>
      </c>
      <c r="E107" s="96" t="s">
        <v>155</v>
      </c>
      <c r="F107" s="91" t="s">
        <v>275</v>
      </c>
      <c r="G107" s="103"/>
      <c r="H107" s="103">
        <v>0.58612806720964739</v>
      </c>
      <c r="I107" s="91"/>
      <c r="J107" s="91"/>
      <c r="K107" s="103"/>
      <c r="L107" s="91"/>
      <c r="M107" s="103"/>
    </row>
    <row r="108" spans="1:13" x14ac:dyDescent="0.3">
      <c r="A108" s="96" t="s">
        <v>220</v>
      </c>
      <c r="B108" s="96" t="s">
        <v>212</v>
      </c>
      <c r="C108" s="96" t="b">
        <v>0</v>
      </c>
      <c r="D108" s="96" t="s">
        <v>227</v>
      </c>
      <c r="E108" s="96" t="s">
        <v>155</v>
      </c>
      <c r="F108" s="91" t="s">
        <v>276</v>
      </c>
      <c r="G108" s="103"/>
      <c r="H108" s="103">
        <v>0.4083932826932537</v>
      </c>
      <c r="I108" s="91"/>
      <c r="J108" s="91"/>
      <c r="K108" s="103"/>
      <c r="L108" s="91"/>
      <c r="M108" s="103"/>
    </row>
    <row r="109" spans="1:13" x14ac:dyDescent="0.3">
      <c r="A109" s="96" t="s">
        <v>220</v>
      </c>
      <c r="B109" s="96" t="s">
        <v>212</v>
      </c>
      <c r="C109" s="96" t="b">
        <v>0</v>
      </c>
      <c r="D109" s="96" t="s">
        <v>151</v>
      </c>
      <c r="E109" s="96" t="s">
        <v>152</v>
      </c>
      <c r="F109" s="91" t="s">
        <v>277</v>
      </c>
      <c r="G109" s="103"/>
      <c r="H109" s="103">
        <v>0.21583294146390553</v>
      </c>
      <c r="I109" s="91"/>
      <c r="J109" s="91"/>
      <c r="K109" s="103"/>
      <c r="L109" s="91"/>
      <c r="M109" s="103"/>
    </row>
    <row r="110" spans="1:13" x14ac:dyDescent="0.3">
      <c r="A110" s="96" t="s">
        <v>220</v>
      </c>
      <c r="B110" s="96" t="s">
        <v>212</v>
      </c>
      <c r="C110" s="96" t="b">
        <v>0</v>
      </c>
      <c r="D110" s="96" t="s">
        <v>151</v>
      </c>
      <c r="E110" s="96" t="s">
        <v>155</v>
      </c>
      <c r="F110" s="91" t="s">
        <v>278</v>
      </c>
      <c r="G110" s="103"/>
      <c r="H110" s="103">
        <v>0.752016214725854</v>
      </c>
      <c r="I110" s="91"/>
      <c r="J110" s="91"/>
      <c r="K110" s="103"/>
      <c r="L110" s="91"/>
      <c r="M110" s="103"/>
    </row>
    <row r="111" spans="1:13" x14ac:dyDescent="0.3">
      <c r="A111" s="96" t="s">
        <v>220</v>
      </c>
      <c r="B111" s="96" t="s">
        <v>212</v>
      </c>
      <c r="C111" s="96" t="b">
        <v>0</v>
      </c>
      <c r="D111" s="96" t="s">
        <v>151</v>
      </c>
      <c r="E111" s="96" t="s">
        <v>223</v>
      </c>
      <c r="F111" s="91" t="s">
        <v>279</v>
      </c>
      <c r="G111" s="103"/>
      <c r="H111" s="103">
        <v>1.5483043365476279</v>
      </c>
      <c r="I111" s="91"/>
      <c r="J111" s="91"/>
      <c r="K111" s="103"/>
      <c r="L111" s="91"/>
      <c r="M111" s="103"/>
    </row>
    <row r="112" spans="1:13" x14ac:dyDescent="0.3">
      <c r="A112" s="96" t="s">
        <v>220</v>
      </c>
      <c r="B112" s="96" t="s">
        <v>212</v>
      </c>
      <c r="C112" s="96" t="b">
        <v>0</v>
      </c>
      <c r="D112" s="96" t="s">
        <v>157</v>
      </c>
      <c r="E112" s="96" t="s">
        <v>152</v>
      </c>
      <c r="F112" s="91" t="s">
        <v>280</v>
      </c>
      <c r="G112" s="103"/>
      <c r="H112" s="103">
        <v>0.30909770550096627</v>
      </c>
      <c r="I112" s="91"/>
      <c r="J112" s="91"/>
      <c r="K112" s="103"/>
      <c r="L112" s="91"/>
      <c r="M112" s="103"/>
    </row>
    <row r="113" spans="1:13" x14ac:dyDescent="0.3">
      <c r="A113" s="96" t="s">
        <v>220</v>
      </c>
      <c r="B113" s="96" t="s">
        <v>212</v>
      </c>
      <c r="C113" s="96" t="b">
        <v>0</v>
      </c>
      <c r="D113" s="96" t="s">
        <v>157</v>
      </c>
      <c r="E113" s="96" t="s">
        <v>155</v>
      </c>
      <c r="F113" s="91" t="s">
        <v>281</v>
      </c>
      <c r="G113" s="103"/>
      <c r="H113" s="103">
        <v>1.2058658821721342</v>
      </c>
      <c r="I113" s="91"/>
      <c r="J113" s="103"/>
      <c r="K113" s="103"/>
      <c r="L113" s="103"/>
      <c r="M113" s="103"/>
    </row>
    <row r="114" spans="1:13" x14ac:dyDescent="0.3">
      <c r="A114" s="96" t="s">
        <v>220</v>
      </c>
      <c r="B114" s="96" t="s">
        <v>212</v>
      </c>
      <c r="C114" s="96" t="b">
        <v>0</v>
      </c>
      <c r="D114" s="96" t="s">
        <v>160</v>
      </c>
      <c r="E114" s="96" t="s">
        <v>152</v>
      </c>
      <c r="F114" s="91" t="s">
        <v>282</v>
      </c>
      <c r="G114" s="103"/>
      <c r="H114" s="103">
        <v>0.52695793644656097</v>
      </c>
      <c r="I114" s="91"/>
      <c r="J114" s="103"/>
      <c r="K114" s="103"/>
      <c r="L114" s="103"/>
      <c r="M114" s="103"/>
    </row>
    <row r="115" spans="1:13" x14ac:dyDescent="0.3">
      <c r="A115" s="96" t="s">
        <v>283</v>
      </c>
      <c r="B115" s="96" t="s">
        <v>283</v>
      </c>
      <c r="C115" s="96" t="s">
        <v>283</v>
      </c>
      <c r="D115" s="96" t="s">
        <v>283</v>
      </c>
      <c r="E115" s="98" t="s">
        <v>284</v>
      </c>
      <c r="F115" s="91" t="str">
        <f>"|"&amp;"|"&amp;"|"&amp;E115</f>
        <v>|||Greenspace</v>
      </c>
      <c r="G115" s="104"/>
      <c r="H115" s="103">
        <v>0.02</v>
      </c>
      <c r="I115" s="91"/>
      <c r="J115" s="91"/>
      <c r="K115" s="91"/>
      <c r="L115" s="91"/>
      <c r="M115" s="91"/>
    </row>
    <row r="116" spans="1:13" x14ac:dyDescent="0.3">
      <c r="A116" s="96" t="s">
        <v>283</v>
      </c>
      <c r="B116" s="96" t="s">
        <v>283</v>
      </c>
      <c r="C116" s="96" t="s">
        <v>283</v>
      </c>
      <c r="D116" s="96" t="s">
        <v>283</v>
      </c>
      <c r="E116" s="98" t="s">
        <v>285</v>
      </c>
      <c r="F116" s="91" t="str">
        <f>"|"&amp;"|"&amp;"|"&amp;E116</f>
        <v>|||Community food growing</v>
      </c>
      <c r="G116" s="103"/>
      <c r="H116" s="103">
        <f>IFERROR(VLOOKUP((VLOOKUP(Nutrients_from_current_land_use!$B$5,Value_look_up_tables!$A$152:$B$152,2,FALSE)&amp;"|"&amp;"General"&amp;"|"&amp;"FALSE"&amp;"|"&amp;VLOOKUP(Nutrients_from_current_land_use!$B$7,Value_look_up_tables!$A$126:$C$148,3,FALSE)&amp;"|"&amp;"FreeDrain"),$F$22:$H$114,3,FALSE), IFERROR(VLOOKUP("General"&amp;"|"&amp;VLOOKUP(Nutrients_from_current_land_use!$B$7,Value_look_up_tables!$A$126:$C$148,3,FALSE),$I$22:$M$114,3,FALSE),VLOOKUP("General",$B$22:$M$114,12,FALSE)))</f>
        <v>0.55359621588568753</v>
      </c>
      <c r="I116" s="91"/>
      <c r="J116" s="91"/>
      <c r="K116" s="91"/>
      <c r="L116" s="91"/>
      <c r="M116" s="91"/>
    </row>
    <row r="117" spans="1:13" x14ac:dyDescent="0.3">
      <c r="A117" s="96" t="s">
        <v>283</v>
      </c>
      <c r="B117" s="96" t="s">
        <v>283</v>
      </c>
      <c r="C117" s="96" t="s">
        <v>283</v>
      </c>
      <c r="D117" s="96" t="s">
        <v>283</v>
      </c>
      <c r="E117" s="98" t="s">
        <v>286</v>
      </c>
      <c r="F117" s="91" t="str">
        <f>"|"&amp;"|"&amp;"|"&amp;E117</f>
        <v>|||Woodland</v>
      </c>
      <c r="G117" s="104"/>
      <c r="H117" s="103">
        <v>0.02</v>
      </c>
      <c r="I117" s="91"/>
      <c r="J117" s="91"/>
      <c r="K117" s="91"/>
      <c r="L117" s="91"/>
      <c r="M117" s="91"/>
    </row>
    <row r="118" spans="1:13" x14ac:dyDescent="0.3">
      <c r="A118" s="96" t="s">
        <v>283</v>
      </c>
      <c r="B118" s="96" t="s">
        <v>283</v>
      </c>
      <c r="C118" s="96" t="s">
        <v>283</v>
      </c>
      <c r="D118" s="96" t="s">
        <v>283</v>
      </c>
      <c r="E118" s="98" t="s">
        <v>287</v>
      </c>
      <c r="F118" s="91" t="str">
        <f>"|"&amp;"|"&amp;"|"&amp;E118</f>
        <v>|||Shrub</v>
      </c>
      <c r="G118" s="104"/>
      <c r="H118" s="103">
        <v>0.02</v>
      </c>
      <c r="I118" s="91"/>
      <c r="J118" s="91"/>
      <c r="K118" s="91"/>
      <c r="L118" s="91"/>
      <c r="M118" s="91"/>
    </row>
    <row r="119" spans="1:13" x14ac:dyDescent="0.3">
      <c r="A119" s="96" t="s">
        <v>283</v>
      </c>
      <c r="B119" s="96" t="s">
        <v>283</v>
      </c>
      <c r="C119" s="96" t="s">
        <v>283</v>
      </c>
      <c r="D119" s="96" t="s">
        <v>283</v>
      </c>
      <c r="E119" s="98" t="s">
        <v>288</v>
      </c>
      <c r="F119" s="91" t="str">
        <f>"|"&amp;"|"&amp;"|"&amp;E119</f>
        <v>|||Water</v>
      </c>
      <c r="G119" s="104"/>
      <c r="H119" s="103">
        <v>0</v>
      </c>
      <c r="I119" s="91"/>
      <c r="J119" s="91"/>
      <c r="K119" s="91"/>
      <c r="L119" s="91"/>
      <c r="M119" s="91"/>
    </row>
    <row r="120" spans="1:13" x14ac:dyDescent="0.3">
      <c r="A120" s="96" t="s">
        <v>283</v>
      </c>
      <c r="B120" s="96" t="s">
        <v>283</v>
      </c>
      <c r="C120" s="96" t="s">
        <v>283</v>
      </c>
      <c r="D120" s="96" t="s">
        <v>283</v>
      </c>
      <c r="E120" s="91" t="s">
        <v>289</v>
      </c>
      <c r="F120" s="91" t="str">
        <f t="shared" ref="F120:F122" si="0">"|"&amp;"|"&amp;"|"&amp;E120</f>
        <v>|||Residential urban land</v>
      </c>
      <c r="G120" s="103"/>
      <c r="H120" s="103" t="e">
        <f>VLOOKUP(Nutrients_from_current_land_use!B7,Value_look_up_tables!A126:I148,9,FALSE)</f>
        <v>#N/A</v>
      </c>
      <c r="I120" s="91"/>
      <c r="J120" s="91"/>
      <c r="K120" s="91"/>
      <c r="L120" s="91"/>
      <c r="M120" s="91"/>
    </row>
    <row r="121" spans="1:13" ht="28" x14ac:dyDescent="0.3">
      <c r="A121" s="96" t="s">
        <v>283</v>
      </c>
      <c r="B121" s="96" t="s">
        <v>283</v>
      </c>
      <c r="C121" s="96" t="s">
        <v>283</v>
      </c>
      <c r="D121" s="96" t="s">
        <v>283</v>
      </c>
      <c r="E121" s="91" t="s">
        <v>290</v>
      </c>
      <c r="F121" s="91" t="str">
        <f t="shared" si="0"/>
        <v>|||Commercial/industrial urban land</v>
      </c>
      <c r="G121" s="103"/>
      <c r="H121" s="103" t="e">
        <f>VLOOKUP(Nutrients_from_current_land_use!B7,Value_look_up_tables!A126:K148,10,FALSE)</f>
        <v>#N/A</v>
      </c>
      <c r="I121" s="91"/>
      <c r="J121" s="91"/>
      <c r="K121" s="91"/>
      <c r="L121" s="91"/>
      <c r="M121" s="91"/>
    </row>
    <row r="122" spans="1:13" x14ac:dyDescent="0.3">
      <c r="A122" s="96" t="s">
        <v>283</v>
      </c>
      <c r="B122" s="96" t="s">
        <v>283</v>
      </c>
      <c r="C122" s="96" t="s">
        <v>283</v>
      </c>
      <c r="D122" s="96" t="s">
        <v>283</v>
      </c>
      <c r="E122" s="91" t="s">
        <v>291</v>
      </c>
      <c r="F122" s="91" t="str">
        <f t="shared" si="0"/>
        <v>|||Open urban land</v>
      </c>
      <c r="G122" s="103"/>
      <c r="H122" s="103" t="e">
        <f>VLOOKUP(Nutrients_from_current_land_use!B7,Value_look_up_tables!A126:N148,11,FALSE)</f>
        <v>#N/A</v>
      </c>
      <c r="I122" s="91"/>
      <c r="J122" s="91"/>
      <c r="K122" s="91"/>
      <c r="L122" s="91"/>
      <c r="M122" s="91"/>
    </row>
    <row r="123" spans="1:13" x14ac:dyDescent="0.3">
      <c r="A123" s="65"/>
      <c r="B123" s="65"/>
      <c r="C123" s="65"/>
      <c r="D123" s="65"/>
      <c r="E123" s="65"/>
      <c r="F123" s="65"/>
      <c r="G123" s="97"/>
      <c r="H123" s="97"/>
      <c r="I123" s="65"/>
      <c r="J123" s="65"/>
      <c r="K123" s="65"/>
      <c r="L123" s="65"/>
      <c r="M123" s="65"/>
    </row>
    <row r="124" spans="1:13" ht="37.5" customHeight="1" x14ac:dyDescent="0.3">
      <c r="A124" s="110" t="s">
        <v>292</v>
      </c>
      <c r="B124" s="118"/>
      <c r="C124" s="65"/>
      <c r="D124" s="65"/>
      <c r="E124" s="65"/>
      <c r="F124" s="65"/>
      <c r="G124" s="97"/>
      <c r="H124" s="97"/>
      <c r="I124" s="65"/>
      <c r="J124" s="65"/>
      <c r="K124" s="65"/>
      <c r="L124" s="65"/>
      <c r="M124" s="65"/>
    </row>
    <row r="125" spans="1:13" ht="70" x14ac:dyDescent="0.3">
      <c r="A125" s="120" t="s">
        <v>293</v>
      </c>
      <c r="B125" s="120" t="s">
        <v>294</v>
      </c>
      <c r="C125" s="120" t="s">
        <v>295</v>
      </c>
      <c r="D125" s="120" t="s">
        <v>296</v>
      </c>
      <c r="E125" s="120" t="s">
        <v>297</v>
      </c>
      <c r="F125" s="120" t="s">
        <v>298</v>
      </c>
      <c r="G125" s="120" t="s">
        <v>299</v>
      </c>
      <c r="H125" s="120" t="s">
        <v>300</v>
      </c>
      <c r="I125" s="120" t="s">
        <v>301</v>
      </c>
      <c r="J125" s="120" t="s">
        <v>302</v>
      </c>
      <c r="K125" s="120" t="s">
        <v>303</v>
      </c>
      <c r="L125" s="43"/>
      <c r="M125" s="43"/>
    </row>
    <row r="126" spans="1:13" x14ac:dyDescent="0.3">
      <c r="A126" s="99" t="s">
        <v>304</v>
      </c>
      <c r="B126" s="100">
        <v>516.5</v>
      </c>
      <c r="C126" s="99" t="s">
        <v>305</v>
      </c>
      <c r="D126" s="100">
        <v>47.366326420209788</v>
      </c>
      <c r="E126" s="100">
        <v>63.946326420209786</v>
      </c>
      <c r="F126" s="100">
        <v>1.0030530114375726</v>
      </c>
      <c r="G126" s="100">
        <v>0.73394122788115068</v>
      </c>
      <c r="H126" s="100">
        <v>0.5382235671128438</v>
      </c>
      <c r="I126" s="100">
        <v>1.0030530114375726</v>
      </c>
      <c r="J126" s="100">
        <v>0.73394122788115068</v>
      </c>
      <c r="K126" s="100">
        <v>0.5382235671128438</v>
      </c>
      <c r="L126" s="101"/>
      <c r="M126" s="101"/>
    </row>
    <row r="127" spans="1:13" x14ac:dyDescent="0.3">
      <c r="A127" s="99" t="s">
        <v>306</v>
      </c>
      <c r="B127" s="100">
        <v>537.54999999999995</v>
      </c>
      <c r="C127" s="99" t="s">
        <v>305</v>
      </c>
      <c r="D127" s="100">
        <v>47.605509573313697</v>
      </c>
      <c r="E127" s="100">
        <v>64.185509573313695</v>
      </c>
      <c r="F127" s="100">
        <v>1.049204008516526</v>
      </c>
      <c r="G127" s="100">
        <v>0.76771025013404326</v>
      </c>
      <c r="H127" s="100">
        <v>0.56298751676496517</v>
      </c>
      <c r="I127" s="100">
        <v>1.049204008516526</v>
      </c>
      <c r="J127" s="100">
        <v>0.76771025013404326</v>
      </c>
      <c r="K127" s="100">
        <v>0.56298751676496517</v>
      </c>
      <c r="L127" s="101"/>
      <c r="M127" s="101"/>
    </row>
    <row r="128" spans="1:13" x14ac:dyDescent="0.3">
      <c r="A128" s="99" t="s">
        <v>307</v>
      </c>
      <c r="B128" s="100">
        <v>562.54999999999995</v>
      </c>
      <c r="C128" s="99" t="s">
        <v>305</v>
      </c>
      <c r="D128" s="100">
        <v>47.8624816470968</v>
      </c>
      <c r="E128" s="100">
        <v>64.442481647096798</v>
      </c>
      <c r="F128" s="100">
        <v>1.1039266010735462</v>
      </c>
      <c r="G128" s="100">
        <v>0.80775117151722908</v>
      </c>
      <c r="H128" s="100">
        <v>0.59235085911263463</v>
      </c>
      <c r="I128" s="100">
        <v>1.1039266010735462</v>
      </c>
      <c r="J128" s="100">
        <v>0.80775117151722908</v>
      </c>
      <c r="K128" s="100">
        <v>0.59235085911263463</v>
      </c>
      <c r="L128" s="101"/>
      <c r="M128" s="101"/>
    </row>
    <row r="129" spans="1:13" x14ac:dyDescent="0.3">
      <c r="A129" s="99" t="s">
        <v>308</v>
      </c>
      <c r="B129" s="100">
        <v>587.54999999999995</v>
      </c>
      <c r="C129" s="99" t="s">
        <v>305</v>
      </c>
      <c r="D129" s="100">
        <v>48.089720428979902</v>
      </c>
      <c r="E129" s="100">
        <v>64.6697204289799</v>
      </c>
      <c r="F129" s="100">
        <v>1.1584597247599329</v>
      </c>
      <c r="G129" s="100">
        <v>0.84765345714141427</v>
      </c>
      <c r="H129" s="100">
        <v>0.62161253523703719</v>
      </c>
      <c r="I129" s="100">
        <v>1.1584597247599329</v>
      </c>
      <c r="J129" s="100">
        <v>0.84765345714141427</v>
      </c>
      <c r="K129" s="100">
        <v>0.62161253523703719</v>
      </c>
      <c r="L129" s="101"/>
      <c r="M129" s="101"/>
    </row>
    <row r="130" spans="1:13" x14ac:dyDescent="0.3">
      <c r="A130" s="99" t="s">
        <v>309</v>
      </c>
      <c r="B130" s="100">
        <v>612.54999999999995</v>
      </c>
      <c r="C130" s="99" t="s">
        <v>310</v>
      </c>
      <c r="D130" s="100">
        <v>48.286892468962989</v>
      </c>
      <c r="E130" s="100">
        <v>64.866892468962988</v>
      </c>
      <c r="F130" s="100">
        <v>1.2127035752563942</v>
      </c>
      <c r="G130" s="100">
        <v>0.88734407945589822</v>
      </c>
      <c r="H130" s="100">
        <v>0.650718991600992</v>
      </c>
      <c r="I130" s="100">
        <v>1.2127035752563942</v>
      </c>
      <c r="J130" s="100">
        <v>0.88734407945589822</v>
      </c>
      <c r="K130" s="100">
        <v>0.650718991600992</v>
      </c>
      <c r="L130" s="101"/>
      <c r="M130" s="101"/>
    </row>
    <row r="131" spans="1:13" x14ac:dyDescent="0.3">
      <c r="A131" s="99" t="s">
        <v>311</v>
      </c>
      <c r="B131" s="100">
        <v>637.54999999999995</v>
      </c>
      <c r="C131" s="99" t="s">
        <v>310</v>
      </c>
      <c r="D131" s="100">
        <v>48.453664317046091</v>
      </c>
      <c r="E131" s="100">
        <v>65.033664317046089</v>
      </c>
      <c r="F131" s="100">
        <v>1.2665569810986419</v>
      </c>
      <c r="G131" s="100">
        <v>0.92674901055998193</v>
      </c>
      <c r="H131" s="100">
        <v>0.67961594107732015</v>
      </c>
      <c r="I131" s="100">
        <v>1.2665569810986419</v>
      </c>
      <c r="J131" s="100">
        <v>0.92674901055998193</v>
      </c>
      <c r="K131" s="100">
        <v>0.67961594107732015</v>
      </c>
      <c r="L131" s="101"/>
      <c r="M131" s="101"/>
    </row>
    <row r="132" spans="1:13" x14ac:dyDescent="0.3">
      <c r="A132" s="99" t="s">
        <v>312</v>
      </c>
      <c r="B132" s="100">
        <v>662.55</v>
      </c>
      <c r="C132" s="99" t="s">
        <v>310</v>
      </c>
      <c r="D132" s="100">
        <v>48.589702523229192</v>
      </c>
      <c r="E132" s="100">
        <v>65.169702523229191</v>
      </c>
      <c r="F132" s="100">
        <v>1.3199174036773855</v>
      </c>
      <c r="G132" s="100">
        <v>0.96579322220296504</v>
      </c>
      <c r="H132" s="100">
        <v>0.70824836294884108</v>
      </c>
      <c r="I132" s="100">
        <v>1.3199174036773855</v>
      </c>
      <c r="J132" s="100">
        <v>0.96579322220296504</v>
      </c>
      <c r="K132" s="100">
        <v>0.70824836294884108</v>
      </c>
      <c r="L132" s="101"/>
      <c r="M132" s="101"/>
    </row>
    <row r="133" spans="1:13" x14ac:dyDescent="0.3">
      <c r="A133" s="99" t="s">
        <v>313</v>
      </c>
      <c r="B133" s="100">
        <v>687.55</v>
      </c>
      <c r="C133" s="99" t="s">
        <v>310</v>
      </c>
      <c r="D133" s="100">
        <v>48.694673637512295</v>
      </c>
      <c r="E133" s="100">
        <v>65.274673637512294</v>
      </c>
      <c r="F133" s="100">
        <v>1.3726809372383346</v>
      </c>
      <c r="G133" s="100">
        <v>1.0044006857841474</v>
      </c>
      <c r="H133" s="100">
        <v>0.73656050290837471</v>
      </c>
      <c r="I133" s="100">
        <v>1.3726809372383346</v>
      </c>
      <c r="J133" s="100">
        <v>1.0044006857841474</v>
      </c>
      <c r="K133" s="100">
        <v>0.73656050290837471</v>
      </c>
      <c r="L133" s="101"/>
      <c r="M133" s="101"/>
    </row>
    <row r="134" spans="1:13" x14ac:dyDescent="0.3">
      <c r="A134" s="99" t="s">
        <v>314</v>
      </c>
      <c r="B134" s="100">
        <v>725.05</v>
      </c>
      <c r="C134" s="99" t="s">
        <v>227</v>
      </c>
      <c r="D134" s="100">
        <v>48.793150089749446</v>
      </c>
      <c r="E134" s="100">
        <v>65.373150089749444</v>
      </c>
      <c r="F134" s="100">
        <v>1.4504764123754863</v>
      </c>
      <c r="G134" s="100">
        <v>1.0613242041771849</v>
      </c>
      <c r="H134" s="100">
        <v>0.77830441639660242</v>
      </c>
      <c r="I134" s="100">
        <v>1.4504764123754863</v>
      </c>
      <c r="J134" s="100">
        <v>1.0613242041771849</v>
      </c>
      <c r="K134" s="100">
        <v>0.77830441639660242</v>
      </c>
      <c r="L134" s="101"/>
      <c r="M134" s="101"/>
    </row>
    <row r="135" spans="1:13" x14ac:dyDescent="0.3">
      <c r="A135" s="99" t="s">
        <v>315</v>
      </c>
      <c r="B135" s="100">
        <v>775.05</v>
      </c>
      <c r="C135" s="99" t="s">
        <v>227</v>
      </c>
      <c r="D135" s="100">
        <v>48.817999999999984</v>
      </c>
      <c r="E135" s="100">
        <v>65.397999999999982</v>
      </c>
      <c r="F135" s="100">
        <v>1.5512920268999992</v>
      </c>
      <c r="G135" s="100">
        <v>1.1350917269999994</v>
      </c>
      <c r="H135" s="100">
        <v>0.83240059979999959</v>
      </c>
      <c r="I135" s="100">
        <v>1.5512920268999992</v>
      </c>
      <c r="J135" s="100">
        <v>1.1350917269999994</v>
      </c>
      <c r="K135" s="100">
        <v>0.83240059979999959</v>
      </c>
      <c r="L135" s="101"/>
      <c r="M135" s="101"/>
    </row>
    <row r="136" spans="1:13" x14ac:dyDescent="0.3">
      <c r="A136" s="99" t="s">
        <v>316</v>
      </c>
      <c r="B136" s="100">
        <v>825.05</v>
      </c>
      <c r="C136" s="99" t="s">
        <v>227</v>
      </c>
      <c r="D136" s="100">
        <v>48.817999999999984</v>
      </c>
      <c r="E136" s="100">
        <v>65.397999999999982</v>
      </c>
      <c r="F136" s="100">
        <v>1.6513689268999994</v>
      </c>
      <c r="G136" s="100">
        <v>1.2083187269999995</v>
      </c>
      <c r="H136" s="100">
        <v>0.88610039979999966</v>
      </c>
      <c r="I136" s="100">
        <v>1.6513689268999994</v>
      </c>
      <c r="J136" s="100">
        <v>1.2083187269999995</v>
      </c>
      <c r="K136" s="100">
        <v>0.88610039979999966</v>
      </c>
      <c r="L136" s="101"/>
      <c r="M136" s="101"/>
    </row>
    <row r="137" spans="1:13" x14ac:dyDescent="0.3">
      <c r="A137" s="99" t="s">
        <v>317</v>
      </c>
      <c r="B137" s="100">
        <v>875.05</v>
      </c>
      <c r="C137" s="99" t="s">
        <v>227</v>
      </c>
      <c r="D137" s="100">
        <v>48.817999999999984</v>
      </c>
      <c r="E137" s="100">
        <v>65.397999999999982</v>
      </c>
      <c r="F137" s="100">
        <v>1.7514458268999995</v>
      </c>
      <c r="G137" s="100">
        <v>1.2815457269999997</v>
      </c>
      <c r="H137" s="100">
        <v>0.93980019979999974</v>
      </c>
      <c r="I137" s="100">
        <v>1.7514458268999995</v>
      </c>
      <c r="J137" s="100">
        <v>1.2815457269999997</v>
      </c>
      <c r="K137" s="100">
        <v>0.93980019979999974</v>
      </c>
      <c r="L137" s="101"/>
      <c r="M137" s="101"/>
    </row>
    <row r="138" spans="1:13" x14ac:dyDescent="0.3">
      <c r="A138" s="99" t="s">
        <v>318</v>
      </c>
      <c r="B138" s="100">
        <v>925.05</v>
      </c>
      <c r="C138" s="99" t="s">
        <v>151</v>
      </c>
      <c r="D138" s="100">
        <v>48.817999999999984</v>
      </c>
      <c r="E138" s="100">
        <v>65.397999999999982</v>
      </c>
      <c r="F138" s="100">
        <v>1.851522726899999</v>
      </c>
      <c r="G138" s="100">
        <v>1.3547727269999992</v>
      </c>
      <c r="H138" s="100">
        <v>0.99349999979999948</v>
      </c>
      <c r="I138" s="100">
        <v>1.851522726899999</v>
      </c>
      <c r="J138" s="100">
        <v>1.3547727269999992</v>
      </c>
      <c r="K138" s="100">
        <v>0.99349999979999948</v>
      </c>
      <c r="L138" s="101"/>
      <c r="M138" s="101"/>
    </row>
    <row r="139" spans="1:13" x14ac:dyDescent="0.3">
      <c r="A139" s="99" t="s">
        <v>319</v>
      </c>
      <c r="B139" s="100">
        <v>975.05</v>
      </c>
      <c r="C139" s="99" t="s">
        <v>151</v>
      </c>
      <c r="D139" s="100">
        <v>48.817999999999984</v>
      </c>
      <c r="E139" s="100">
        <v>65.397999999999982</v>
      </c>
      <c r="F139" s="100">
        <v>1.9515996268999991</v>
      </c>
      <c r="G139" s="100">
        <v>1.4279997269999993</v>
      </c>
      <c r="H139" s="100">
        <v>1.0471997997999996</v>
      </c>
      <c r="I139" s="100">
        <v>1.9515996268999991</v>
      </c>
      <c r="J139" s="100">
        <v>1.4279997269999993</v>
      </c>
      <c r="K139" s="100">
        <v>1.0471997997999996</v>
      </c>
      <c r="L139" s="101"/>
      <c r="M139" s="101"/>
    </row>
    <row r="140" spans="1:13" x14ac:dyDescent="0.3">
      <c r="A140" s="99" t="s">
        <v>320</v>
      </c>
      <c r="B140" s="100">
        <v>1050.05</v>
      </c>
      <c r="C140" s="99" t="s">
        <v>151</v>
      </c>
      <c r="D140" s="100">
        <v>48.817999999999984</v>
      </c>
      <c r="E140" s="100">
        <v>65.397999999999982</v>
      </c>
      <c r="F140" s="100">
        <v>2.101714976899999</v>
      </c>
      <c r="G140" s="100">
        <v>1.5378402269999993</v>
      </c>
      <c r="H140" s="100">
        <v>1.1277494997999997</v>
      </c>
      <c r="I140" s="100">
        <v>2.101714976899999</v>
      </c>
      <c r="J140" s="100">
        <v>1.5378402269999993</v>
      </c>
      <c r="K140" s="100">
        <v>1.1277494997999997</v>
      </c>
      <c r="L140" s="101"/>
      <c r="M140" s="101"/>
    </row>
    <row r="141" spans="1:13" x14ac:dyDescent="0.3">
      <c r="A141" s="99" t="s">
        <v>321</v>
      </c>
      <c r="B141" s="100">
        <v>1150.05</v>
      </c>
      <c r="C141" s="99" t="s">
        <v>151</v>
      </c>
      <c r="D141" s="100">
        <v>48.817999999999984</v>
      </c>
      <c r="E141" s="100">
        <v>65.397999999999982</v>
      </c>
      <c r="F141" s="100">
        <v>2.3018687768999988</v>
      </c>
      <c r="G141" s="100">
        <v>1.6842942269999992</v>
      </c>
      <c r="H141" s="100">
        <v>1.2351490997999994</v>
      </c>
      <c r="I141" s="100">
        <v>2.3018687768999988</v>
      </c>
      <c r="J141" s="100">
        <v>1.6842942269999992</v>
      </c>
      <c r="K141" s="100">
        <v>1.2351490997999994</v>
      </c>
      <c r="L141" s="101"/>
      <c r="M141" s="101"/>
    </row>
    <row r="142" spans="1:13" x14ac:dyDescent="0.3">
      <c r="A142" s="99" t="s">
        <v>322</v>
      </c>
      <c r="B142" s="100">
        <v>1300.05</v>
      </c>
      <c r="C142" s="99" t="s">
        <v>157</v>
      </c>
      <c r="D142" s="100">
        <v>48.817999999999984</v>
      </c>
      <c r="E142" s="100">
        <v>65.397999999999982</v>
      </c>
      <c r="F142" s="100">
        <v>2.602099476899999</v>
      </c>
      <c r="G142" s="100">
        <v>1.9039752269999992</v>
      </c>
      <c r="H142" s="100">
        <v>1.3962484997999995</v>
      </c>
      <c r="I142" s="100">
        <v>2.602099476899999</v>
      </c>
      <c r="J142" s="100">
        <v>1.9039752269999992</v>
      </c>
      <c r="K142" s="100">
        <v>1.3962484997999995</v>
      </c>
      <c r="L142" s="101"/>
      <c r="M142" s="101"/>
    </row>
    <row r="143" spans="1:13" x14ac:dyDescent="0.3">
      <c r="A143" s="99" t="s">
        <v>323</v>
      </c>
      <c r="B143" s="100">
        <v>1500.05</v>
      </c>
      <c r="C143" s="99" t="s">
        <v>157</v>
      </c>
      <c r="D143" s="100">
        <v>48.817999999999984</v>
      </c>
      <c r="E143" s="100">
        <v>65.397999999999982</v>
      </c>
      <c r="F143" s="100">
        <v>3.0024070768999986</v>
      </c>
      <c r="G143" s="100">
        <v>2.1968832269999989</v>
      </c>
      <c r="H143" s="100">
        <v>1.6110476997999994</v>
      </c>
      <c r="I143" s="100">
        <v>3.0024070768999986</v>
      </c>
      <c r="J143" s="100">
        <v>2.1968832269999989</v>
      </c>
      <c r="K143" s="100">
        <v>1.6110476997999994</v>
      </c>
      <c r="L143" s="101"/>
      <c r="M143" s="101"/>
    </row>
    <row r="144" spans="1:13" x14ac:dyDescent="0.3">
      <c r="A144" s="99" t="s">
        <v>324</v>
      </c>
      <c r="B144" s="100">
        <v>1800.05</v>
      </c>
      <c r="C144" s="99" t="s">
        <v>160</v>
      </c>
      <c r="D144" s="100">
        <v>48.817999999999984</v>
      </c>
      <c r="E144" s="100">
        <v>65.397999999999982</v>
      </c>
      <c r="F144" s="100">
        <v>3.6028684768999981</v>
      </c>
      <c r="G144" s="100">
        <v>2.6362452269999985</v>
      </c>
      <c r="H144" s="100">
        <v>1.9332464997999992</v>
      </c>
      <c r="I144" s="100">
        <v>3.6028684768999981</v>
      </c>
      <c r="J144" s="100">
        <v>2.6362452269999985</v>
      </c>
      <c r="K144" s="100">
        <v>1.9332464997999992</v>
      </c>
      <c r="L144" s="101"/>
      <c r="M144" s="101"/>
    </row>
    <row r="145" spans="1:13" x14ac:dyDescent="0.3">
      <c r="A145" s="99" t="s">
        <v>325</v>
      </c>
      <c r="B145" s="100">
        <v>2200.0500000000002</v>
      </c>
      <c r="C145" s="99" t="s">
        <v>160</v>
      </c>
      <c r="D145" s="100">
        <v>48.817999999999984</v>
      </c>
      <c r="E145" s="100">
        <v>65.397999999999982</v>
      </c>
      <c r="F145" s="100">
        <v>4.4034836768999988</v>
      </c>
      <c r="G145" s="100">
        <v>3.2220612269999993</v>
      </c>
      <c r="H145" s="100">
        <v>2.3628448997999998</v>
      </c>
      <c r="I145" s="100">
        <v>4.4034836768999988</v>
      </c>
      <c r="J145" s="100">
        <v>3.2220612269999993</v>
      </c>
      <c r="K145" s="100">
        <v>2.3628448997999998</v>
      </c>
      <c r="L145" s="101"/>
      <c r="M145" s="101"/>
    </row>
    <row r="146" spans="1:13" x14ac:dyDescent="0.3">
      <c r="A146" s="99" t="s">
        <v>326</v>
      </c>
      <c r="B146" s="100">
        <v>2700.05</v>
      </c>
      <c r="C146" s="99" t="s">
        <v>160</v>
      </c>
      <c r="D146" s="100">
        <v>48.817999999999984</v>
      </c>
      <c r="E146" s="100">
        <v>65.397999999999982</v>
      </c>
      <c r="F146" s="100">
        <v>5.4042526768999988</v>
      </c>
      <c r="G146" s="100">
        <v>3.9543312269999986</v>
      </c>
      <c r="H146" s="100">
        <v>2.8998428997999994</v>
      </c>
      <c r="I146" s="100">
        <v>5.4042526768999988</v>
      </c>
      <c r="J146" s="100">
        <v>3.9543312269999986</v>
      </c>
      <c r="K146" s="100">
        <v>2.8998428997999994</v>
      </c>
      <c r="L146" s="101"/>
      <c r="M146" s="101"/>
    </row>
    <row r="147" spans="1:13" x14ac:dyDescent="0.3">
      <c r="A147" s="99" t="s">
        <v>327</v>
      </c>
      <c r="B147" s="100">
        <v>3500.05</v>
      </c>
      <c r="C147" s="99" t="s">
        <v>160</v>
      </c>
      <c r="D147" s="100">
        <v>48.817999999999984</v>
      </c>
      <c r="E147" s="100">
        <v>65.397999999999982</v>
      </c>
      <c r="F147" s="100">
        <v>7.0054830768999983</v>
      </c>
      <c r="G147" s="100">
        <v>5.1259632269999988</v>
      </c>
      <c r="H147" s="100">
        <v>3.7590396997999993</v>
      </c>
      <c r="I147" s="100">
        <v>7.0054830768999983</v>
      </c>
      <c r="J147" s="100">
        <v>5.1259632269999988</v>
      </c>
      <c r="K147" s="100">
        <v>3.7590396997999993</v>
      </c>
      <c r="L147" s="101"/>
      <c r="M147" s="101"/>
    </row>
    <row r="148" spans="1:13" x14ac:dyDescent="0.3">
      <c r="A148" s="99" t="s">
        <v>328</v>
      </c>
      <c r="B148" s="100">
        <v>4750.05</v>
      </c>
      <c r="C148" s="99" t="s">
        <v>160</v>
      </c>
      <c r="D148" s="100">
        <v>48.817999999999984</v>
      </c>
      <c r="E148" s="100">
        <v>65.397999999999982</v>
      </c>
      <c r="F148" s="100">
        <v>9.5074055768999965</v>
      </c>
      <c r="G148" s="100">
        <v>6.9566382269999973</v>
      </c>
      <c r="H148" s="100">
        <v>5.1015346997999984</v>
      </c>
      <c r="I148" s="100">
        <v>9.5074055768999965</v>
      </c>
      <c r="J148" s="100">
        <v>6.9566382269999973</v>
      </c>
      <c r="K148" s="100">
        <v>5.1015346997999984</v>
      </c>
      <c r="L148" s="101"/>
      <c r="M148" s="101"/>
    </row>
    <row r="149" spans="1:13" x14ac:dyDescent="0.3">
      <c r="A149" s="65"/>
      <c r="B149" s="65"/>
      <c r="C149" s="65"/>
      <c r="D149" s="65"/>
      <c r="E149" s="65"/>
      <c r="F149" s="65"/>
      <c r="G149" s="97"/>
      <c r="H149" s="97"/>
      <c r="I149" s="65"/>
      <c r="J149" s="65"/>
      <c r="K149" s="65"/>
      <c r="L149" s="65"/>
      <c r="M149" s="65"/>
    </row>
    <row r="150" spans="1:13" ht="37.5" customHeight="1" x14ac:dyDescent="0.3">
      <c r="A150" s="106" t="s">
        <v>329</v>
      </c>
      <c r="B150" s="108"/>
      <c r="C150" s="65"/>
      <c r="D150" s="65"/>
      <c r="F150" s="65"/>
      <c r="H150" s="97"/>
      <c r="J150" s="65"/>
      <c r="K150" s="65"/>
      <c r="L150" s="65"/>
      <c r="M150" s="65"/>
    </row>
    <row r="151" spans="1:13" ht="28" x14ac:dyDescent="0.3">
      <c r="A151" s="120" t="s">
        <v>330</v>
      </c>
      <c r="B151" s="120" t="s">
        <v>331</v>
      </c>
      <c r="C151" s="65"/>
      <c r="D151" s="65"/>
      <c r="F151" s="65"/>
      <c r="H151" s="97"/>
      <c r="J151" s="65"/>
      <c r="K151" s="65"/>
      <c r="L151" s="65"/>
      <c r="M151" s="65"/>
    </row>
    <row r="152" spans="1:13" x14ac:dyDescent="0.3">
      <c r="A152" s="91" t="s">
        <v>149</v>
      </c>
      <c r="B152" s="91" t="s">
        <v>149</v>
      </c>
      <c r="C152" s="65"/>
      <c r="D152" s="65"/>
      <c r="F152" s="65"/>
      <c r="H152" s="97"/>
      <c r="J152" s="65"/>
      <c r="K152" s="65"/>
      <c r="L152" s="65"/>
      <c r="M152" s="65"/>
    </row>
    <row r="153" spans="1:13" x14ac:dyDescent="0.3">
      <c r="A153" s="65"/>
      <c r="B153" s="65"/>
      <c r="C153" s="65"/>
      <c r="D153" s="65"/>
      <c r="F153" s="65"/>
      <c r="H153" s="97"/>
      <c r="I153" s="65"/>
      <c r="J153" s="65"/>
      <c r="K153" s="65"/>
      <c r="L153" s="65"/>
      <c r="M153" s="65"/>
    </row>
    <row r="154" spans="1:13" ht="37.5" customHeight="1" x14ac:dyDescent="0.3">
      <c r="A154" s="106" t="s">
        <v>332</v>
      </c>
      <c r="B154" s="109"/>
      <c r="D154" s="65"/>
      <c r="F154" s="37"/>
      <c r="H154" s="65"/>
      <c r="I154" s="65"/>
      <c r="J154" s="65"/>
      <c r="K154" s="65"/>
      <c r="L154" s="65"/>
      <c r="M154" s="65"/>
    </row>
    <row r="155" spans="1:13" ht="28" x14ac:dyDescent="0.3">
      <c r="A155" s="120" t="s">
        <v>333</v>
      </c>
      <c r="B155" s="120" t="s">
        <v>334</v>
      </c>
      <c r="C155" s="120" t="s">
        <v>335</v>
      </c>
      <c r="D155" s="65"/>
      <c r="F155" s="65"/>
      <c r="H155" s="65"/>
      <c r="I155" s="65"/>
      <c r="J155" s="65"/>
      <c r="K155" s="65"/>
      <c r="L155" s="65"/>
      <c r="M155" s="65"/>
    </row>
    <row r="156" spans="1:13" x14ac:dyDescent="0.3">
      <c r="A156" s="105" t="s">
        <v>336</v>
      </c>
      <c r="B156" s="91" t="s">
        <v>152</v>
      </c>
      <c r="C156" s="91" t="s">
        <v>337</v>
      </c>
      <c r="D156" s="65"/>
      <c r="F156" s="65"/>
      <c r="H156" s="65"/>
      <c r="I156" s="65"/>
      <c r="J156" s="65"/>
      <c r="K156" s="65"/>
      <c r="L156" s="65"/>
      <c r="M156" s="65"/>
    </row>
    <row r="157" spans="1:13" ht="28" x14ac:dyDescent="0.3">
      <c r="A157" s="105" t="s">
        <v>338</v>
      </c>
      <c r="B157" s="91" t="s">
        <v>155</v>
      </c>
      <c r="C157" s="91" t="s">
        <v>339</v>
      </c>
      <c r="D157" s="65"/>
      <c r="F157" s="65"/>
      <c r="H157" s="65"/>
      <c r="I157" s="65"/>
      <c r="J157" s="65"/>
      <c r="K157" s="65"/>
      <c r="L157" s="65"/>
      <c r="M157" s="65"/>
    </row>
    <row r="158" spans="1:13" ht="42" x14ac:dyDescent="0.3">
      <c r="A158" s="105" t="s">
        <v>340</v>
      </c>
      <c r="B158" s="91" t="s">
        <v>223</v>
      </c>
      <c r="C158" s="91" t="s">
        <v>341</v>
      </c>
      <c r="D158" s="65"/>
      <c r="F158" s="65"/>
      <c r="H158" s="65"/>
      <c r="I158" s="65"/>
      <c r="J158" s="65"/>
      <c r="K158" s="65"/>
      <c r="L158" s="65"/>
      <c r="M158" s="65"/>
    </row>
    <row r="159" spans="1:13" ht="28" x14ac:dyDescent="0.3">
      <c r="A159" s="91" t="s">
        <v>342</v>
      </c>
      <c r="B159" s="91" t="s">
        <v>155</v>
      </c>
      <c r="C159" s="91" t="s">
        <v>339</v>
      </c>
      <c r="D159" s="65"/>
      <c r="F159" s="65"/>
      <c r="H159" s="65"/>
      <c r="I159" s="65"/>
      <c r="J159" s="65"/>
      <c r="K159" s="65"/>
      <c r="L159" s="65"/>
      <c r="M159" s="65"/>
    </row>
    <row r="160" spans="1:13" ht="28" x14ac:dyDescent="0.3">
      <c r="A160" s="91" t="s">
        <v>343</v>
      </c>
      <c r="B160" s="91" t="s">
        <v>155</v>
      </c>
      <c r="C160" s="91" t="s">
        <v>339</v>
      </c>
      <c r="D160" s="65"/>
      <c r="F160" s="65"/>
      <c r="H160" s="65"/>
      <c r="I160" s="102"/>
      <c r="J160" s="65"/>
      <c r="K160" s="65"/>
      <c r="L160" s="65"/>
      <c r="M160" s="65"/>
    </row>
    <row r="161" spans="1:13" ht="28" x14ac:dyDescent="0.3">
      <c r="A161" s="105" t="s">
        <v>344</v>
      </c>
      <c r="B161" s="91" t="s">
        <v>155</v>
      </c>
      <c r="C161" s="91" t="s">
        <v>339</v>
      </c>
      <c r="D161" s="65"/>
      <c r="F161" s="65"/>
      <c r="H161" s="65"/>
      <c r="I161" s="102"/>
      <c r="J161" s="65"/>
      <c r="K161" s="65"/>
      <c r="L161" s="65"/>
      <c r="M161" s="65"/>
    </row>
    <row r="162" spans="1:13" ht="15" customHeight="1" x14ac:dyDescent="0.3">
      <c r="A162" s="65"/>
      <c r="B162" s="97"/>
      <c r="C162" s="65"/>
      <c r="D162" s="65"/>
      <c r="F162" s="65"/>
      <c r="H162" s="65"/>
      <c r="I162" s="102"/>
      <c r="J162" s="65"/>
      <c r="K162" s="65"/>
      <c r="L162" s="65"/>
      <c r="M162" s="65"/>
    </row>
    <row r="163" spans="1:13" ht="37.5" customHeight="1" x14ac:dyDescent="0.3">
      <c r="A163" s="106" t="s">
        <v>345</v>
      </c>
      <c r="B163" s="107"/>
      <c r="C163" s="65"/>
      <c r="D163" s="65"/>
      <c r="F163" s="65"/>
      <c r="H163" s="65"/>
      <c r="I163" s="102"/>
      <c r="J163" s="65"/>
      <c r="K163" s="65"/>
      <c r="L163" s="65"/>
      <c r="M163" s="65"/>
    </row>
    <row r="164" spans="1:13" ht="28" x14ac:dyDescent="0.3">
      <c r="A164" s="119" t="s">
        <v>138</v>
      </c>
      <c r="B164" s="119" t="s">
        <v>331</v>
      </c>
      <c r="C164" s="65"/>
      <c r="D164" s="65"/>
      <c r="F164" s="65"/>
      <c r="H164" s="65"/>
      <c r="I164" s="65"/>
      <c r="J164" s="65"/>
      <c r="K164" s="65"/>
      <c r="L164" s="65"/>
      <c r="M164" s="65"/>
    </row>
    <row r="165" spans="1:13" x14ac:dyDescent="0.3">
      <c r="A165" s="91" t="s">
        <v>346</v>
      </c>
      <c r="B165" s="103" t="b">
        <v>1</v>
      </c>
      <c r="C165" s="65"/>
      <c r="D165" s="65"/>
      <c r="F165" s="65"/>
      <c r="H165" s="65"/>
      <c r="I165" s="65"/>
      <c r="J165" s="65"/>
      <c r="K165" s="65"/>
      <c r="L165" s="65"/>
      <c r="M165" s="65"/>
    </row>
    <row r="166" spans="1:13" x14ac:dyDescent="0.3">
      <c r="A166" s="91" t="s">
        <v>347</v>
      </c>
      <c r="B166" s="103" t="b">
        <v>0</v>
      </c>
      <c r="C166" s="65"/>
      <c r="D166" s="65"/>
      <c r="F166" s="65"/>
      <c r="H166" s="65"/>
      <c r="I166" s="65"/>
      <c r="J166" s="65"/>
      <c r="K166" s="65"/>
      <c r="L166" s="65"/>
      <c r="M166" s="65"/>
    </row>
    <row r="167" spans="1:13" x14ac:dyDescent="0.3">
      <c r="A167" s="65"/>
      <c r="B167" s="97"/>
      <c r="C167" s="97"/>
      <c r="D167" s="65"/>
      <c r="F167" s="65"/>
    </row>
    <row r="168" spans="1:13" ht="37.5" customHeight="1" x14ac:dyDescent="0.3">
      <c r="A168" s="106" t="s">
        <v>348</v>
      </c>
      <c r="B168" s="126"/>
      <c r="C168" s="97"/>
      <c r="D168" s="65"/>
    </row>
    <row r="169" spans="1:13" x14ac:dyDescent="0.3">
      <c r="A169" s="127" t="s">
        <v>349</v>
      </c>
      <c r="D169" s="65"/>
    </row>
    <row r="170" spans="1:13" x14ac:dyDescent="0.3">
      <c r="A170" s="128" t="s">
        <v>150</v>
      </c>
      <c r="D170" s="65"/>
      <c r="E170" s="65"/>
      <c r="F170" s="65"/>
      <c r="G170" s="97"/>
      <c r="H170" s="97"/>
    </row>
    <row r="171" spans="1:13" x14ac:dyDescent="0.3">
      <c r="A171" s="128" t="s">
        <v>163</v>
      </c>
      <c r="D171" s="65"/>
      <c r="E171" s="65"/>
      <c r="F171" s="65"/>
      <c r="G171" s="97"/>
      <c r="H171" s="97"/>
    </row>
    <row r="172" spans="1:13" x14ac:dyDescent="0.3">
      <c r="A172" s="128" t="s">
        <v>172</v>
      </c>
      <c r="D172" s="65"/>
      <c r="E172" s="65"/>
      <c r="F172" s="65"/>
      <c r="G172" s="97"/>
      <c r="H172" s="97"/>
    </row>
    <row r="173" spans="1:13" x14ac:dyDescent="0.3">
      <c r="A173" s="128" t="s">
        <v>180</v>
      </c>
      <c r="D173" s="65"/>
      <c r="E173" s="65"/>
      <c r="F173" s="65"/>
      <c r="G173" s="97"/>
      <c r="H173" s="97"/>
    </row>
    <row r="174" spans="1:13" x14ac:dyDescent="0.3">
      <c r="A174" s="128" t="s">
        <v>183</v>
      </c>
      <c r="D174" s="65"/>
      <c r="E174" s="65"/>
      <c r="F174" s="65"/>
      <c r="G174" s="97"/>
      <c r="H174" s="97"/>
    </row>
    <row r="175" spans="1:13" x14ac:dyDescent="0.3">
      <c r="A175" s="128" t="s">
        <v>188</v>
      </c>
      <c r="D175" s="65"/>
      <c r="E175" s="65"/>
      <c r="F175" s="65"/>
      <c r="G175" s="97"/>
      <c r="H175" s="97"/>
    </row>
    <row r="176" spans="1:13" x14ac:dyDescent="0.3">
      <c r="A176" s="128" t="s">
        <v>194</v>
      </c>
      <c r="D176" s="65"/>
      <c r="E176" s="65"/>
      <c r="F176" s="65"/>
      <c r="G176" s="97"/>
      <c r="H176" s="97"/>
    </row>
    <row r="177" spans="1:8" x14ac:dyDescent="0.3">
      <c r="A177" s="128" t="s">
        <v>203</v>
      </c>
      <c r="D177" s="65"/>
      <c r="E177" s="65"/>
      <c r="F177" s="65"/>
      <c r="G177" s="97"/>
      <c r="H177" s="97"/>
    </row>
    <row r="178" spans="1:8" x14ac:dyDescent="0.3">
      <c r="A178" s="128" t="s">
        <v>212</v>
      </c>
      <c r="D178" s="65"/>
      <c r="E178" s="65"/>
      <c r="F178" s="65"/>
      <c r="G178" s="97"/>
      <c r="H178" s="97"/>
    </row>
    <row r="179" spans="1:8" x14ac:dyDescent="0.3">
      <c r="A179" s="129" t="s">
        <v>284</v>
      </c>
      <c r="D179" s="65"/>
      <c r="E179" s="65"/>
      <c r="F179" s="65"/>
      <c r="G179" s="97"/>
      <c r="H179" s="97"/>
    </row>
    <row r="180" spans="1:8" x14ac:dyDescent="0.3">
      <c r="A180" s="129" t="s">
        <v>286</v>
      </c>
      <c r="D180" s="65"/>
      <c r="E180" s="65"/>
      <c r="F180" s="65"/>
      <c r="G180" s="97"/>
      <c r="H180" s="97"/>
    </row>
    <row r="181" spans="1:8" x14ac:dyDescent="0.3">
      <c r="A181" s="129" t="s">
        <v>287</v>
      </c>
      <c r="D181" s="65"/>
      <c r="E181" s="65"/>
      <c r="F181" s="65"/>
      <c r="G181" s="97"/>
      <c r="H181" s="97"/>
    </row>
    <row r="182" spans="1:8" x14ac:dyDescent="0.3">
      <c r="A182" s="129" t="s">
        <v>288</v>
      </c>
      <c r="D182" s="65"/>
      <c r="E182" s="65"/>
      <c r="F182" s="65"/>
      <c r="G182" s="97"/>
      <c r="H182" s="97"/>
    </row>
    <row r="183" spans="1:8" x14ac:dyDescent="0.3">
      <c r="A183" s="128" t="s">
        <v>289</v>
      </c>
      <c r="D183" s="65"/>
      <c r="E183" s="65"/>
      <c r="F183" s="65"/>
      <c r="G183" s="97"/>
      <c r="H183" s="97"/>
    </row>
    <row r="184" spans="1:8" x14ac:dyDescent="0.3">
      <c r="A184" s="128" t="s">
        <v>290</v>
      </c>
      <c r="D184" s="65"/>
      <c r="E184" s="65"/>
      <c r="F184" s="65"/>
      <c r="G184" s="97"/>
      <c r="H184" s="97"/>
    </row>
    <row r="185" spans="1:8" x14ac:dyDescent="0.3">
      <c r="A185" s="128" t="s">
        <v>291</v>
      </c>
      <c r="D185" s="65"/>
      <c r="E185" s="65"/>
      <c r="F185" s="65"/>
      <c r="G185" s="97"/>
      <c r="H185" s="97"/>
    </row>
    <row r="186" spans="1:8" x14ac:dyDescent="0.3">
      <c r="A186" s="130" t="s">
        <v>285</v>
      </c>
      <c r="D186" s="65"/>
      <c r="E186" s="65"/>
      <c r="F186" s="65"/>
      <c r="G186" s="97"/>
      <c r="H186" s="97"/>
    </row>
    <row r="188" spans="1:8" ht="37.5" customHeight="1" x14ac:dyDescent="0.3">
      <c r="A188" s="106" t="s">
        <v>350</v>
      </c>
      <c r="B188" s="125"/>
    </row>
    <row r="189" spans="1:8" x14ac:dyDescent="0.3">
      <c r="A189" s="119" t="s">
        <v>351</v>
      </c>
    </row>
    <row r="190" spans="1:8" x14ac:dyDescent="0.3">
      <c r="A190" s="91" t="s">
        <v>150</v>
      </c>
    </row>
    <row r="191" spans="1:8" x14ac:dyDescent="0.3">
      <c r="A191" s="91" t="s">
        <v>163</v>
      </c>
    </row>
    <row r="192" spans="1:8" x14ac:dyDescent="0.3">
      <c r="A192" s="91" t="s">
        <v>172</v>
      </c>
    </row>
    <row r="193" spans="1:1" x14ac:dyDescent="0.3">
      <c r="A193" s="91" t="s">
        <v>180</v>
      </c>
    </row>
    <row r="194" spans="1:1" x14ac:dyDescent="0.3">
      <c r="A194" s="91" t="s">
        <v>183</v>
      </c>
    </row>
    <row r="195" spans="1:1" x14ac:dyDescent="0.3">
      <c r="A195" s="91" t="s">
        <v>188</v>
      </c>
    </row>
    <row r="196" spans="1:1" x14ac:dyDescent="0.3">
      <c r="A196" s="91" t="s">
        <v>194</v>
      </c>
    </row>
    <row r="197" spans="1:1" x14ac:dyDescent="0.3">
      <c r="A197" s="91" t="s">
        <v>203</v>
      </c>
    </row>
    <row r="198" spans="1:1" x14ac:dyDescent="0.3">
      <c r="A198" s="91" t="s">
        <v>212</v>
      </c>
    </row>
    <row r="199" spans="1:1" x14ac:dyDescent="0.3">
      <c r="A199" s="91" t="s">
        <v>284</v>
      </c>
    </row>
    <row r="200" spans="1:1" x14ac:dyDescent="0.3">
      <c r="A200" s="98" t="s">
        <v>286</v>
      </c>
    </row>
    <row r="201" spans="1:1" x14ac:dyDescent="0.3">
      <c r="A201" s="98" t="s">
        <v>287</v>
      </c>
    </row>
    <row r="202" spans="1:1" x14ac:dyDescent="0.3">
      <c r="A202" s="98" t="s">
        <v>288</v>
      </c>
    </row>
    <row r="203" spans="1:1" x14ac:dyDescent="0.3">
      <c r="A203" s="91" t="s">
        <v>289</v>
      </c>
    </row>
    <row r="204" spans="1:1" x14ac:dyDescent="0.3">
      <c r="A204" s="91" t="s">
        <v>290</v>
      </c>
    </row>
    <row r="205" spans="1:1" x14ac:dyDescent="0.3">
      <c r="A205" s="91" t="s">
        <v>291</v>
      </c>
    </row>
    <row r="206" spans="1:1" x14ac:dyDescent="0.3">
      <c r="A206" s="91" t="s">
        <v>285</v>
      </c>
    </row>
    <row r="208" spans="1:1" ht="37.5" customHeight="1" x14ac:dyDescent="0.3">
      <c r="A208" s="8" t="s">
        <v>352</v>
      </c>
    </row>
    <row r="209" spans="1:1" x14ac:dyDescent="0.3">
      <c r="A209" s="119" t="s">
        <v>353</v>
      </c>
    </row>
    <row r="210" spans="1:1" x14ac:dyDescent="0.3">
      <c r="A210" s="91" t="e" cm="1" vm="1">
        <f t="array" ref="A210">_xlfn._xlws.SORT(_xlfn.UNIQUE(_xlfn._xlws.FILTER(Nutrients_from_future_land_use!$A$5:$A$21,Nutrients_from_future_land_use!$A$5:$A$21&lt;&gt;"")))</f>
        <v>#VALUE!</v>
      </c>
    </row>
  </sheetData>
  <sheetProtection algorithmName="SHA-512" hashValue="vBj//k3u/PhAmYctngR7T+ue8RZyw8a65+prLDLzotpUJs+y1xTqOgMtsMvxI3rcAW5UiquO4ZZHwYrwum/4ag==" saltValue="rrUSReDBY0M8o/EjnDpJHw==" spinCount="100000" sheet="1" objects="1" scenarios="1"/>
  <phoneticPr fontId="9" type="noConversion"/>
  <dataValidations count="1">
    <dataValidation allowBlank="1" showInputMessage="1" showErrorMessage="1" prompt="This value is dependent on the rainfall volume." sqref="G120:H122 H116" xr:uid="{531D2639-E1CD-4714-9D53-CBF5CF1C1961}"/>
  </dataValidations>
  <pageMargins left="0.7" right="0.7" top="0.75" bottom="0.75" header="0.3" footer="0.3"/>
  <pageSetup paperSize="9" orientation="portrait"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Strategic solutions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9</Value>
      <Value>15</Value>
      <Value>3</Value>
      <Value>2</Value>
      <Value>1</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Team xmlns="662745e8-e224-48e8-a2e3-254862b8c2f5">Natural England Programmes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eadf615d-60bf-4100-8f9d-b3b6b1afcaac">
      <Terms xmlns="http://schemas.microsoft.com/office/infopath/2007/PartnerControls"/>
    </lcf76f155ced4ddcb4097134ff3c332f>
  </documentManagement>
</p:properties>
</file>

<file path=customXml/item2.xml>��< ? x m l   v e r s i o n = " 1 . 0 "   e n c o d i n g = " u t f - 1 6 " ? > < D a t a M a s h u p   x m l n s = " h t t p : / / s c h e m a s . m i c r o s o f t . c o m / D a t a M a s h u p " > A A A A A B Y D A A B Q S w M E F A A C A A g A h o U 7 V 5 2 8 U U + m A A A A 9 w A A A B I A H A B D b 2 5 m a W c v U G F j a 2 F n Z S 5 4 b W w g o h g A K K A U A A A A A A A A A A A A A A A A A A A A A A A A A A A A h Y + 9 C s I w H M R f p W R v v u o g J U 1 B B x c L g i C u I c Y 2 2 P 4 r T W r 6 b g 4 + k q 9 g R a t u j n f 3 O 7 i 7 X 2 8 i H 5 o 6 u p j O 2 R Y y x D B F k Q H d H i y U G e r 9 M Z 6 j X I q N 0 i d V m m i E w a W D s x m q v D + n h I Q Q c E h w 2 5 W E U 8 r I v l h v d W U a F V t w X o E 2 6 N M 6 / G 8 h K X a v M Z J j x m a Y c 5 5 g K s j k i s L C l + D j 4 G f 6 Y 4 p l X / u + M 9 J A v F o I M k l B 3 i f k A 1 B L A w Q U A A I A C A C G h T t 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o U 7 V y i K R 7 g O A A A A E Q A A A B M A H A B G b 3 J t d W x h c y 9 T Z W N 0 a W 9 u M S 5 t I K I Y A C i g F A A A A A A A A A A A A A A A A A A A A A A A A A A A A C t O T S 7 J z M 9 T C I b Q h t Y A U E s B A i 0 A F A A C A A g A h o U 7 V 5 2 8 U U + m A A A A 9 w A A A B I A A A A A A A A A A A A A A A A A A A A A A E N v b m Z p Z y 9 Q Y W N r Y W d l L n h t b F B L A Q I t A B Q A A g A I A I a F O 1 c P y u m r p A A A A O k A A A A T A A A A A A A A A A A A A A A A A P I A A A B b Q 2 9 u d G V u d F 9 U e X B l c 1 0 u e G 1 s U E s B A i 0 A F A A C A A g A h o U 7 V 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w e K y V Y z 8 t D j N D i w j Z x H C M A A A A A A g A A A A A A A 2 Y A A M A A A A A Q A A A A s X D 2 Y q k v n m 5 B q U I r Q U c 8 R g A A A A A E g A A A o A A A A B A A A A D 0 5 f A V 2 9 u a / n 3 P M i I a 9 + f i U A A A A A E 3 Z K l W 1 L D I R 5 S l l g B l p 6 2 T c c T u + e S t x O L E I 3 S T V b c v U Q f L D V N 1 m I m J 5 0 Y q g Q d T J E f a b f u m g z N M c j L + y h 6 R g m c F 5 e p C 7 X D e k x F D x Q g N h C L s F A A A A O e O l U c Z T K h 9 p w V m j L p i a d P 0 X B E V < / 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1084BA893BFA0746879A3D9878F52A4C" ma:contentTypeVersion="18" ma:contentTypeDescription="Create a new document." ma:contentTypeScope="" ma:versionID="47d14f17d45274dcc4b2d5aabc76dcc9">
  <xsd:schema xmlns:xsd="http://www.w3.org/2001/XMLSchema" xmlns:xs="http://www.w3.org/2001/XMLSchema" xmlns:p="http://schemas.microsoft.com/office/2006/metadata/properties" xmlns:ns2="662745e8-e224-48e8-a2e3-254862b8c2f5" xmlns:ns3="eadf615d-60bf-4100-8f9d-b3b6b1afcaac" xmlns:ns4="1b0cf190-34a4-46df-8e99-7b7b75534f8a" targetNamespace="http://schemas.microsoft.com/office/2006/metadata/properties" ma:root="true" ma:fieldsID="ad27a725091392cc9bad503dce8aa5b7" ns2:_="" ns3:_="" ns4:_="">
    <xsd:import namespace="662745e8-e224-48e8-a2e3-254862b8c2f5"/>
    <xsd:import namespace="eadf615d-60bf-4100-8f9d-b3b6b1afcaac"/>
    <xsd:import namespace="1b0cf190-34a4-46df-8e99-7b7b75534f8a"/>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4:SharedWithUsers" minOccurs="0"/>
                <xsd:element ref="ns4:SharedWithDetails" minOccurs="0"/>
                <xsd:element ref="ns3:MediaServiceSearchProperties" minOccurs="0"/>
                <xsd:element ref="ns3:lcf76f155ced4ddcb4097134ff3c332f"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2;#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db2e875-4c0e-4f0a-ad47-7f03d630799f}" ma:internalName="TaxCatchAll" ma:showField="CatchAllData" ma:web="1b0cf190-34a4-46df-8e99-7b7b75534f8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db2e875-4c0e-4f0a-ad47-7f03d630799f}" ma:internalName="TaxCatchAllLabel" ma:readOnly="true" ma:showField="CatchAllDataLabel" ma:web="1b0cf190-34a4-46df-8e99-7b7b75534f8a">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1;#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9;#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Strategic Solutions" ma:internalName="Team">
      <xsd:simpleType>
        <xsd:restriction base="dms:Text"/>
      </xsd:simpleType>
    </xsd:element>
    <xsd:element name="Topic" ma:index="20" nillable="true" ma:displayName="Topic" ma:default="SST File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8;#Internal NE|70a74972-c838-4a08-aeb8-2c6aad14b4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3;#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adf615d-60bf-4100-8f9d-b3b6b1afcaac"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DateTaken" ma:index="28" nillable="true" ma:displayName="MediaServiceDateTaken" ma:hidden="true" ma:indexed="true" ma:internalName="MediaServiceDateTaken"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3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0cf190-34a4-46df-8e99-7b7b75534f8a"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d1117845-93f6-4da3-abaa-fcb4fa669c78" ContentTypeId="0x010100A5BF1C78D9F64B679A5EBDE1C6598EBC01" PreviousValue="false" LastSyncTimeStamp="2022-12-23T12:39:58.22Z"/>
</file>

<file path=customXml/itemProps1.xml><?xml version="1.0" encoding="utf-8"?>
<ds:datastoreItem xmlns:ds="http://schemas.openxmlformats.org/officeDocument/2006/customXml" ds:itemID="{4E6A12FC-BB1B-4E54-B358-BBABDD5105C6}">
  <ds:schemaRefs>
    <ds:schemaRef ds:uri="http://schemas.microsoft.com/office/2006/metadata/properties"/>
    <ds:schemaRef ds:uri="http://schemas.microsoft.com/office/infopath/2007/PartnerControls"/>
    <ds:schemaRef ds:uri="662745e8-e224-48e8-a2e3-254862b8c2f5"/>
    <ds:schemaRef ds:uri="eadf615d-60bf-4100-8f9d-b3b6b1afcaac"/>
  </ds:schemaRefs>
</ds:datastoreItem>
</file>

<file path=customXml/itemProps2.xml><?xml version="1.0" encoding="utf-8"?>
<ds:datastoreItem xmlns:ds="http://schemas.openxmlformats.org/officeDocument/2006/customXml" ds:itemID="{A6870AF0-BC99-4EE0-9479-825860D2F995}">
  <ds:schemaRefs>
    <ds:schemaRef ds:uri="http://schemas.microsoft.com/DataMashup"/>
  </ds:schemaRefs>
</ds:datastoreItem>
</file>

<file path=customXml/itemProps3.xml><?xml version="1.0" encoding="utf-8"?>
<ds:datastoreItem xmlns:ds="http://schemas.openxmlformats.org/officeDocument/2006/customXml" ds:itemID="{64C1BBF9-9B3E-4827-BF16-821C5036B885}">
  <ds:schemaRefs>
    <ds:schemaRef ds:uri="http://schemas.microsoft.com/sharepoint/v3/contenttype/forms"/>
  </ds:schemaRefs>
</ds:datastoreItem>
</file>

<file path=customXml/itemProps4.xml><?xml version="1.0" encoding="utf-8"?>
<ds:datastoreItem xmlns:ds="http://schemas.openxmlformats.org/officeDocument/2006/customXml" ds:itemID="{EAE1FCD9-E2BA-4998-AF79-6B0ED528D2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eadf615d-60bf-4100-8f9d-b3b6b1afcaac"/>
    <ds:schemaRef ds:uri="1b0cf190-34a4-46df-8e99-7b7b75534f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7BAC196-B5AB-4FF0-8BD6-788F0CB6947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Nutrients_from_wastewater</vt:lpstr>
      <vt:lpstr>Nutrients_from_current_land_use</vt:lpstr>
      <vt:lpstr>Nutrients_from_future_land_use</vt:lpstr>
      <vt:lpstr>SuDS</vt:lpstr>
      <vt:lpstr>Final_nutrient_budgets</vt:lpstr>
      <vt:lpstr>Value_look_up_tables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2021-10-14T13:24:34Z</dcterms:created>
  <dcterms:modified xsi:type="dcterms:W3CDTF">2026-03-04T10:55:47Z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0x010100A5BF1C78D9F64B679A5EBDE1C6598EBC01001084BA893BFA0746879A3D9878F52A4C</vt:lpwstr>
  </property>
  <property fmtid="{D5CDD505-2E9C-101B-9397-08002B2CF9AE}" pid="3" name="HOGovernmentSecurityClassification">
    <vt:lpwstr>2;#Official|14c80daa-741b-422c-9722-f71693c9ede4</vt:lpwstr>
  </property>
  <property fmtid="{D5CDD505-2E9C-101B-9397-08002B2CF9AE}" pid="4" name="InformationType">
    <vt:lpwstr/>
  </property>
  <property fmtid="{D5CDD505-2E9C-101B-9397-08002B2CF9AE}" pid="5" name="HOSiteType">
    <vt:lpwstr>9;#Team|ff0485df-0575-416f-802f-e999165821b7</vt:lpwstr>
  </property>
  <property fmtid="{D5CDD505-2E9C-101B-9397-08002B2CF9AE}" pid="6" name="Distribution">
    <vt:lpwstr>15;#Internal Defra Group|0867f7b3-e76e-40ca-bb1f-5ba341a49230</vt:lpwstr>
  </property>
  <property fmtid="{D5CDD505-2E9C-101B-9397-08002B2CF9AE}" pid="7" name="OrganisationalUnit">
    <vt:lpwstr>3;#NE|275df9ce-cd92-4318-adfe-db572e51c7ff</vt:lpwstr>
  </property>
  <property fmtid="{D5CDD505-2E9C-101B-9397-08002B2CF9AE}" pid="8" name="HOCopyrightLevel">
    <vt:lpwstr>1;#Crown|69589897-2828-4761-976e-717fd8e631c9</vt:lpwstr>
  </property>
  <property fmtid="{D5CDD505-2E9C-101B-9397-08002B2CF9AE}" pid="9" name="MediaServiceImageTags">
    <vt:lpwstr/>
  </property>
</Properties>
</file>