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omments1.xml" ContentType="application/vnd.openxmlformats-officedocument.spreadsheetml.comments+xml"/>
  <Override PartName="/xl/threadedComments/threadedComment1.xml" ContentType="application/vnd.ms-excel.threadedcomments+xml"/>
  <Override PartName="/xl/namedSheetViews/namedSheetView1.xml" ContentType="application/vnd.ms-excel.namedsheetviews+xml"/>
  <Override PartName="/xl/tables/table5.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66925"/>
  <mc:AlternateContent xmlns:mc="http://schemas.openxmlformats.org/markup-compatibility/2006">
    <mc:Choice Requires="x15">
      <x15ac:absPath xmlns:x15ac="http://schemas.microsoft.com/office/spreadsheetml/2010/11/ac" url="\\CCFEPC\Home\A-E\dbrown\Downloads\"/>
    </mc:Choice>
  </mc:AlternateContent>
  <xr:revisionPtr revIDLastSave="0" documentId="8_{08750D75-6F4C-4B8A-A034-827021F45519}" xr6:coauthVersionLast="47" xr6:coauthVersionMax="47" xr10:uidLastSave="{00000000-0000-0000-0000-000000000000}"/>
  <bookViews>
    <workbookView xWindow="-28920" yWindow="-120" windowWidth="29040" windowHeight="15720" tabRatio="808" activeTab="4" xr2:uid="{6C3C3B02-9394-46F6-96B7-3E3610B2B65B}"/>
  </bookViews>
  <sheets>
    <sheet name="1. Guidance" sheetId="1" r:id="rId1"/>
    <sheet name="2. Aspirational" sheetId="4" r:id="rId2"/>
    <sheet name="3. PMEs" sheetId="3" r:id="rId3"/>
    <sheet name="4. Tenders" sheetId="2" r:id="rId4"/>
    <sheet name="5. GPC Spend £500+ " sheetId="17" r:id="rId5"/>
  </sheets>
  <definedNames>
    <definedName name="_xlnm._FilterDatabase" localSheetId="0" hidden="1">'1. Guidance'!$L$79:$N$115</definedName>
    <definedName name="_xlnm._FilterDatabase" localSheetId="1" hidden="1">'2. Aspirational'!$A$1:$H$6</definedName>
    <definedName name="_xlnm._FilterDatabase" localSheetId="3" hidden="1">'4. Tenders'!$F$12:$F$12</definedName>
    <definedName name="_Hlk208583561">#REF!</definedName>
    <definedName name="_msoanchor_1">#REF!</definedName>
    <definedName name="Amount">#REF!</definedName>
    <definedName name="_xlnm.Print_Area" localSheetId="1">'2. Aspirational'!$B$3:$G$43</definedName>
    <definedName name="Tier">#REF!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14" i="17" l="1"/>
  <c r="F411" i="17"/>
  <c r="F409" i="17"/>
  <c r="F408" i="17"/>
  <c r="F407" i="17"/>
  <c r="F406" i="17"/>
  <c r="F405" i="17"/>
  <c r="F395" i="17"/>
  <c r="F394" i="17"/>
  <c r="F388" i="17"/>
  <c r="F387" i="17"/>
  <c r="F386" i="17"/>
  <c r="F385" i="17"/>
  <c r="F380" i="17"/>
  <c r="F379" i="17"/>
  <c r="F378" i="17"/>
  <c r="F375" i="17"/>
  <c r="F344" i="17"/>
  <c r="F343" i="17"/>
  <c r="F342" i="17"/>
  <c r="F337" i="17"/>
  <c r="F331" i="17"/>
  <c r="F315" i="17"/>
  <c r="F314" i="17"/>
  <c r="F313" i="17"/>
  <c r="F312" i="17"/>
  <c r="F311" i="17"/>
  <c r="F306" i="17"/>
  <c r="F300" i="17"/>
  <c r="F299" i="17"/>
  <c r="F297" i="17"/>
  <c r="F295" i="17"/>
  <c r="F287" i="17"/>
  <c r="F282" i="17"/>
  <c r="F280" i="17"/>
  <c r="F279" i="17"/>
  <c r="F278" i="17"/>
  <c r="F273" i="17"/>
  <c r="F271" i="17"/>
  <c r="F270" i="17"/>
  <c r="F269" i="17"/>
  <c r="F267" i="17"/>
  <c r="F263" i="17"/>
  <c r="F262" i="17"/>
  <c r="F261" i="17"/>
  <c r="F259" i="17"/>
  <c r="F251" i="17"/>
  <c r="F250" i="17"/>
  <c r="F243" i="17"/>
  <c r="F242" i="17"/>
  <c r="F241" i="17"/>
  <c r="F239" i="17"/>
  <c r="F233" i="17"/>
  <c r="F232" i="17"/>
  <c r="F229" i="17"/>
  <c r="F227" i="17"/>
  <c r="F221" i="17"/>
  <c r="F220" i="17"/>
  <c r="F219" i="17"/>
  <c r="F218" i="17"/>
  <c r="F217" i="17"/>
  <c r="F216" i="17"/>
  <c r="F215" i="17"/>
  <c r="F214" i="17"/>
  <c r="F204" i="17"/>
  <c r="F203" i="17"/>
  <c r="F199" i="17"/>
  <c r="F196" i="17"/>
  <c r="F189" i="17"/>
  <c r="F182" i="17"/>
  <c r="F181" i="17"/>
  <c r="F180" i="17"/>
  <c r="F177" i="17"/>
  <c r="F174" i="17"/>
  <c r="F172" i="17"/>
  <c r="F171" i="17"/>
  <c r="F170" i="17"/>
  <c r="F167" i="17"/>
  <c r="F166" i="17"/>
  <c r="F165" i="17"/>
  <c r="F160" i="17"/>
  <c r="F159" i="17"/>
  <c r="F156" i="17"/>
  <c r="F154" i="17"/>
  <c r="F150" i="17"/>
  <c r="F143" i="17"/>
  <c r="F142" i="17"/>
  <c r="F128" i="17"/>
  <c r="F123" i="17"/>
  <c r="F121" i="17"/>
  <c r="F118" i="17"/>
  <c r="F114" i="17"/>
  <c r="F113" i="17"/>
  <c r="F112" i="17"/>
  <c r="F97" i="17"/>
  <c r="F88" i="17"/>
  <c r="F70" i="17"/>
  <c r="F68" i="17"/>
  <c r="F58" i="17"/>
  <c r="F52" i="17"/>
  <c r="F39" i="17"/>
  <c r="F36" i="17"/>
  <c r="F24" i="17"/>
  <c r="F23" i="17"/>
  <c r="F22" i="17"/>
  <c r="F21" i="17"/>
  <c r="F20" i="17"/>
  <c r="F10" i="17"/>
  <c r="F6" i="1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tc={6559D8DA-D62C-DA48-8AB6-8EF6922F7243}</author>
  </authors>
  <commentList>
    <comment ref="P33" authorId="0" shapeId="0" xr:uid="{6559D8DA-D62C-DA48-8AB6-8EF6922F7243}">
      <text>
        <t xml:space="preserve">[Threaded comment]
Your version of Excel allows you to read this threaded comment; however, any edits to it will get removed if the file is opened in a newer version of Excel. Learn more: https://go.microsoft.com/fwlink/?linkid=870924
Comment:
    Req  1105127 confirmed by LD as £8m 
</t>
      </text>
    </comment>
  </commentList>
</comments>
</file>

<file path=xl/sharedStrings.xml><?xml version="1.0" encoding="utf-8"?>
<sst xmlns="http://schemas.openxmlformats.org/spreadsheetml/2006/main" count="2726" uniqueCount="1160">
  <si>
    <t>Date</t>
  </si>
  <si>
    <t>Procurement Officer</t>
  </si>
  <si>
    <t>Alfy Nsamba</t>
  </si>
  <si>
    <t>TBC</t>
  </si>
  <si>
    <t>Bronze</t>
  </si>
  <si>
    <t>CCS framework</t>
  </si>
  <si>
    <t>Contracts Finder</t>
  </si>
  <si>
    <t>Silver</t>
  </si>
  <si>
    <t>Find a tender</t>
  </si>
  <si>
    <t>Other Public Sector Framework</t>
  </si>
  <si>
    <t>Below Threshold Tender</t>
  </si>
  <si>
    <t xml:space="preserve">New Requirement </t>
  </si>
  <si>
    <t>Yes</t>
  </si>
  <si>
    <t>Not Started</t>
  </si>
  <si>
    <t>Communications</t>
  </si>
  <si>
    <t>PME pending</t>
  </si>
  <si>
    <t>Central Operations</t>
  </si>
  <si>
    <t>&lt;£100k</t>
  </si>
  <si>
    <t>All</t>
  </si>
  <si>
    <t>Re-Procurement (Same Scope)</t>
  </si>
  <si>
    <t>No</t>
  </si>
  <si>
    <t>Business Case Approval</t>
  </si>
  <si>
    <t>Notification - Supplier requested to respond to questionnaire</t>
  </si>
  <si>
    <t>Construction</t>
  </si>
  <si>
    <t>PME open</t>
  </si>
  <si>
    <t>£100k to &lt;£500k</t>
  </si>
  <si>
    <t>Re-Procurement (Different Scope)</t>
  </si>
  <si>
    <t>ITT Published</t>
  </si>
  <si>
    <t>Corporate Services</t>
  </si>
  <si>
    <t>£500k to &lt;£1M</t>
  </si>
  <si>
    <t>Facilities</t>
  </si>
  <si>
    <t>Engineering, Computing &amp; STEP partner</t>
  </si>
  <si>
    <t>£1m to &lt;£5m</t>
  </si>
  <si>
    <t>Fusion Technology, Tritium Fuel Cycle &amp; Industrial Capability</t>
  </si>
  <si>
    <t>£5m to &lt;£10m</t>
  </si>
  <si>
    <t>ICT</t>
  </si>
  <si>
    <t>Materials, Blankets &amp; Research Programme</t>
  </si>
  <si>
    <t>H3AT</t>
  </si>
  <si>
    <t>Plasmas, Fusion Operations &amp; ITER ops</t>
  </si>
  <si>
    <t>QSHE, Risk &amp; Assurance</t>
  </si>
  <si>
    <t>Not Common Goods and Services</t>
  </si>
  <si>
    <t>Robotics, Repurposing &amp; Decommisioning</t>
  </si>
  <si>
    <t>MAST-U</t>
  </si>
  <si>
    <t>Blankets Facilities</t>
  </si>
  <si>
    <t>MRF</t>
  </si>
  <si>
    <t>Buildings &amp; Facilities Management</t>
  </si>
  <si>
    <t>Q3-2024/25</t>
  </si>
  <si>
    <t>Waste Management</t>
  </si>
  <si>
    <t>Business Systems</t>
  </si>
  <si>
    <t>Q2-2025/26</t>
  </si>
  <si>
    <t>Q3-2025/26</t>
  </si>
  <si>
    <t>Campus Development</t>
  </si>
  <si>
    <t>Q4-2025/26</t>
  </si>
  <si>
    <t>Chief Engineer</t>
  </si>
  <si>
    <t>Q1-2026/27</t>
  </si>
  <si>
    <t>Q2-2026/27</t>
  </si>
  <si>
    <t>Commercial</t>
  </si>
  <si>
    <t>Q3-2026/27</t>
  </si>
  <si>
    <t>Q4-2026/27</t>
  </si>
  <si>
    <t>Computing</t>
  </si>
  <si>
    <t>Q1-2027/28</t>
  </si>
  <si>
    <t>Q2-2027/28</t>
  </si>
  <si>
    <t>FTF</t>
  </si>
  <si>
    <t>Q3-2029/30</t>
  </si>
  <si>
    <t>Fusion Industry Programme</t>
  </si>
  <si>
    <t>Fusion Technology</t>
  </si>
  <si>
    <t>Integrated Engineering</t>
  </si>
  <si>
    <t>JET Decom &amp; Repurposing</t>
  </si>
  <si>
    <t>Legal</t>
  </si>
  <si>
    <t>Materials</t>
  </si>
  <si>
    <t>People</t>
  </si>
  <si>
    <t>QSHE</t>
  </si>
  <si>
    <t>RACE</t>
  </si>
  <si>
    <t>RAICO</t>
  </si>
  <si>
    <t>Risk &amp; Assurance</t>
  </si>
  <si>
    <t>Skills</t>
  </si>
  <si>
    <t>Tritium Fuel Cycle</t>
  </si>
  <si>
    <t>Whitehaven</t>
  </si>
  <si>
    <t>Tender Reference</t>
  </si>
  <si>
    <t>Procurement Activity Stage</t>
  </si>
  <si>
    <t>Business Unit</t>
  </si>
  <si>
    <t>Delivery Area</t>
  </si>
  <si>
    <t>CAB Approval</t>
  </si>
  <si>
    <t>Procurement/Contract: Title</t>
  </si>
  <si>
    <t>Brief Description of Scope</t>
  </si>
  <si>
    <t>Contract Type</t>
  </si>
  <si>
    <t>Requirement Type</t>
  </si>
  <si>
    <t>CCS Level 1</t>
  </si>
  <si>
    <t>Procurement Route</t>
  </si>
  <si>
    <t>Estimated Value Band</t>
  </si>
  <si>
    <t>Whole Life Value</t>
  </si>
  <si>
    <t>Bronze, Silver, Gold tiering (see Guidance Tab)</t>
  </si>
  <si>
    <t>RFQ Issue Forecast (do not change once a date has been input)
(Financial Year Quarters- see Guidance)</t>
  </si>
  <si>
    <t>Planned Contract Start Date
(Financial Year Quarters- see Guidance)</t>
  </si>
  <si>
    <t xml:space="preserve">Estimated Contract Length Forecast
</t>
  </si>
  <si>
    <t>Useful Publication Information</t>
  </si>
  <si>
    <t xml:space="preserve">
This Commercial Pipeline contains information on forthcoming procurements. UKAEA aims to provide long-term visibility of forthcoming Commercial opportunities to enable the supply chain to make informed decisions to potentially tender for this work, based upon the information provided. 
Tendering opportunities are advertised through EU Supply to Find a Tender Service. You can set up alerts based on off of CPV (Common Procurement Vocabulary) codes so you will be notified when we publish a tender on those CPV codes. All interest, requests to participate and, or enquiries should be submitted to the named Commercial Representative identified in the advertisement.  
 In line with Government policy (linked below) ‘GPC Spend £500+’ lists all purchase card transactions processed for a value of £500 or above, made this financial year and will be updated monthly. 
This pipeline document will be reviewed and updated quarterly. 
UKAEA makes no commitment that:
1) The requirements identified in this table will be procured
2) The annual value of any contract will be as stated
3) The timing of any future Commercial exercises will be as stated
4) The Commercial route will be as stated
</t>
  </si>
  <si>
    <t>1. Understanding the tabs</t>
  </si>
  <si>
    <t>Aspirational</t>
  </si>
  <si>
    <t>Tender Numbers</t>
  </si>
  <si>
    <t>PME Page</t>
  </si>
  <si>
    <t>Tenders</t>
  </si>
  <si>
    <t>A forward view of opportunities UKAEA may have over the next 1 – 5 years but not guaranteed. Thus informing the supply chain or our aspirations and giving them an informal chance to comment on capability, capacity &amp; budget etc.</t>
  </si>
  <si>
    <t>Registry for tender opportunities before they are added to the pipeline</t>
  </si>
  <si>
    <t xml:space="preserve"> Preliminary Market Engagement (PMEs). Used to gain feedback from the market and/or gauge interest in future tenders</t>
  </si>
  <si>
    <t xml:space="preserve">Opportunities that have been confirmed to go out to tender. The tripartite group have unanimously agreed a realistic budget exists and the proposed purchase is a genuine requirement.  </t>
  </si>
  <si>
    <t>2. Understanding the headings</t>
  </si>
  <si>
    <t>2.1 Aspirational</t>
  </si>
  <si>
    <t>Commercial Officer</t>
  </si>
  <si>
    <t>Requirement: Title</t>
  </si>
  <si>
    <t xml:space="preserve">Requirement: Description </t>
  </si>
  <si>
    <t>Potential RFQ Issue Forecast (Financial yearly Quarters)</t>
  </si>
  <si>
    <t>Business unit within UKAEA that is undertaking the Commercial opportunity</t>
  </si>
  <si>
    <t>Delivery area within UKAEA that is undertaking the Commercial opportunity</t>
  </si>
  <si>
    <t>Commercial lead</t>
  </si>
  <si>
    <t>Title of the potential Commercial activity</t>
  </si>
  <si>
    <t>Description of the Commercial opportunity/contract</t>
  </si>
  <si>
    <t>Estimated range of value of the Commercial opportunity/contract</t>
  </si>
  <si>
    <t>The financial year quarter in which the Commercial opportunity could be started if pursued</t>
  </si>
  <si>
    <t>Q1 YY/YY = April -June
Q2 YY/YY =  July - September
Q3 YY/YY= October - December
Q4 YY/YY = January - March</t>
  </si>
  <si>
    <t>PME Title</t>
  </si>
  <si>
    <t>Information required from Supplier</t>
  </si>
  <si>
    <t>Capability Area (use CPV Code description)</t>
  </si>
  <si>
    <t xml:space="preserve"> Predicted Commercial Route</t>
  </si>
  <si>
    <t>RFQ Issue Forecast</t>
  </si>
  <si>
    <t>Contract Start Date Forecast (Financial Year Quarters- see below)</t>
  </si>
  <si>
    <t>Status Of PME</t>
  </si>
  <si>
    <t>Hyperlink to PME</t>
  </si>
  <si>
    <t>The Commercial Tender Reference number, registered against this Commercial opportunity within the "Tender Numbers" sheet</t>
  </si>
  <si>
    <t>The Commercial team member who is managing this Commercial opportunity</t>
  </si>
  <si>
    <t>Title of the PME opportunity, is usually the same as the intended Commercial opportunity title</t>
  </si>
  <si>
    <t>What kind of information is being sought from the market, such as if UKAEA is just sounding the market to see potential interest, or if we are actively seeking more information</t>
  </si>
  <si>
    <t>The key capability area(s) you wish to use, identified through using the description of the main CPV code(s)</t>
  </si>
  <si>
    <t>The route the Commercial opportunity is likely to take, i.e.. Open market tender, framework tender, JNCA etc.</t>
  </si>
  <si>
    <t>The financial year quarter in which the Commercial opportunity is likely to be started, see below for guidance</t>
  </si>
  <si>
    <t>The financial year quarter in which the Commercial opportunity could be awarded</t>
  </si>
  <si>
    <t>The status of the PME, whether pending, live or closed</t>
  </si>
  <si>
    <t>A hyperlink to the PME page on which ever tendering service is being used</t>
  </si>
  <si>
    <t>Date tender was added</t>
  </si>
  <si>
    <t>Commercial Activity Stage</t>
  </si>
  <si>
    <t>Commercial/Contract: Title</t>
  </si>
  <si>
    <t>Legislation Applied</t>
  </si>
  <si>
    <t>Commercial Route</t>
  </si>
  <si>
    <t>Whole life Value</t>
  </si>
  <si>
    <t>Bronze, Silver, Gold tiering</t>
  </si>
  <si>
    <t>RFQ Issue Forecast
(Financial Year Quarters)</t>
  </si>
  <si>
    <t>Updated RFQ Release Quarter (Financial Year Quarters)</t>
  </si>
  <si>
    <t>Planned Contract Start Date
(Financial Year Quarters)</t>
  </si>
  <si>
    <t>The Date the tender was added to the pipeline.</t>
  </si>
  <si>
    <t>Where in the Commercial process the tender is, I.e.. new opportunity, responses collected, contract awarded, standstill etc.
if the tender is aborted, please put "aborted" along with the date it was aborted on</t>
  </si>
  <si>
    <t>Whether the Commercial has gone to CAB for approval, and what stage this is, in progress, approved, or not going to CAB for examples.</t>
  </si>
  <si>
    <t>Title of the Commercial opportunity/contract</t>
  </si>
  <si>
    <t>A brief description of the Commercial opportunity, what the Commercial is for etc. Note the title should not be duplicated in this cell</t>
  </si>
  <si>
    <t>The proposed contract type</t>
  </si>
  <si>
    <t>whether the requirement is new, re-procurement etc</t>
  </si>
  <si>
    <t>The category of the goods or services based upon the Crown Commercial Services (CCS) standard categories.</t>
  </si>
  <si>
    <t>State which legislation the procurement or contract falls under</t>
  </si>
  <si>
    <t>The Commercial route that the tender will be taking, i.e.. Open market tender, closed framework tender, JNCA etc.</t>
  </si>
  <si>
    <t>The total value of the whole contract</t>
  </si>
  <si>
    <r>
      <rPr>
        <sz val="11"/>
        <color rgb="FFFF0000"/>
        <rFont val="Arial"/>
        <family val="2"/>
      </rPr>
      <t xml:space="preserve"> 
</t>
    </r>
    <r>
      <rPr>
        <sz val="11"/>
        <color rgb="FF000000"/>
        <rFont val="Arial"/>
        <family val="2"/>
      </rPr>
      <t>Level 5 or above to determine contract tier based on value, risk, complexity and criticality. See Contract tiering tool (link too be added)</t>
    </r>
  </si>
  <si>
    <t>The financial year quarter in which the Commercial event is scheduled to start. 
Note: do not change if the tender is delayed. This is done in the updated RFQ Release cell.</t>
  </si>
  <si>
    <t>The financial year quarter in which any delayed RFQ is scheduled to be started. If an RFQ is delayed more than once then the new release date should be entered into this cell and over write any pre-existing information.</t>
  </si>
  <si>
    <t>The financial year quarter in which any contract scheduled to be executed</t>
  </si>
  <si>
    <t>The estimated length of the contract in years (months if less than a year)</t>
  </si>
  <si>
    <t>Useful details for this particular publication</t>
  </si>
  <si>
    <t>Status</t>
  </si>
  <si>
    <t>3. About the business pillars</t>
  </si>
  <si>
    <t>Pillars</t>
  </si>
  <si>
    <t>Delivery Areas</t>
  </si>
  <si>
    <t>Commercial Leads</t>
  </si>
  <si>
    <t>Fusion Industry and Innovations Program​</t>
  </si>
  <si>
    <t>FIP Challenge programme​</t>
  </si>
  <si>
    <t>Vincent Tsang</t>
  </si>
  <si>
    <t>Innovation​</t>
  </si>
  <si>
    <t>Business Development​</t>
  </si>
  <si>
    <t>Neutron source</t>
  </si>
  <si>
    <t>Carl Evans</t>
  </si>
  <si>
    <t>Blanket facilities research</t>
  </si>
  <si>
    <t>EPSRC research support</t>
  </si>
  <si>
    <t>Collaboration, partnerships</t>
  </si>
  <si>
    <t>MRF development​</t>
  </si>
  <si>
    <t>Industry Capability (IC) Fusion 
Futures</t>
  </si>
  <si>
    <t>Commercial of high number of delivery projects​</t>
  </si>
  <si>
    <t>James Woods</t>
  </si>
  <si>
    <t>Plasma and  ​DMS solutions​</t>
  </si>
  <si>
    <t>Development of new supply chain ​</t>
  </si>
  <si>
    <t>Commercial support​</t>
  </si>
  <si>
    <t>Fusion Technology ​</t>
  </si>
  <si>
    <t>​Fusion technology existing programmes.​</t>
  </si>
  <si>
    <t>Nicola Adams</t>
  </si>
  <si>
    <t>H3AT​</t>
  </si>
  <si>
    <t>Chimera</t>
  </si>
  <si>
    <t>Export Licensing matters relating to Commercial.</t>
  </si>
  <si>
    <t>Robotics,  Repurposing,​ Decom Division.​</t>
  </si>
  <si>
    <t>JDR Decomissioning</t>
  </si>
  <si>
    <t>Matt Burton</t>
  </si>
  <si>
    <t>Repurposing of JDR components ​</t>
  </si>
  <si>
    <t>RACE​</t>
  </si>
  <si>
    <t>Robotics &amp; Artificial Intelligence 
Collaboration Division</t>
  </si>
  <si>
    <t>RAICO future programme</t>
  </si>
  <si>
    <t>Colette Broadwith</t>
  </si>
  <si>
    <t>ARC</t>
  </si>
  <si>
    <t>Professional​ Services Category Supports</t>
  </si>
  <si>
    <t>People and Culture</t>
  </si>
  <si>
    <t>Steve Booker</t>
  </si>
  <si>
    <t>PMO</t>
  </si>
  <si>
    <t>Comms</t>
  </si>
  <si>
    <t>EERF Framework</t>
  </si>
  <si>
    <t>ASW Retender</t>
  </si>
  <si>
    <t>FOSTER Skills Programme</t>
  </si>
  <si>
    <t>Construction and infrastructure developments Supports​</t>
  </si>
  <si>
    <t>Infrastructure projects</t>
  </si>
  <si>
    <t>Emma Davies</t>
  </si>
  <si>
    <t>New build capital schemes, Lead Advisor construction framework​</t>
  </si>
  <si>
    <t>Development of new property delivery models ​</t>
  </si>
  <si>
    <t>EDS Framework</t>
  </si>
  <si>
    <t>JV Support</t>
  </si>
  <si>
    <t>FM and Engineering ​Supports</t>
  </si>
  <si>
    <t>B&amp;FM</t>
  </si>
  <si>
    <t>Anthony Stratton</t>
  </si>
  <si>
    <t>Culham Campus</t>
  </si>
  <si>
    <t>Hard FM</t>
  </si>
  <si>
    <t>Soft FM</t>
  </si>
  <si>
    <t>Fusion Partner</t>
  </si>
  <si>
    <t>Integrated Engineering Services</t>
  </si>
  <si>
    <t>Plasma Science and Fusion Ops</t>
  </si>
  <si>
    <t>Technical Services</t>
  </si>
  <si>
    <t>Governance and Systems development. ​</t>
  </si>
  <si>
    <t>Commercial Governance</t>
  </si>
  <si>
    <t>Yana Shubicheva</t>
  </si>
  <si>
    <t>Regulatory Compliance</t>
  </si>
  <si>
    <t>P2P</t>
  </si>
  <si>
    <t>Develop Commercial and contract Systems and Processes</t>
  </si>
  <si>
    <t>Implementation of PA23</t>
  </si>
  <si>
    <t>Ivanti</t>
  </si>
  <si>
    <t>DESNEZ and Cabinet Office Reporting</t>
  </si>
  <si>
    <t>4. Commercial Function Members, Details and Contact Details</t>
  </si>
  <si>
    <t>Pillar</t>
  </si>
  <si>
    <t>Contact Email Address</t>
  </si>
  <si>
    <t>Foster Skills Programme</t>
  </si>
  <si>
    <t>alfy.nsamba@ukaea.uk</t>
  </si>
  <si>
    <t xml:space="preserve">Andy Kynaston </t>
  </si>
  <si>
    <t>Construction and Infrastructure development Supports</t>
  </si>
  <si>
    <t>andy.kynaston@ukaea.uk</t>
  </si>
  <si>
    <t>FM and Engineering Support</t>
  </si>
  <si>
    <t>anthony.stratton@ukaea.uk</t>
  </si>
  <si>
    <t>Calum Stead</t>
  </si>
  <si>
    <t>calum.stead@ukaea.uk</t>
  </si>
  <si>
    <t>carl.evans@ukaea.uk</t>
  </si>
  <si>
    <t>Charlotte Byrne</t>
  </si>
  <si>
    <t>charlotte.byrne@ukaea.uk</t>
  </si>
  <si>
    <t xml:space="preserve">Robotics &amp; Artificial Intelligence 
Collaboration Division </t>
  </si>
  <si>
    <t>colette.broadwith@ukaea.uk</t>
  </si>
  <si>
    <t>Eirini Varsamou</t>
  </si>
  <si>
    <t>eirini.varsamou@ukaea.uk</t>
  </si>
  <si>
    <t>Ellie Tanner</t>
  </si>
  <si>
    <t>ellie.tanner@ukaea.uk</t>
  </si>
  <si>
    <t>Emilie Terry</t>
  </si>
  <si>
    <t>Emilie.Terry@ukaea.uk</t>
  </si>
  <si>
    <t>Emily Akehurst</t>
  </si>
  <si>
    <t>Emily.Akehurst@ukaea.uk</t>
  </si>
  <si>
    <t xml:space="preserve">Construction and Infrastructure development Supports </t>
  </si>
  <si>
    <t>emma.davies@ukaea.uk</t>
  </si>
  <si>
    <t>Emma Griffiths</t>
  </si>
  <si>
    <t>Emma.Griffiths@ukaea.uk</t>
  </si>
  <si>
    <t>Emma Liddle</t>
  </si>
  <si>
    <t>Emma.Liddle@ukaea.uk</t>
  </si>
  <si>
    <t>Generic Enquiries</t>
  </si>
  <si>
    <t>Commercial@ukaea.uk</t>
  </si>
  <si>
    <t>Guy Wells</t>
  </si>
  <si>
    <t>guy.wells@ukaea.uk</t>
  </si>
  <si>
    <t>Hamid Rahman</t>
  </si>
  <si>
    <t>hamid.rahman@ukaea.uk</t>
  </si>
  <si>
    <t xml:space="preserve">Ioanna Bampatsia </t>
  </si>
  <si>
    <t>ioanna.bampatsia@ukaea.uk</t>
  </si>
  <si>
    <t xml:space="preserve">Jack Swindells </t>
  </si>
  <si>
    <t>Jack.Swindells@ukaea.uk</t>
  </si>
  <si>
    <t>James.woods@ukaea.uk</t>
  </si>
  <si>
    <t>Jane Lubbock</t>
  </si>
  <si>
    <t>Head of Commercial Reforms</t>
  </si>
  <si>
    <t>Jane.Lubbock@ukaea.uk</t>
  </si>
  <si>
    <t>Jonny Adams</t>
  </si>
  <si>
    <t>Jonny.Adams@ukaea.uk</t>
  </si>
  <si>
    <t>Jordan Luker</t>
  </si>
  <si>
    <t>FM and Engineering ​Support</t>
  </si>
  <si>
    <t>Jordan.Luker@ukaea.UK</t>
  </si>
  <si>
    <t>Lynda Parker</t>
  </si>
  <si>
    <t>Lynda.Parker@ukaea.uk</t>
  </si>
  <si>
    <t>Maili Nugent</t>
  </si>
  <si>
    <t>maili.nugent@ukaea.uk</t>
  </si>
  <si>
    <t>matt.burton@ukaea.uk</t>
  </si>
  <si>
    <t xml:space="preserve"> Fusion Technology ​</t>
  </si>
  <si>
    <t>nicola.adams@ukaea.uk</t>
  </si>
  <si>
    <t>Paul Raimbach</t>
  </si>
  <si>
    <t>Paul.Raimbach@ukaea.uk</t>
  </si>
  <si>
    <t>Phil O'Hagan</t>
  </si>
  <si>
    <t>Phillip.O'Hagan@ukaea.uk</t>
  </si>
  <si>
    <t>Phil Perkins</t>
  </si>
  <si>
    <t>phil.perkins@ukaea.uk</t>
  </si>
  <si>
    <t>Robert Franklin</t>
  </si>
  <si>
    <t>robert.franklin@ukaea.uk</t>
  </si>
  <si>
    <t>Sandie Brown</t>
  </si>
  <si>
    <t>Sandie.Brown@ukaea.uk</t>
  </si>
  <si>
    <t>Steve.Booker@ukaea.uk</t>
  </si>
  <si>
    <t>Tony Morris</t>
  </si>
  <si>
    <t>Tony.Morris@ukaea.uk</t>
  </si>
  <si>
    <t>vincent.tsang@ukaea.uk</t>
  </si>
  <si>
    <t>Zed Shoop</t>
  </si>
  <si>
    <t>zed.shoop@ukaea.uk</t>
  </si>
  <si>
    <t>Aspirational Work Pieces</t>
  </si>
  <si>
    <t>Delivery Locations</t>
  </si>
  <si>
    <t>Aspirational Piece Owner</t>
  </si>
  <si>
    <t>Aspirational Piece Details</t>
  </si>
  <si>
    <t>Financial Details</t>
  </si>
  <si>
    <t>Potential Release of Tender</t>
  </si>
  <si>
    <t>Has this Progressed to PME, PPN or further?</t>
  </si>
  <si>
    <t>CORPORATE DEVELOPMENT</t>
  </si>
  <si>
    <t xml:space="preserve">Drainage Services Framework </t>
  </si>
  <si>
    <t>Set up a framework for drainage services at Culham</t>
  </si>
  <si>
    <t>CORPORATE SERVICES</t>
  </si>
  <si>
    <t>Cluster Development Work Package 4</t>
  </si>
  <si>
    <t>Repurposing of the Culham East 11kv Private Network</t>
  </si>
  <si>
    <t>Renewal of Autonomous Bus Service</t>
  </si>
  <si>
    <t>Tenders for renewal of the Culham Campus autonomous bus service operation for a 4 year period</t>
  </si>
  <si>
    <t>Robotics, Repurposing &amp; Decommissioning</t>
  </si>
  <si>
    <t>Remote Handling</t>
  </si>
  <si>
    <t>Robotic remote handling, could be small cobots, through wall manipulators, etc.</t>
  </si>
  <si>
    <t>Size Reduction</t>
  </si>
  <si>
    <t>Various technologies to size reduce contaminated components for cleaning, packaging etc.</t>
  </si>
  <si>
    <t>Digital Technologies</t>
  </si>
  <si>
    <t>Data capture, visualisation continued work on BIM, analytics etc</t>
  </si>
  <si>
    <t>Retention of Laswer Cutting Subject Matter Expert</t>
  </si>
  <si>
    <t>Design &amp; Manufacture Of Vessel Feedthroughs</t>
  </si>
  <si>
    <t>Design &amp; Manufacture of robotic interface feedthough requirement.</t>
  </si>
  <si>
    <t>Divertor Coil Removal</t>
  </si>
  <si>
    <t>Design, manufacture &amp; test of in vessel cutting solution to segment &amp; extract Diver Coils from JET.</t>
  </si>
  <si>
    <t>Design &amp; Manufacture Of Transfer Module</t>
  </si>
  <si>
    <t>Design &amp; Manufacture of transfer module to provide solution for extraction of components out of JET reactor.</t>
  </si>
  <si>
    <t>VTS End Effector</t>
  </si>
  <si>
    <t>Design &amp; Manufacture of upgraded robotic end effector units in relation to decommissioning activities.</t>
  </si>
  <si>
    <t>Divertor Spt. Structure Removal Tooling Implementation</t>
  </si>
  <si>
    <t>RH Vacuum Cleaner</t>
  </si>
  <si>
    <t>RH Vacuum Cleaner - Design + Manufacture for Invessel operations.</t>
  </si>
  <si>
    <t>Stud Welding Tool - Manufacture</t>
  </si>
  <si>
    <t>Design &amp; Manufacture Stud Welding Tool for invessel decommissioning requirements.</t>
  </si>
  <si>
    <t>Power Shears - Manufacture</t>
  </si>
  <si>
    <t>Design &amp; Manufacture Power Shears system for invessel decommissioning size reduction requirements. for invessel decommissioning requirements.</t>
  </si>
  <si>
    <t>ISO Container RH Tooling Stillages - Design &amp; Manufacture</t>
  </si>
  <si>
    <t>Laser Cutting System</t>
  </si>
  <si>
    <t>Laser Cutting System - Design + Manufacture for invessel size reduction.</t>
  </si>
  <si>
    <t>ISO Container Furniture System</t>
  </si>
  <si>
    <t>ISO Containers + ISO Container Furniture System - Manufacture for invessel component handling.</t>
  </si>
  <si>
    <t>Decommissioning and Handling (D&amp;H) - Size Reduction</t>
  </si>
  <si>
    <t>D&amp;H Size Reduction multiple contracts - Low Level Waste OSR Large Item Onsite Size Reduction Facility (OSR - out of Scope waste).</t>
  </si>
  <si>
    <t>D&amp;H Size Reduction multiple contracts - Material Sorting and Size Reduction Facility</t>
  </si>
  <si>
    <t>Tier 2 Decommissioning Support</t>
  </si>
  <si>
    <t>External support to overall delivery of Decommissioning and repurposing</t>
  </si>
  <si>
    <t>Proton Beam Window (PBW) Strongback, Supporting Plates &amp; Receiver Cup</t>
  </si>
  <si>
    <t>The PBW (Proton Beam Window) is one of the ESS Target Components that will be remotely handled in the Active Cells.  
UKAEA are providing the equipment for the handling and size reduction operations  and a mock-up PBW to enable testing.  This procurement will require the Manufacture of: 
• PBW strongback
• PBW Receiving Cup
• PBW supporting plates
• Cold test mock-up of PBW (Cold Test i.e. Not Exposed to Radiation)
Relates to P6 Activity Code ESS-SR-5390
Expect contract award late 2025. Delivery required in 60 days from contract award.</t>
  </si>
  <si>
    <t>Procurement of Manufacture of RH Tooling</t>
  </si>
  <si>
    <t xml:space="preserve">This relates to Activity ID ESS-H-4220
Procure various remote handling tools to enable the ESS Handling System manipulator to perform various function. 
</t>
  </si>
  <si>
    <t>PINI lifting frame</t>
  </si>
  <si>
    <t>Supply of a replacement lifting frame for the neutral beam PINI. Provision of manufacture, including welding and certification</t>
  </si>
  <si>
    <t>Manufacturing Framework</t>
  </si>
  <si>
    <t>A multi-supplier framework for the provision of various manufacturing processes (scope yet to be determined).</t>
  </si>
  <si>
    <t>HVAC Upgrades - OSM</t>
  </si>
  <si>
    <t>Upgrades to the HVAC system in J1 (Note: input from Size Reduction -MSSR concept required before placement of PIN &amp; Tender)</t>
  </si>
  <si>
    <t>Engineering, Computing &amp; STEP Partner</t>
  </si>
  <si>
    <t>Upgrading of Power Infrastructure</t>
  </si>
  <si>
    <t>Conducting condition survey of assets and design, removal and installation of new Power Infrastructure</t>
  </si>
  <si>
    <t>Centralised Site Storage Facility</t>
  </si>
  <si>
    <t>CSSF</t>
  </si>
  <si>
    <t>Relocation of J26</t>
  </si>
  <si>
    <t>J26 Building Relocation</t>
  </si>
  <si>
    <t>Repurposing of J2 Building</t>
  </si>
  <si>
    <t xml:space="preserve">Refurbishment of J2 for Computing and LiBRTI Control Room Occupancy. </t>
  </si>
  <si>
    <t>JET MASCOT - Components (Electrical)</t>
  </si>
  <si>
    <t>IVD - Electrical components for Mascot build</t>
  </si>
  <si>
    <t>JET MASCOT - Components (Mech)</t>
  </si>
  <si>
    <t>IVD - Mechanical components for Mascot build</t>
  </si>
  <si>
    <t>Asbestos remedial activities - J1A Clearance</t>
  </si>
  <si>
    <t>Asbestos identification, surveys and remedial removal requirements.</t>
  </si>
  <si>
    <t>K1 Offices Refurbishment East</t>
  </si>
  <si>
    <t>Refurbishment works for K1 offices East</t>
  </si>
  <si>
    <t>DBB Cooling System</t>
  </si>
  <si>
    <t>Installation of a cooling system</t>
  </si>
  <si>
    <t>Water Cooling Tower Works</t>
  </si>
  <si>
    <t>Maintenance work on water cooling towers</t>
  </si>
  <si>
    <t>Procurement of SCS Cable Management</t>
  </si>
  <si>
    <t xml:space="preserve">This relates to P6 Activity Code ESS-SR-5610
The scope requires the provision of cable management infrastructure for the Shaft Cutting Station. The date this will be required is currently subject to change because we are dependant upon the contractor who has delivered the Shaft Cutting Station to complete the required modification of their equipment before the cable routing can be fully closed out. </t>
  </si>
  <si>
    <t>Automated Soft Waste Processing Facility</t>
  </si>
  <si>
    <t>Technologies for Automation of Nuclear Soft Waste Processing</t>
  </si>
  <si>
    <t>Bottled Gas Supply</t>
  </si>
  <si>
    <t>Supply of Bottled Gas to J25</t>
  </si>
  <si>
    <t>J25 Gas Supply Pipeline/Infrastructure</t>
  </si>
  <si>
    <t>LLOSPA - LA-LLW, LLW &amp; OSR Storage &amp; Processing Area</t>
  </si>
  <si>
    <t>Potential requirement for on-site Low Level Waste Storage &amp; Processing Area.
Materials and build of LLOSPA - (Multiple contracts)</t>
  </si>
  <si>
    <t>Corporate Clothing</t>
  </si>
  <si>
    <t>Corporate Clothing and Uniform Supply Services</t>
  </si>
  <si>
    <t>Health Physics Modular Building Works</t>
  </si>
  <si>
    <t>Replacement facilities for Health Physics</t>
  </si>
  <si>
    <t>Strategy in development</t>
  </si>
  <si>
    <t>Decommissioning of Power Supplies</t>
  </si>
  <si>
    <t xml:space="preserve">Decommissioning of Poloidal Power Supplies in Building D10.  EFPS, MFPS and SFPS.  </t>
  </si>
  <si>
    <t>Power Supplies for AFPS</t>
  </si>
  <si>
    <t>Purchase of Power Supplies</t>
  </si>
  <si>
    <t>Facility - Uncertainty modelling consultancy</t>
  </si>
  <si>
    <t xml:space="preserve">Facility diagnostics - Radiation safety instrumentation </t>
  </si>
  <si>
    <t>Validation of the LSC method for tritium accountancy in FLiBe</t>
  </si>
  <si>
    <t>Supply samples for analytical instrument testing</t>
  </si>
  <si>
    <t>Accountancy of tritum in FLiBe</t>
  </si>
  <si>
    <t>Installation of wet chemistry</t>
  </si>
  <si>
    <t>Data Subject Access Requests (DSAR) Redaction Software</t>
  </si>
  <si>
    <t xml:space="preserve">Software to aid the data protection team in the timely release of DSAR information properly and legally redacted as per the GDPR regulation. </t>
  </si>
  <si>
    <t>Q1 26/27</t>
  </si>
  <si>
    <t>Flexible Hoses</t>
  </si>
  <si>
    <t>Supply of Flexible Hoses in support of the MAST-U project</t>
  </si>
  <si>
    <t xml:space="preserve">Planning and Estates Services </t>
  </si>
  <si>
    <t>Provision of advice and support to UKAEA for planning applications</t>
  </si>
  <si>
    <t>no</t>
  </si>
  <si>
    <t>Metal Powder Supply</t>
  </si>
  <si>
    <t>Call-Off Contract for the supply of metal powder for use in the Central Support Facilities for use in EB Additive Manufacturing Machine</t>
  </si>
  <si>
    <t>Additive Manufacturing Equipment</t>
  </si>
  <si>
    <t>Supply of Additive Manufacturing Equipment</t>
  </si>
  <si>
    <t>Electricians Framework</t>
  </si>
  <si>
    <t>Supply of Electricians for work under control of UKAEA</t>
  </si>
  <si>
    <t>T96 Furnace Chiller</t>
  </si>
  <si>
    <t>New chiller for the T96 STG Furnace</t>
  </si>
  <si>
    <t>Bellows for PMSS</t>
  </si>
  <si>
    <t>Supply of Bellows</t>
  </si>
  <si>
    <t>Design &amp; Build U3 Switchroom and associated civil infrastructure works</t>
  </si>
  <si>
    <t>D&amp;B Switchroom and associated civil infrastructure works</t>
  </si>
  <si>
    <t>Dosimetry Services</t>
  </si>
  <si>
    <t>Radiological dosimetry Service for all of Culham Campus</t>
  </si>
  <si>
    <t>EU Supply Reference</t>
  </si>
  <si>
    <t>T/AW137/22</t>
  </si>
  <si>
    <t>T/GR048/23</t>
  </si>
  <si>
    <t>Incineration of Radioactive Waste</t>
  </si>
  <si>
    <t>Tbc</t>
  </si>
  <si>
    <t>T/MN001/25</t>
  </si>
  <si>
    <t>T/RAF012/25</t>
  </si>
  <si>
    <t>Safety Case Support Service</t>
  </si>
  <si>
    <t>T/RAF013/25</t>
  </si>
  <si>
    <t>T/JLL024/25</t>
  </si>
  <si>
    <t>T/EL027/25</t>
  </si>
  <si>
    <t>H3AT - Conformity Assessment Body and Third Party Inspection Services</t>
  </si>
  <si>
    <t>T/MN065/25</t>
  </si>
  <si>
    <t>T/JLL087/25</t>
  </si>
  <si>
    <t>T/AK095/25</t>
  </si>
  <si>
    <t>T/GW99/25</t>
  </si>
  <si>
    <t>T/AK104/25</t>
  </si>
  <si>
    <t>UKAEA Modular Labs &amp; Associated Services</t>
  </si>
  <si>
    <t>T/JLL107/25</t>
  </si>
  <si>
    <t>Lifts and Lifting Equipment Inspections</t>
  </si>
  <si>
    <t>Lithium Breeding Tritium Innovation (LIBRTI) – Detritiation System</t>
  </si>
  <si>
    <t>T/MN112/25</t>
  </si>
  <si>
    <t>T/EL114/25</t>
  </si>
  <si>
    <t>Archive Services</t>
  </si>
  <si>
    <t>T/RAF119/25</t>
  </si>
  <si>
    <t>T/RAF120/25</t>
  </si>
  <si>
    <t>T/RAF121/25</t>
  </si>
  <si>
    <t>33kV J5 Master SCADA</t>
  </si>
  <si>
    <t>T/MN122/25</t>
  </si>
  <si>
    <t>Safety Diagnostics</t>
  </si>
  <si>
    <t>T/JA127/25</t>
  </si>
  <si>
    <t>T/ET130/25</t>
  </si>
  <si>
    <t>T/MN132/25</t>
  </si>
  <si>
    <t>T/MN134/25</t>
  </si>
  <si>
    <t>Uncertaintly Quantification Consultancy</t>
  </si>
  <si>
    <t>T/MN135/25</t>
  </si>
  <si>
    <t>T/EG154/26</t>
  </si>
  <si>
    <t>T/ZS001/26</t>
  </si>
  <si>
    <t>Radiation Safety Diagnostics</t>
  </si>
  <si>
    <t>T/MN002/26</t>
  </si>
  <si>
    <t>Laser Ablation System</t>
  </si>
  <si>
    <t>T/RAF003/26</t>
  </si>
  <si>
    <t>UKAEA PMEs (Preliminary Market Engagement)</t>
  </si>
  <si>
    <t>Tender Identifiers</t>
  </si>
  <si>
    <t>PME Delivery Locations</t>
  </si>
  <si>
    <t>Key PME Details</t>
  </si>
  <si>
    <t>Financial Information</t>
  </si>
  <si>
    <t>Predicted Timings and Release Dates</t>
  </si>
  <si>
    <t>PME Status</t>
  </si>
  <si>
    <t>Main Capability Area (use CPV Code description)</t>
  </si>
  <si>
    <t xml:space="preserve"> Predicted Procurement Route</t>
  </si>
  <si>
    <t>RFQ Issue Forecast (Financial Year Quarters)</t>
  </si>
  <si>
    <t>Contract Start Date Forecast (Financial Year Quarters- see Guidance)</t>
  </si>
  <si>
    <t>Hyperlink to E-sender (not needed in the case of a framework)</t>
  </si>
  <si>
    <t>Find a Tender Service</t>
  </si>
  <si>
    <t>N/A</t>
  </si>
  <si>
    <t>PIN Pending</t>
  </si>
  <si>
    <t>A reflected light optical microscope system for remote use in hot cells</t>
  </si>
  <si>
    <t>Q4-2024/26</t>
  </si>
  <si>
    <t>CCS Framework</t>
  </si>
  <si>
    <t>Not common services</t>
  </si>
  <si>
    <t>T/SB074/25</t>
  </si>
  <si>
    <t xml:space="preserve">Actuation </t>
  </si>
  <si>
    <t>T/SB075/25</t>
  </si>
  <si>
    <t xml:space="preserve">Automation </t>
  </si>
  <si>
    <t>T/SB076/25</t>
  </si>
  <si>
    <t>T/SB077/25</t>
  </si>
  <si>
    <t>Sensing</t>
  </si>
  <si>
    <t>T/TM078/25</t>
  </si>
  <si>
    <t>Fusion Futures: P177 - Mechanical Testing Cryostat</t>
  </si>
  <si>
    <t>Market research services</t>
  </si>
  <si>
    <t>Not common goods or services</t>
  </si>
  <si>
    <t>T/CAB/089/25</t>
  </si>
  <si>
    <t>Data annotation and object detection algorithm training</t>
  </si>
  <si>
    <t>FOSTER Programme Industry PhD Support</t>
  </si>
  <si>
    <t xml:space="preserve">
73110000-6   Research services</t>
  </si>
  <si>
    <t>T/CE108/2025</t>
  </si>
  <si>
    <t>38810000-6   Industrial process control equipment</t>
  </si>
  <si>
    <t>Facility diagnostics - Passive neutron diagnostics</t>
  </si>
  <si>
    <t>Archive services</t>
  </si>
  <si>
    <t>RFI  104285</t>
  </si>
  <si>
    <t>T/CAB115/25</t>
  </si>
  <si>
    <t>Concrete and Brick Wall Scabbling and Shaving</t>
  </si>
  <si>
    <t>Foil Retrieval System</t>
  </si>
  <si>
    <t>UKAEA Procurement Tenders</t>
  </si>
  <si>
    <t>Procurement Identifiers</t>
  </si>
  <si>
    <t>Tender Stage Tracking</t>
  </si>
  <si>
    <t>Tender Delivery Locations</t>
  </si>
  <si>
    <t>Tender Details</t>
  </si>
  <si>
    <t>Financial information</t>
  </si>
  <si>
    <t>Tender Predicted length and contract predicted length</t>
  </si>
  <si>
    <t>Comments</t>
  </si>
  <si>
    <t>Procurement representative</t>
  </si>
  <si>
    <t>Services</t>
  </si>
  <si>
    <t>Works</t>
  </si>
  <si>
    <t>1 Year</t>
  </si>
  <si>
    <t>Not Common Goods &amp; Services</t>
  </si>
  <si>
    <t>4 years</t>
  </si>
  <si>
    <t xml:space="preserve">Bronze </t>
  </si>
  <si>
    <t>&lt; 1 year</t>
  </si>
  <si>
    <t>&gt;3 years</t>
  </si>
  <si>
    <t>PCR15</t>
  </si>
  <si>
    <t>PA23</t>
  </si>
  <si>
    <t>3 year</t>
  </si>
  <si>
    <t>CCS Comp</t>
  </si>
  <si>
    <t>Workstations</t>
  </si>
  <si>
    <t xml:space="preserve">Specific workstations - high specification. Approx 30. </t>
  </si>
  <si>
    <t xml:space="preserve">Identity Access Management (IAM) Tool </t>
  </si>
  <si>
    <t xml:space="preserve">Software tool and support for IAM. </t>
  </si>
  <si>
    <t>3 Year</t>
  </si>
  <si>
    <t>CCS</t>
  </si>
  <si>
    <t>Gov Assure</t>
  </si>
  <si>
    <t>Assessment and support for Gov Assure requirements that have to be put in place by UKAEA</t>
  </si>
  <si>
    <t>ict</t>
  </si>
  <si>
    <t>CCS DPS</t>
  </si>
  <si>
    <t xml:space="preserve">6 months </t>
  </si>
  <si>
    <t>Removal from site and Incineration of Radioactive Waste in accordance with UK regulations</t>
  </si>
  <si>
    <t>Supply</t>
  </si>
  <si>
    <t>H3AT Subsystem -  Water Detritation System</t>
  </si>
  <si>
    <t>Requirement for provision of the entire Water Detritylation System to be supplied and installed at the Culham Campus. The scope includes final process, mechanical and EC&amp;I design, procurement, fabrication, assembly, Factory Acceptance Testing, delivery, and installation at the Culham site, Site Acceptance Testing and Integrated Testing. A number of the technical documents have been classified as containing technology (1E001). Further details will be in the ITT documents.</t>
  </si>
  <si>
    <t>&lt;3 years</t>
  </si>
  <si>
    <t>H3AT Atmosphere Detritation System Equipment Package</t>
  </si>
  <si>
    <t xml:space="preserve">The requirement is for provision of an entire ADS equipment package SoW including the design, manufacture, assembly, Factory Acceptance Testing, delivery, supply, installation, Site Acceptance Testing, and commissioning. A number of the technical documents have been classified as containing technology (1E001). Further details available in published opportunity
</t>
  </si>
  <si>
    <t>&lt;3 year</t>
  </si>
  <si>
    <t>&lt; 1 Year</t>
  </si>
  <si>
    <t>Procurement &amp; Manufacture  of RH Tooling Storage</t>
  </si>
  <si>
    <t>Manufacture of the bespoke designed storage units within which the RH Tooling will be stored. These items will be located within the ESS Active Cells Maintenance Cell</t>
  </si>
  <si>
    <t>Electrical &amp; Electronic Components</t>
  </si>
  <si>
    <t>Multi-Supplier Framework for the supply of Electrical &amp; Electronic Components, Tools and Associated Items.</t>
  </si>
  <si>
    <t>&gt; 3 years</t>
  </si>
  <si>
    <t>The writing of safety cases to support high hazard activities within our organisation.</t>
  </si>
  <si>
    <t>Lorries with Lifting Crane and Operative</t>
  </si>
  <si>
    <t>Hire of Lorry Loaders and Driver/Operator for moving of containers etc on Culham Campus</t>
  </si>
  <si>
    <t>&gt;1 year</t>
  </si>
  <si>
    <t>Supply of an RC Robot</t>
  </si>
  <si>
    <t>Supply of an RC Robot for MRF with included SAT&amp;FAT tests</t>
  </si>
  <si>
    <t>tendered via RACE</t>
  </si>
  <si>
    <t>3+1</t>
  </si>
  <si>
    <t>Lead Advisor, Construction Design and Professional Support Services</t>
  </si>
  <si>
    <t>Professional services to provide professional built consultancy on technical solutions support. UKAEA have a diverse estate. Single provider to support, coordinate, procure and manage select packages of work in support of our Investment plans. A number of core disciplines required including Principle Designer (cdm REGS) Principle designer (building regs), Project manager, cost manager, architect, civil and structural engineer, mechanical engineer.</t>
  </si>
  <si>
    <t>Crop, Oil and Liquid Sampling</t>
  </si>
  <si>
    <t>Laptops/desktops and Associated Items</t>
  </si>
  <si>
    <t>Site wide IT equipment contract</t>
  </si>
  <si>
    <t>Microsoft Teams Direct Routing</t>
  </si>
  <si>
    <t>Microst Teams - professional services</t>
  </si>
  <si>
    <t>q3 - 2026/27</t>
  </si>
  <si>
    <t>Site wide Audio Visual Contract</t>
  </si>
  <si>
    <t>AV equipment, includes room booking and instal.</t>
  </si>
  <si>
    <t>KCS Framework</t>
  </si>
  <si>
    <t>&lt;1 Year</t>
  </si>
  <si>
    <t>Goods</t>
  </si>
  <si>
    <t>Third Party Inspections for the H3AT project</t>
  </si>
  <si>
    <t>Intention to tender as two lots with separate contracts let for each:
1 - Lifts
2 - Lifting Equipment (Industrial equipment)
Both involve inspections to meet legal requirements.</t>
  </si>
  <si>
    <t>3 Years</t>
  </si>
  <si>
    <t>415V &amp; 400kV Equip for J5</t>
  </si>
  <si>
    <t>Scope includes design, manufacture and delivery of 415V AC Distribution Board, New Auxiliary Supply Cubicles,400/33kV Inter-Trip Panel and 400kV revenue metering panel.  Option to install each piece of equipment at a later date.</t>
  </si>
  <si>
    <t>Goods &amp; Services</t>
  </si>
  <si>
    <t>Supply of a Sample Tracking System</t>
  </si>
  <si>
    <t>Supply of a Sample Tracking System for the Materials Research Facility</t>
  </si>
  <si>
    <t>Q3-2025/27</t>
  </si>
  <si>
    <t>Q3-2025/28</t>
  </si>
  <si>
    <t>Provision of archive services including relocation and management.</t>
  </si>
  <si>
    <t>5 Years</t>
  </si>
  <si>
    <t>Repurposing of 400/36kV Substation &amp; 36kV Switchgear</t>
  </si>
  <si>
    <t xml:space="preserve">The scope includes the relocation of 33 kV ABB switchgear from J53 and J54 within J5, involving existing trench excavation and delivery of additional switchgear panels. The work also covers the replacement of numerical protection relays with units capable of integration with the new SCADA system, along with the relocation of IS limiters and installation of a separation wall in the J5 hall.
Additional tasks include complete LV cabling installation, programming updates for numerical relays, commissioning of the relocated and new switchgear, and replacement and redesign of interlocks to accommodate the new configuration.
</t>
  </si>
  <si>
    <t>The scope covers the implementation of a new SCADA system in J5 based on the IEC 61850 protocol, replacing the existing SCADA with a purpose-built, future-ready solution. The work includes the design, manufacture, delivery, installation, and commissioning of the complete system for the newly reconfigured J5 substation. The system will integrate with all numerical and auxiliary devices in J5 and the SGTs, transmitting all alarms, trip signals, and status indications over fibre or Ethernet to the main control room.</t>
  </si>
  <si>
    <t>Supply of Safety Diagnostic requirements for the LiBRTI Project</t>
  </si>
  <si>
    <t>MAST-U External Staircase</t>
  </si>
  <si>
    <t xml:space="preserve">Construction of an external staircase by D1/14 cooling tower to allow for the construction of observation platforms at different levels. </t>
  </si>
  <si>
    <t>works</t>
  </si>
  <si>
    <t xml:space="preserve">&lt;1 year </t>
  </si>
  <si>
    <t>Employee Discounts and Benefits Platform</t>
  </si>
  <si>
    <t>Provision of an employee discounts and benefits platform</t>
  </si>
  <si>
    <t>UR10e</t>
  </si>
  <si>
    <t>The Supply of 7 UR10es and some supportin equipment</t>
  </si>
  <si>
    <t>Replacement facilities for RPE/TAL. Modular buildings.</t>
  </si>
  <si>
    <t>To supply and delivery a Laser Ablation System for the LiBRTI Project at Culham Science Centre</t>
  </si>
  <si>
    <t>Q4-2025/27</t>
  </si>
  <si>
    <t>Supply of  Radiation Safety Diagnostic requirements for the LiBRTI Project</t>
  </si>
  <si>
    <t>Q4-2025/28</t>
  </si>
  <si>
    <t>Q2- 2026/27</t>
  </si>
  <si>
    <t>Fire Safety and Security</t>
  </si>
  <si>
    <t>Fire Safety and Security Goods and Services</t>
  </si>
  <si>
    <t>Goods and Services</t>
  </si>
  <si>
    <t>3 years + 1 + 1</t>
  </si>
  <si>
    <t>MAST-U Neutral-Beam 'Arc' Power Supplies</t>
  </si>
  <si>
    <t>The manufacture and supply of Power Supplies</t>
  </si>
  <si>
    <t>Posted date</t>
  </si>
  <si>
    <t>Merchant</t>
  </si>
  <si>
    <t>Amount</t>
  </si>
  <si>
    <t>Bank Ref</t>
  </si>
  <si>
    <t>Posted</t>
  </si>
  <si>
    <t>Paul Scherrer Institut PS</t>
  </si>
  <si>
    <t>74063775081086327500507</t>
  </si>
  <si>
    <t>ATPI NL</t>
  </si>
  <si>
    <t>74609055080100009935714</t>
  </si>
  <si>
    <t>74609055080100009484267</t>
  </si>
  <si>
    <t>SGS-ENGINEERING.COM</t>
  </si>
  <si>
    <t>74875305080002038488036</t>
  </si>
  <si>
    <t>ICLR</t>
  </si>
  <si>
    <t>24493985081602569811178</t>
  </si>
  <si>
    <t>UPS</t>
  </si>
  <si>
    <t>74875305083000484713060</t>
  </si>
  <si>
    <t>Kite Packaging</t>
  </si>
  <si>
    <t>74208475083100016800796</t>
  </si>
  <si>
    <t>CVENT*AMERICAN NUCLEAR</t>
  </si>
  <si>
    <t>24801975083283701353837</t>
  </si>
  <si>
    <t>SP BRINNOUK</t>
  </si>
  <si>
    <t>74208475083100027378683</t>
  </si>
  <si>
    <t>UBIQUITI UK</t>
  </si>
  <si>
    <t>74208475083100037292825</t>
  </si>
  <si>
    <t>UFS*Entikera Limited</t>
  </si>
  <si>
    <t>74424655084112087947897</t>
  </si>
  <si>
    <t>EVENT* ASSOCIATION FOR</t>
  </si>
  <si>
    <t>74208475084100022910356</t>
  </si>
  <si>
    <t>CIBT UK LTD</t>
  </si>
  <si>
    <t>74208475086100035019417</t>
  </si>
  <si>
    <t>E.M.R.S.</t>
  </si>
  <si>
    <t>74973005084508434117139</t>
  </si>
  <si>
    <t>HC SLINGSBY</t>
  </si>
  <si>
    <t>74657375086000694560016</t>
  </si>
  <si>
    <t>METROPOLIS EVENTS</t>
  </si>
  <si>
    <t>74119755085512947728329</t>
  </si>
  <si>
    <t>ANTANAPCO</t>
  </si>
  <si>
    <t>74198815087512667017386</t>
  </si>
  <si>
    <t>74244695087512791339300</t>
  </si>
  <si>
    <t>74244695087512762630737</t>
  </si>
  <si>
    <t>74198815087512666830821</t>
  </si>
  <si>
    <t>C-IN</t>
  </si>
  <si>
    <t>74036015086122696345198</t>
  </si>
  <si>
    <t>74036015086122696344282</t>
  </si>
  <si>
    <t>74036015086122687108035</t>
  </si>
  <si>
    <t>74036015086122696344621</t>
  </si>
  <si>
    <t>74036015087122839990008</t>
  </si>
  <si>
    <t>NYU COURANT</t>
  </si>
  <si>
    <t>24391215087098430016460</t>
  </si>
  <si>
    <t>74036015087122790376072</t>
  </si>
  <si>
    <t>74036015087122790376429</t>
  </si>
  <si>
    <t>LILLIPUT UK</t>
  </si>
  <si>
    <t>74998865091512986202041</t>
  </si>
  <si>
    <t>74036015090123095430544</t>
  </si>
  <si>
    <t>ECC25.EUCA-ECC.ORG</t>
  </si>
  <si>
    <t>74544475091000683931606</t>
  </si>
  <si>
    <t>NET AUTOMATION FORUM</t>
  </si>
  <si>
    <t>24011345091100073292587</t>
  </si>
  <si>
    <t>74036015092123290201524</t>
  </si>
  <si>
    <t>MIT PSFC</t>
  </si>
  <si>
    <t>24011345093100055886172</t>
  </si>
  <si>
    <t>24011345093100068172628</t>
  </si>
  <si>
    <t>24011345093100077098269</t>
  </si>
  <si>
    <t>24011345093100081962138</t>
  </si>
  <si>
    <t>24011345093100066753619</t>
  </si>
  <si>
    <t>24011345093100077981670</t>
  </si>
  <si>
    <t>LED TECHNOLOGIES LTD</t>
  </si>
  <si>
    <t>74463655094510957772537</t>
  </si>
  <si>
    <t>WWW.ACLIGHTING.COM</t>
  </si>
  <si>
    <t>74085325095058510002478</t>
  </si>
  <si>
    <t>24011345094100067239989</t>
  </si>
  <si>
    <t>24011345094100084036145</t>
  </si>
  <si>
    <t>24011345094100055781240</t>
  </si>
  <si>
    <t>24011345094100079771367</t>
  </si>
  <si>
    <t>24011345097100065046094</t>
  </si>
  <si>
    <t>C2E923001431S UKVI</t>
  </si>
  <si>
    <t>74007055099920058001192</t>
  </si>
  <si>
    <t>24011345098100066443380</t>
  </si>
  <si>
    <t>Amazon</t>
  </si>
  <si>
    <t>74985405099101941069521</t>
  </si>
  <si>
    <t>ORG. OF CANAD NUCLEAR</t>
  </si>
  <si>
    <t>74083425100100006626684</t>
  </si>
  <si>
    <t>CEC/ICMC</t>
  </si>
  <si>
    <t>24915075100301378433186</t>
  </si>
  <si>
    <t>KIT</t>
  </si>
  <si>
    <t>74916795100124116059627</t>
  </si>
  <si>
    <t>PAYPAL *FUNDACIONJO</t>
  </si>
  <si>
    <t>24198805100514083973290</t>
  </si>
  <si>
    <t>74916795101124214082454</t>
  </si>
  <si>
    <t>ROUTE1PRINT</t>
  </si>
  <si>
    <t>74163615102719771168981</t>
  </si>
  <si>
    <t>PIPESTOCK</t>
  </si>
  <si>
    <t>74657375102000665720045</t>
  </si>
  <si>
    <t>24011345101100090508971</t>
  </si>
  <si>
    <t>Sutton Courtenay Tyres</t>
  </si>
  <si>
    <t>74940705101000086432879</t>
  </si>
  <si>
    <t>IBF 2025</t>
  </si>
  <si>
    <t>74974005105202733952503</t>
  </si>
  <si>
    <t>74244695106515832179384</t>
  </si>
  <si>
    <t>PAYPAL *ANTANAPCO</t>
  </si>
  <si>
    <t>74198815106515249069046</t>
  </si>
  <si>
    <t>24011345105100051184677</t>
  </si>
  <si>
    <t>IEEE CB CONFERENCE</t>
  </si>
  <si>
    <t>24435655106075739070648</t>
  </si>
  <si>
    <t>ISC-HPC.COM</t>
  </si>
  <si>
    <t>74609055106100011055915</t>
  </si>
  <si>
    <t>74609055107100018669931</t>
  </si>
  <si>
    <t>FUND 17</t>
  </si>
  <si>
    <t>24198805112515432722326</t>
  </si>
  <si>
    <t>C&amp;EVENTS</t>
  </si>
  <si>
    <t>74509465112210084488440</t>
  </si>
  <si>
    <t>Berg-Hansen</t>
  </si>
  <si>
    <t>74383765113800067734324</t>
  </si>
  <si>
    <t>74609055113100024218360</t>
  </si>
  <si>
    <t>74036015113125431724376</t>
  </si>
  <si>
    <t>24011345113100060221247</t>
  </si>
  <si>
    <t>74383765113800067734332</t>
  </si>
  <si>
    <t>24435655114077800017946</t>
  </si>
  <si>
    <t>24011345114100051130604</t>
  </si>
  <si>
    <t>74916795115125645785775</t>
  </si>
  <si>
    <t>SOCIETY FOR EXPERIMENTAL MECHANICS</t>
  </si>
  <si>
    <t>24692165115105708959617</t>
  </si>
  <si>
    <t>EVENT* ENERGY NETWORKS</t>
  </si>
  <si>
    <t>74208475118100018220745</t>
  </si>
  <si>
    <t>GAS CAGE DIRECT</t>
  </si>
  <si>
    <t>74463655118511198241987</t>
  </si>
  <si>
    <t>74244695118516506593195</t>
  </si>
  <si>
    <t>ETH Zurich</t>
  </si>
  <si>
    <t>74063775119088685266636</t>
  </si>
  <si>
    <t>24692165119109395487060</t>
  </si>
  <si>
    <t>24011345119100075283749</t>
  </si>
  <si>
    <t>MDPI AG</t>
  </si>
  <si>
    <t>74595715121088801641786</t>
  </si>
  <si>
    <t>24435655120079353021087</t>
  </si>
  <si>
    <t>DKG E.V.</t>
  </si>
  <si>
    <t>74609055120100006975137</t>
  </si>
  <si>
    <t>24011345120100064485716</t>
  </si>
  <si>
    <t>UKHSA</t>
  </si>
  <si>
    <t>74568965121517398807297</t>
  </si>
  <si>
    <t>WWW.BIG.UK.COM</t>
  </si>
  <si>
    <t>74208475121100041286379</t>
  </si>
  <si>
    <t>SCANDIC VOSS FO</t>
  </si>
  <si>
    <t>74810625122017118163100</t>
  </si>
  <si>
    <t>CLICKUP.COM</t>
  </si>
  <si>
    <t>24011345126100121156031</t>
  </si>
  <si>
    <t>AEDCABINETS.CO.UK</t>
  </si>
  <si>
    <t>74208475126100025490737</t>
  </si>
  <si>
    <t>74509465126210084719558</t>
  </si>
  <si>
    <t>PLUMBNATION</t>
  </si>
  <si>
    <t>74657375127000592880012</t>
  </si>
  <si>
    <t>LEADER ASSOCIATES</t>
  </si>
  <si>
    <t>74481325127100003312634</t>
  </si>
  <si>
    <t>74916795127126875781613</t>
  </si>
  <si>
    <t>24011345127100087162477</t>
  </si>
  <si>
    <t>24011345128100078548832</t>
  </si>
  <si>
    <t>74973005128512842421008</t>
  </si>
  <si>
    <t>24011345128100082735540</t>
  </si>
  <si>
    <t>24435655129081740023827</t>
  </si>
  <si>
    <t>C2E926400694Q UKVI</t>
  </si>
  <si>
    <t>74007055133920048006135</t>
  </si>
  <si>
    <t>74244695132518276403953</t>
  </si>
  <si>
    <t>24011345132100086023129</t>
  </si>
  <si>
    <t>24011345132100066427167</t>
  </si>
  <si>
    <t>74083425133100015307814</t>
  </si>
  <si>
    <t>24011345133100083544142</t>
  </si>
  <si>
    <t>24011345133100064986122</t>
  </si>
  <si>
    <t>24011345133100079350843</t>
  </si>
  <si>
    <t>DIGITAL ID</t>
  </si>
  <si>
    <t>74998865134519359024216</t>
  </si>
  <si>
    <t>24011345133100082827597</t>
  </si>
  <si>
    <t>C2E926600223Q UKVI</t>
  </si>
  <si>
    <t>74007055135920045018354</t>
  </si>
  <si>
    <t>WWW.ESTREL.COM</t>
  </si>
  <si>
    <t>74396045134060005315168</t>
  </si>
  <si>
    <t>ICML</t>
  </si>
  <si>
    <t>24493985134602336248727</t>
  </si>
  <si>
    <t>24011345134100071744927</t>
  </si>
  <si>
    <t>24011345134100059942246</t>
  </si>
  <si>
    <t>C2E926600146S UKVI</t>
  </si>
  <si>
    <t>74007055135920045017877</t>
  </si>
  <si>
    <t>74509465135210084851830</t>
  </si>
  <si>
    <t>PLANSEEGROU</t>
  </si>
  <si>
    <t>74198815136519167852551</t>
  </si>
  <si>
    <t>SP GOENGINEER STORE</t>
  </si>
  <si>
    <t>24492165136100019194969</t>
  </si>
  <si>
    <t>74973005136513641670076</t>
  </si>
  <si>
    <t>74509465139210085554850</t>
  </si>
  <si>
    <t>AAPPS DPP</t>
  </si>
  <si>
    <t>74685115141854000600919</t>
  </si>
  <si>
    <t>74509465140210085700005</t>
  </si>
  <si>
    <t>74509465140210086441625</t>
  </si>
  <si>
    <t>BSSM LTD</t>
  </si>
  <si>
    <t>74208475140100027365996</t>
  </si>
  <si>
    <t>24435655141084816019137</t>
  </si>
  <si>
    <t>74083425141100021149762</t>
  </si>
  <si>
    <t>72458151-CIMNE</t>
  </si>
  <si>
    <t>74040945141008184787311</t>
  </si>
  <si>
    <t>HOTEL AQUABELLA</t>
  </si>
  <si>
    <t>74662595144641043952507</t>
  </si>
  <si>
    <t>C2E927501664F UKVI</t>
  </si>
  <si>
    <t>74007055144920058004746</t>
  </si>
  <si>
    <t>24011345148100081070598</t>
  </si>
  <si>
    <t>REVROBOTICS.COM</t>
  </si>
  <si>
    <t>24011345149100085524300</t>
  </si>
  <si>
    <t>OPENFOAM2025 BY AIT</t>
  </si>
  <si>
    <t>74609055151100000337021</t>
  </si>
  <si>
    <t>74609055153100026429933</t>
  </si>
  <si>
    <t>74463655153511546786770</t>
  </si>
  <si>
    <t>74208475154100019606566</t>
  </si>
  <si>
    <t>PICLEAROUT</t>
  </si>
  <si>
    <t>74998865155522490084515</t>
  </si>
  <si>
    <t>74208475155100022154033</t>
  </si>
  <si>
    <t>QUICKBIT* QUICKBIT.CO.</t>
  </si>
  <si>
    <t>74208475155100033798141</t>
  </si>
  <si>
    <t>C2E928800183G UKVI</t>
  </si>
  <si>
    <t>74007055157920048065926</t>
  </si>
  <si>
    <t>C2E928800166U UKVI</t>
  </si>
  <si>
    <t>74007055157920048026647</t>
  </si>
  <si>
    <t>74083425156100019466956</t>
  </si>
  <si>
    <t>ASME* TURBO EXPO 2025</t>
  </si>
  <si>
    <t>24000775156100012638109</t>
  </si>
  <si>
    <t>WWW.THEIAM.ORG</t>
  </si>
  <si>
    <t>74163615158736479716815</t>
  </si>
  <si>
    <t>74163615158736479716823</t>
  </si>
  <si>
    <t>CAROLI HOTELS SRL</t>
  </si>
  <si>
    <t>74609055158100002418251</t>
  </si>
  <si>
    <t>ISCC2G1E68909M UKVI</t>
  </si>
  <si>
    <t>74838565161920010472347</t>
  </si>
  <si>
    <t>JTBAMARYS</t>
  </si>
  <si>
    <t>74980005165666301966179</t>
  </si>
  <si>
    <t>AIHR ACADEMY</t>
  </si>
  <si>
    <t>74609055164100017466719</t>
  </si>
  <si>
    <t>RICS COM GBP CYBS</t>
  </si>
  <si>
    <t>74007005165920048197237</t>
  </si>
  <si>
    <t>C2E930100967U UKVI</t>
  </si>
  <si>
    <t>74007055170920046061805</t>
  </si>
  <si>
    <t>74980005171616901311286</t>
  </si>
  <si>
    <t>UTBLN</t>
  </si>
  <si>
    <t>24036035170524515053384</t>
  </si>
  <si>
    <t>24036035170524515065669</t>
  </si>
  <si>
    <t>24036035171524517871253</t>
  </si>
  <si>
    <t>24036035171524517936221</t>
  </si>
  <si>
    <t>74980005172857001281529</t>
  </si>
  <si>
    <t>BEM BRASIL</t>
  </si>
  <si>
    <t>74208475172100008517863</t>
  </si>
  <si>
    <t>24011345171100081837327</t>
  </si>
  <si>
    <t>OPENAI *CHATGPT SUBSCR</t>
  </si>
  <si>
    <t>24492165171100027665873</t>
  </si>
  <si>
    <t>XOMETRYUK</t>
  </si>
  <si>
    <t>74998865174524506202575</t>
  </si>
  <si>
    <t>SP ELEPHANTROBOTICS</t>
  </si>
  <si>
    <t>24011345175100069120163</t>
  </si>
  <si>
    <t>74007005176920048186674</t>
  </si>
  <si>
    <t>C2E930701090Z UKVI</t>
  </si>
  <si>
    <t>74007055176920047067128</t>
  </si>
  <si>
    <t>C2E930800757P UKVI</t>
  </si>
  <si>
    <t>74007055177920043058641</t>
  </si>
  <si>
    <t>C2E930800820A UKVI</t>
  </si>
  <si>
    <t>74007055177920043059201</t>
  </si>
  <si>
    <t>STFC</t>
  </si>
  <si>
    <t>74007005177910042000343</t>
  </si>
  <si>
    <t>74007005178920048001558</t>
  </si>
  <si>
    <t>74007005179920048000534</t>
  </si>
  <si>
    <t>Argos</t>
  </si>
  <si>
    <t>24021215178099711787165</t>
  </si>
  <si>
    <t>HYDRAJAWS LIMITED</t>
  </si>
  <si>
    <t>74163615181743614005113</t>
  </si>
  <si>
    <t>C2E931300138I UKVI</t>
  </si>
  <si>
    <t>74007055182920058177354</t>
  </si>
  <si>
    <t>MORGANA SYSTEMS LIMITED</t>
  </si>
  <si>
    <t>74007055183920003634508</t>
  </si>
  <si>
    <t>BRAY LEINO LTD</t>
  </si>
  <si>
    <t>74208475184100042732227</t>
  </si>
  <si>
    <t>74208475184100038282260</t>
  </si>
  <si>
    <t>APPLIED MEASUREMENTS</t>
  </si>
  <si>
    <t>74007055186910011640669</t>
  </si>
  <si>
    <t>CIVIL SERVICE COLLEGE</t>
  </si>
  <si>
    <t>74208475188100036933035</t>
  </si>
  <si>
    <t>VISION AUTOMATION SA</t>
  </si>
  <si>
    <t>74208475188100018794595</t>
  </si>
  <si>
    <t>SP LIQUISTOAXCESS</t>
  </si>
  <si>
    <t>74609055188100014564328</t>
  </si>
  <si>
    <t>C2E932102544V UKVI</t>
  </si>
  <si>
    <t>74007055190920058005431</t>
  </si>
  <si>
    <t>74083425190100019929522</t>
  </si>
  <si>
    <t>C2E932300723D UKVI</t>
  </si>
  <si>
    <t>74007055192920058005041</t>
  </si>
  <si>
    <t>74980005193259102335277</t>
  </si>
  <si>
    <t>74980005193259102335269</t>
  </si>
  <si>
    <t>NETXL</t>
  </si>
  <si>
    <t>74208475193100000657746</t>
  </si>
  <si>
    <t>IMECHE* MEMBERSHIP</t>
  </si>
  <si>
    <t>74208475193100004075945</t>
  </si>
  <si>
    <t>CHF*Talo Events Oy / PCO</t>
  </si>
  <si>
    <t>74920545193000004007566</t>
  </si>
  <si>
    <t>74208475195100031591706</t>
  </si>
  <si>
    <t>SISTEMA CONGRESSI SRL</t>
  </si>
  <si>
    <t>74871635197114723802993</t>
  </si>
  <si>
    <t>74871635197114723805996</t>
  </si>
  <si>
    <t>74920545198000005019540</t>
  </si>
  <si>
    <t>24036035197528582205958</t>
  </si>
  <si>
    <t>74980005200669801349679</t>
  </si>
  <si>
    <t>74980005200259801429240</t>
  </si>
  <si>
    <t>74980005200669801349661</t>
  </si>
  <si>
    <t>74980005200259801429232</t>
  </si>
  <si>
    <t>24036035199528587363388</t>
  </si>
  <si>
    <t>C2E933400162L UKVI</t>
  </si>
  <si>
    <t>74007055203920058145166</t>
  </si>
  <si>
    <t>74871635202195511546994</t>
  </si>
  <si>
    <t>74083425203100000008406</t>
  </si>
  <si>
    <t>Royal Mail</t>
  </si>
  <si>
    <t>74838565203920051153715</t>
  </si>
  <si>
    <t>CANADIAN NUCLEAR SOCIE</t>
  </si>
  <si>
    <t>74064495203820134480850</t>
  </si>
  <si>
    <t>74980005205660301930089</t>
  </si>
  <si>
    <t>AMAZON* RS3QQ6T44</t>
  </si>
  <si>
    <t>74208475203100018556524</t>
  </si>
  <si>
    <t>74685115205850400063750</t>
  </si>
  <si>
    <t>74980005206850401458078</t>
  </si>
  <si>
    <t>SAFETY BUYER* PRODUCTS</t>
  </si>
  <si>
    <t>74657375206000641440028</t>
  </si>
  <si>
    <t>JTB AMARYS</t>
  </si>
  <si>
    <t>74980005207250501450597</t>
  </si>
  <si>
    <t>74980005207250501450589</t>
  </si>
  <si>
    <t>74685115208850600174669</t>
  </si>
  <si>
    <t>TWITRAINING.COM</t>
  </si>
  <si>
    <t>74541095210090198491787</t>
  </si>
  <si>
    <t>74980005211210901905529</t>
  </si>
  <si>
    <t>74980005211770901823287</t>
  </si>
  <si>
    <t>SOC RESEARCH SOFT ENG</t>
  </si>
  <si>
    <t>74208475210100024984612</t>
  </si>
  <si>
    <t>WARWICK.AC.UK/PAYMENTS</t>
  </si>
  <si>
    <t>74830505210275255249537</t>
  </si>
  <si>
    <t>74980005212251001497859</t>
  </si>
  <si>
    <t>74980005212251001497842</t>
  </si>
  <si>
    <t>PENN-ELCOM.COM</t>
  </si>
  <si>
    <t>74208475211100018066359</t>
  </si>
  <si>
    <t>Meeting Makers Limited</t>
  </si>
  <si>
    <t>24810545211123910154557</t>
  </si>
  <si>
    <t>74980005213251101427037</t>
  </si>
  <si>
    <t>74980005213251101427045</t>
  </si>
  <si>
    <t>24810545212142430117232</t>
  </si>
  <si>
    <t>74980005214851202111213</t>
  </si>
  <si>
    <t>74980005214771202179962</t>
  </si>
  <si>
    <t>C2E935001168H UKVI</t>
  </si>
  <si>
    <t>74007055219920048078529</t>
  </si>
  <si>
    <t>EANM</t>
  </si>
  <si>
    <t>74830175218136557662930</t>
  </si>
  <si>
    <t>APPLIED MEASUREMENTS LIMI</t>
  </si>
  <si>
    <t>74007055220920005545616</t>
  </si>
  <si>
    <t>ICAPP 2025</t>
  </si>
  <si>
    <t>74609055223100017153308</t>
  </si>
  <si>
    <t>74609055223100007953493</t>
  </si>
  <si>
    <t>74980005225252300845967</t>
  </si>
  <si>
    <t>24036035223531648857455</t>
  </si>
  <si>
    <t>M E RESEARCH SOLUTIO</t>
  </si>
  <si>
    <t>74940525225800246398032</t>
  </si>
  <si>
    <t>74685115226682500069543</t>
  </si>
  <si>
    <t>74980005227392501560169</t>
  </si>
  <si>
    <t>WWW.GLOBALROBOTS.COM</t>
  </si>
  <si>
    <t>74208475225100013919234</t>
  </si>
  <si>
    <t>74998865226532500361451</t>
  </si>
  <si>
    <t>SP FOGSTAR.CO.UK</t>
  </si>
  <si>
    <t>74208475226100023754042</t>
  </si>
  <si>
    <t>PENN ELCOM</t>
  </si>
  <si>
    <t>74568965226532563084477</t>
  </si>
  <si>
    <t>HY-RAM ENGINEERING COMPANY LIMITED</t>
  </si>
  <si>
    <t>74007055228920014383944</t>
  </si>
  <si>
    <t>UT CONFERENCES EC</t>
  </si>
  <si>
    <t>24755425227282274633319</t>
  </si>
  <si>
    <t>24755425230262301620740</t>
  </si>
  <si>
    <t>24755425230262301620732</t>
  </si>
  <si>
    <t>74685115232443100067144</t>
  </si>
  <si>
    <t>C2E938401526C UKVI</t>
  </si>
  <si>
    <t>C2E937200863L UKVI</t>
  </si>
  <si>
    <t>C2E937200034C UKVI</t>
  </si>
  <si>
    <t>C2E937200058D UKVI</t>
  </si>
  <si>
    <t>C2E938500734H UKVI</t>
  </si>
  <si>
    <t>NUCLEAR INSTITUTE</t>
  </si>
  <si>
    <t>SPRINT* REG9UJSHOWN</t>
  </si>
  <si>
    <t>PASS PORTABLE APPLIAN</t>
  </si>
  <si>
    <t>AMERICAN PHYSICAL SOCI</t>
  </si>
  <si>
    <t>EVENTCLASS GMBH</t>
  </si>
  <si>
    <t>DHL</t>
  </si>
  <si>
    <t>THE MINERALS METALS AN</t>
  </si>
  <si>
    <t>DOBLE* 2025 LIFE OF A</t>
  </si>
  <si>
    <t>XL DISPLAYS</t>
  </si>
  <si>
    <t>WWW.STORK.SOLUTIONS</t>
  </si>
  <si>
    <t>EB *WELDING JOINING AN</t>
  </si>
  <si>
    <t>POLYBAGS LIMITED</t>
  </si>
  <si>
    <t>Amazon Marketplace</t>
  </si>
  <si>
    <t>IOM3</t>
  </si>
  <si>
    <t>SUMUP *CLARK ENGINEERING</t>
  </si>
  <si>
    <t>METRIX ELECTRONICS LIMITE</t>
  </si>
  <si>
    <t>C2E942100575H UKVI</t>
  </si>
  <si>
    <t>C2E942200205Z UKVI</t>
  </si>
  <si>
    <t>SURVEYMONK* T 47131251</t>
  </si>
  <si>
    <t>EXHIBITOR SHOP - FFAIR</t>
  </si>
  <si>
    <t>HTTPSIFSE.ORGUK</t>
  </si>
  <si>
    <t>CHENGDUYASHIGEQINHUANG</t>
  </si>
  <si>
    <t>WWW.TECPRODUCTS.CO.UK</t>
  </si>
  <si>
    <t>American Physical Society</t>
  </si>
  <si>
    <t>UK POINT OF SALE GROUP</t>
  </si>
  <si>
    <t>BURKERT UK LIMITED</t>
  </si>
  <si>
    <t>W M SYMPOSIA INC</t>
  </si>
  <si>
    <t>ROXTEC LTD</t>
  </si>
  <si>
    <t>PES*WWW.QIANLIAO.NET</t>
  </si>
  <si>
    <t xml:space="preserve"> Airtable</t>
  </si>
  <si>
    <t>MACHINE MART WEB</t>
  </si>
  <si>
    <t>OAK RIDGE NATIONAL LAB</t>
  </si>
  <si>
    <t>SP UKWORKBENCHES</t>
  </si>
  <si>
    <t>NBESEVENTS.GR</t>
  </si>
  <si>
    <t>C2E942100592Q UKVI</t>
  </si>
  <si>
    <t>C2E940601252U UKVI</t>
  </si>
  <si>
    <t>C2E939900664S UKVI</t>
  </si>
  <si>
    <t>C2E939900701S UKVI</t>
  </si>
  <si>
    <t>ChatGPT Subscription</t>
  </si>
  <si>
    <t>C2E945400608P UKVI</t>
  </si>
  <si>
    <t>C2E945400478D UKVI</t>
  </si>
  <si>
    <t>C2E942900403V UKVI</t>
  </si>
  <si>
    <t>C2E944101342I UKVI</t>
  </si>
  <si>
    <t>C2E944101389V UKVI</t>
  </si>
  <si>
    <t>GETSMARTER</t>
  </si>
  <si>
    <t>SP TAUT-STRAP</t>
  </si>
  <si>
    <t>UK POINT OF SALE GROUP LT</t>
  </si>
  <si>
    <t>MINERAL METAL MATERIAL</t>
  </si>
  <si>
    <t>LODESTAR MARKETING LTD</t>
  </si>
  <si>
    <t>ASSOCIATION FOR THE ADVA</t>
  </si>
  <si>
    <t>HANDWASHBAS</t>
  </si>
  <si>
    <t>WWW.SYSPAL.COM</t>
  </si>
  <si>
    <t>Tradeprint Distribution L</t>
  </si>
  <si>
    <t>C2E944200973T UKVI</t>
  </si>
  <si>
    <t>C2E946801074E UKVI</t>
  </si>
  <si>
    <t>74007055337920045423311</t>
  </si>
  <si>
    <t>C2E948101374U UKVI</t>
  </si>
  <si>
    <t>74007055350920043440236</t>
  </si>
  <si>
    <t>C2E947500059S UKVI</t>
  </si>
  <si>
    <t>74007055344920048084442</t>
  </si>
  <si>
    <t>HIWONDER</t>
  </si>
  <si>
    <t>24259405339114708398847</t>
  </si>
  <si>
    <t>WWW.HERSCHEL-INFRARED.</t>
  </si>
  <si>
    <t>74208475337100054800181</t>
  </si>
  <si>
    <t>SENSORAY</t>
  </si>
  <si>
    <t>24275395346900016431914</t>
  </si>
  <si>
    <t>COPECART.COM</t>
  </si>
  <si>
    <t>74609055342100019290278</t>
  </si>
  <si>
    <t>RARGEARS.COM</t>
  </si>
  <si>
    <t>74208475343100046314756</t>
  </si>
  <si>
    <t>24323035339244157050479</t>
  </si>
  <si>
    <t>ALL VALVES ONLINE</t>
  </si>
  <si>
    <t>74045445332920022195009</t>
  </si>
  <si>
    <t>SQ *BENDITNOW LIMITED</t>
  </si>
  <si>
    <t>74633755336000427045558</t>
  </si>
  <si>
    <t>24240985345600276670257</t>
  </si>
  <si>
    <t>SPOTTED PENGUIN</t>
  </si>
  <si>
    <t>74208475350100019801185</t>
  </si>
  <si>
    <t>The American Ceramic Society</t>
  </si>
  <si>
    <t>24707805339016010882252</t>
  </si>
  <si>
    <t>WITNEY STEEL COMPANY</t>
  </si>
  <si>
    <t>74350475351550177943358</t>
  </si>
  <si>
    <t>IT HARDWARE GROUP</t>
  </si>
  <si>
    <t>74208475345100039015152</t>
  </si>
  <si>
    <t>74875305339000108410020</t>
  </si>
  <si>
    <t>74085325345060510002308</t>
  </si>
  <si>
    <t>KITE PACKAGING LIMITED</t>
  </si>
  <si>
    <t>74208475343100018534001</t>
  </si>
  <si>
    <t>C2E951100066D UKVI</t>
  </si>
  <si>
    <t>PAYPAL *VON KARMAN</t>
  </si>
  <si>
    <t>EXIMBAY</t>
  </si>
  <si>
    <t>7TH EU IRPA CONGRESS</t>
  </si>
  <si>
    <t>WWW.ERS-ONLINE.CO.UK</t>
  </si>
  <si>
    <t>THAME ENGINEERING LTD</t>
  </si>
  <si>
    <t>C2E950400728Z UKVI</t>
  </si>
  <si>
    <t>74007056015920044186155</t>
  </si>
  <si>
    <t>74244696014601825177954</t>
  </si>
  <si>
    <t>74244696014601825671329</t>
  </si>
  <si>
    <t>74906026017452551540346</t>
  </si>
  <si>
    <t>74244696014601825670222</t>
  </si>
  <si>
    <t>74244696014601828732664</t>
  </si>
  <si>
    <t>74244696014601826080017</t>
  </si>
  <si>
    <t>24323036013260061046909</t>
  </si>
  <si>
    <t>74208476014100040101619</t>
  </si>
  <si>
    <t>74208476014100039624191</t>
  </si>
  <si>
    <t>24323035354250514065951</t>
  </si>
  <si>
    <t>74085326009060510060764</t>
  </si>
  <si>
    <t>24323036007257592050085</t>
  </si>
  <si>
    <t>74208476012100032110398</t>
  </si>
  <si>
    <t>74007056008920047353405</t>
  </si>
  <si>
    <t>LiBRTI, Blankets &amp; Research Programme Fusion Futures​</t>
  </si>
  <si>
    <t>2.2 PME Page</t>
  </si>
  <si>
    <t>2.3 Tenders</t>
  </si>
  <si>
    <t>CIVIL AVIATION AUTHORITY</t>
  </si>
  <si>
    <t>74007006041920000879689</t>
  </si>
  <si>
    <t>GOV.UK</t>
  </si>
  <si>
    <t>74007056030910058032206</t>
  </si>
  <si>
    <t>WWW.PRINTERLAND.CO</t>
  </si>
  <si>
    <t>74163616023803568474614</t>
  </si>
  <si>
    <t>PAYPAL *CLEANAIRTAS</t>
  </si>
  <si>
    <t>24036036022603082375061</t>
  </si>
  <si>
    <t>Y6VPDMJB00005991 WWW.CISM</t>
  </si>
  <si>
    <t>74344956041330107144391</t>
  </si>
  <si>
    <t>RIDGID TOOL SHOP</t>
  </si>
  <si>
    <t>74208476022100043484632</t>
  </si>
  <si>
    <t>WWW.HOTLINE.CO.UK</t>
  </si>
  <si>
    <t>74830506021295324007796</t>
  </si>
  <si>
    <t>PREVIEWDISPLAY.COM</t>
  </si>
  <si>
    <t>74208476021100050472372</t>
  </si>
  <si>
    <t>BENCHMASTER LIMITED</t>
  </si>
  <si>
    <t>74463656022520234787088</t>
  </si>
  <si>
    <t>24240986044600197690030</t>
  </si>
  <si>
    <t>24240986050600176928923</t>
  </si>
  <si>
    <t>24240986045600230177200</t>
  </si>
  <si>
    <t>EB *FIA ANNUAL POLICY</t>
  </si>
  <si>
    <t>24036296028742713104237</t>
  </si>
  <si>
    <t>INVOTECEXTRA</t>
  </si>
  <si>
    <t>74657376037001014270011</t>
  </si>
  <si>
    <t>EGRESS SOFTWARE TECH</t>
  </si>
  <si>
    <t>74208476026100036368780</t>
  </si>
  <si>
    <t>CUT PLASTIC SHEETING</t>
  </si>
  <si>
    <t>74208476021100032860454</t>
  </si>
  <si>
    <t>MATERIALS RESEARCH SOCIE</t>
  </si>
  <si>
    <t>24801976028630158138994</t>
  </si>
  <si>
    <t>CONTACT</t>
  </si>
  <si>
    <t>74463656034540355744938</t>
  </si>
  <si>
    <t>24323036028266245040760</t>
  </si>
  <si>
    <t>CopeCart</t>
  </si>
  <si>
    <t>74609056028100017292648</t>
  </si>
  <si>
    <t>WESTMINSTER INSIGHT</t>
  </si>
  <si>
    <t>74208476044100041490973</t>
  </si>
  <si>
    <t>74875306033001266747069</t>
  </si>
  <si>
    <t>24431066031370336555792</t>
  </si>
  <si>
    <t>FUSIONX</t>
  </si>
  <si>
    <t>74208476023100022527749</t>
  </si>
  <si>
    <t>SP CABLEDRUMJACKS</t>
  </si>
  <si>
    <t>74208476029100048691101</t>
  </si>
  <si>
    <t>C2E954701289M UKVI</t>
  </si>
  <si>
    <t>74007056051920048027921</t>
  </si>
  <si>
    <t>C2E952500199B UKVI</t>
  </si>
  <si>
    <t>74007056029910045175855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</si>
</sst>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44" formatCode="_-&quot;£&quot;* #,##0.00_-;\-&quot;£&quot;* #,##0.00_-;_-&quot;£&quot;* &quot;-&quot;??_-;_-@_-"/>
    <numFmt numFmtId="164" formatCode="mm\-yy"/>
  </numFmts>
  <fonts count="23">
    <font>
      <sz val="11"/>
      <color theme="1"/>
      <name val="Calibri"/>
      <family val="2"/>
      <scheme val="minor"/>
    </font>
    <font>
      <sz val="11"/>
      <color theme="1"/>
      <name val="Calibri"/>
      <family val="2"/>
      <scheme val="minor"/>
    </font>
    <font>
      <sz val="11"/>
      <color theme="1"/>
      <name val="Calibri"/>
      <family val="2"/>
      <scheme val="minor"/>
    </font>
    <font>
      <b/>
      <sz val="11"/>
      <color theme="0"/>
      <name val="Arial"/>
      <family val="2"/>
    </font>
    <font>
      <sz val="11"/>
      <color theme="1"/>
      <name val="Arial"/>
      <family val="2"/>
    </font>
    <font>
      <sz val="11"/>
      <color rgb="FF000000"/>
      <name val="Arial"/>
      <family val="2"/>
    </font>
    <font>
      <b/>
      <sz val="11"/>
      <name val="Arial"/>
      <family val="2"/>
    </font>
    <font>
      <b/>
      <sz val="11"/>
      <color theme="1"/>
      <name val="Arial"/>
      <family val="2"/>
    </font>
    <font>
      <b/>
      <sz val="11"/>
      <color theme="0"/>
      <name val="Calibri"/>
      <family val="2"/>
      <scheme val="minor"/>
    </font>
    <font>
      <b/>
      <sz val="20"/>
      <color theme="0"/>
      <name val="Arial"/>
      <family val="2"/>
    </font>
    <font>
      <sz val="8"/>
      <name val="Calibri"/>
      <family val="2"/>
      <scheme val="minor"/>
    </font>
    <font>
      <u/>
      <sz val="11"/>
      <color theme="10"/>
      <name val="Calibri"/>
      <family val="2"/>
      <scheme val="minor"/>
    </font>
    <font>
      <sz val="11"/>
      <name val="Calibri"/>
      <family val="2"/>
      <scheme val="minor"/>
    </font>
    <font>
      <sz val="11"/>
      <color rgb="FF000000"/>
      <name val="Calibri"/>
      <family val="2"/>
      <scheme val="minor"/>
    </font>
    <font>
      <sz val="10"/>
      <name val="Arial"/>
      <family val="2"/>
    </font>
    <font>
      <sz val="11"/>
      <name val="Arial"/>
      <family val="2"/>
    </font>
    <font>
      <u/>
      <sz val="11"/>
      <color theme="10"/>
      <name val="Arial"/>
      <family val="2"/>
    </font>
    <font>
      <sz val="11"/>
      <color rgb="FF000000"/>
      <name val="Calibri"/>
      <family val="2"/>
    </font>
    <font>
      <sz val="11"/>
      <color rgb="FF242424"/>
      <name val="Aptos Narrow"/>
      <family val="2"/>
    </font>
    <font>
      <sz val="11"/>
      <color rgb="FF000000"/>
      <name val="Aptos Narrow"/>
      <family val="2"/>
    </font>
    <font>
      <b/>
      <sz val="11"/>
      <color rgb="FF555555"/>
      <name val="Helvetica Neue"/>
      <family val="2"/>
    </font>
    <font>
      <sz val="18"/>
      <color rgb="FF555555"/>
      <name val="Helvetica Neue"/>
      <family val="2"/>
    </font>
    <font>
      <sz val="11"/>
      <color rgb="FFFF0000"/>
      <name val="Arial"/>
      <family val="2"/>
    </font>
  </fonts>
  <fills count="12">
    <fill>
      <patternFill patternType="none"/>
    </fill>
    <fill>
      <patternFill patternType="gray125"/>
    </fill>
    <fill>
      <patternFill patternType="solid">
        <fgColor rgb="FF002060"/>
        <bgColor indexed="64"/>
      </patternFill>
    </fill>
    <fill>
      <patternFill patternType="solid">
        <fgColor theme="2"/>
        <bgColor indexed="64"/>
      </patternFill>
    </fill>
    <fill>
      <patternFill patternType="solid">
        <fgColor rgb="FF002F56"/>
        <bgColor indexed="64"/>
      </patternFill>
    </fill>
    <fill>
      <patternFill patternType="solid">
        <fgColor rgb="FF002F56"/>
        <bgColor theme="4"/>
      </patternFill>
    </fill>
    <fill>
      <patternFill patternType="solid">
        <fgColor theme="0"/>
        <bgColor indexed="64"/>
      </patternFill>
    </fill>
    <fill>
      <patternFill patternType="solid">
        <fgColor theme="0" tint="-0.14999847407452621"/>
        <bgColor theme="0" tint="-0.14999847407452621"/>
      </patternFill>
    </fill>
    <fill>
      <patternFill patternType="solid">
        <fgColor theme="0" tint="-0.14999847407452621"/>
        <bgColor indexed="64"/>
      </patternFill>
    </fill>
    <fill>
      <patternFill patternType="solid">
        <fgColor rgb="FFD9E1F2"/>
        <bgColor rgb="FFD9E1F2"/>
      </patternFill>
    </fill>
    <fill>
      <patternFill patternType="solid">
        <fgColor rgb="FFD9D9D9"/>
        <bgColor rgb="FFD9D9D9"/>
      </patternFill>
    </fill>
    <fill>
      <patternFill patternType="solid">
        <fgColor rgb="FFFFFFFF"/>
        <bgColor indexed="64"/>
      </patternFill>
    </fill>
  </fills>
  <borders count="3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top/>
      <bottom style="thin">
        <color indexed="64"/>
      </bottom>
      <diagonal/>
    </border>
    <border>
      <left/>
      <right/>
      <top/>
      <bottom style="thin">
        <color indexed="64"/>
      </bottom>
      <diagonal/>
    </border>
    <border>
      <left/>
      <right/>
      <top style="thin">
        <color theme="1"/>
      </top>
      <bottom/>
      <diagonal/>
    </border>
    <border>
      <left style="thin">
        <color indexed="64"/>
      </left>
      <right/>
      <top style="thin">
        <color indexed="64"/>
      </top>
      <bottom/>
      <diagonal/>
    </border>
    <border>
      <left/>
      <right/>
      <top style="thin">
        <color theme="1"/>
      </top>
      <bottom style="thin">
        <color theme="1"/>
      </bottom>
      <diagonal/>
    </border>
    <border>
      <left style="medium">
        <color indexed="64"/>
      </left>
      <right/>
      <top/>
      <bottom/>
      <diagonal/>
    </border>
    <border>
      <left style="thin">
        <color indexed="64"/>
      </left>
      <right style="thin">
        <color indexed="64"/>
      </right>
      <top style="thick">
        <color indexed="64"/>
      </top>
      <bottom style="thin">
        <color indexed="64"/>
      </bottom>
      <diagonal/>
    </border>
    <border>
      <left style="thin">
        <color indexed="64"/>
      </left>
      <right style="thin">
        <color indexed="64"/>
      </right>
      <top style="thin">
        <color indexed="64"/>
      </top>
      <bottom style="thick">
        <color indexed="64"/>
      </bottom>
      <diagonal/>
    </border>
    <border>
      <left style="thick">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n">
        <color indexed="64"/>
      </left>
      <right style="thick">
        <color indexed="64"/>
      </right>
      <top style="thin">
        <color indexed="64"/>
      </top>
      <bottom/>
      <diagonal/>
    </border>
    <border>
      <left style="thin">
        <color indexed="64"/>
      </left>
      <right style="thick">
        <color indexed="64"/>
      </right>
      <top/>
      <bottom style="thin">
        <color indexed="64"/>
      </bottom>
      <diagonal/>
    </border>
    <border>
      <left style="thick">
        <color indexed="64"/>
      </left>
      <right/>
      <top/>
      <bottom/>
      <diagonal/>
    </border>
    <border>
      <left/>
      <right/>
      <top/>
      <bottom style="thin">
        <color rgb="FF000000"/>
      </bottom>
      <diagonal/>
    </border>
    <border>
      <left style="thick">
        <color indexed="64"/>
      </left>
      <right style="thin">
        <color indexed="64"/>
      </right>
      <top style="thin">
        <color indexed="64"/>
      </top>
      <bottom/>
      <diagonal/>
    </border>
    <border>
      <left style="thick">
        <color indexed="64"/>
      </left>
      <right style="thin">
        <color indexed="64"/>
      </right>
      <top style="thin">
        <color indexed="64"/>
      </top>
      <bottom style="medium">
        <color indexed="64"/>
      </bottom>
      <diagonal/>
    </border>
    <border>
      <left style="thick">
        <color indexed="64"/>
      </left>
      <right style="thin">
        <color indexed="64"/>
      </right>
      <top style="medium">
        <color indexed="64"/>
      </top>
      <bottom style="thin">
        <color indexed="64"/>
      </bottom>
      <diagonal/>
    </border>
    <border>
      <left style="thick">
        <color indexed="64"/>
      </left>
      <right style="thin">
        <color indexed="64"/>
      </right>
      <top/>
      <bottom style="thin">
        <color indexed="64"/>
      </bottom>
      <diagonal/>
    </border>
  </borders>
  <cellStyleXfs count="4">
    <xf numFmtId="0" fontId="0" fillId="0" borderId="0"/>
    <xf numFmtId="0" fontId="11" fillId="0" borderId="0" applyNumberFormat="0" applyFill="0" applyBorder="0" applyAlignment="0" applyProtection="0"/>
    <xf numFmtId="0" fontId="14" fillId="0" borderId="0"/>
    <xf numFmtId="0" fontId="4" fillId="0" borderId="0"/>
  </cellStyleXfs>
  <cellXfs count="171">
    <xf numFmtId="0" fontId="0" fillId="0" borderId="0" xfId="0"/>
    <xf numFmtId="0" fontId="3" fillId="4" borderId="0" xfId="0" applyFont="1" applyFill="1" applyAlignment="1">
      <alignment horizontal="center"/>
    </xf>
    <xf numFmtId="0" fontId="3" fillId="4" borderId="0" xfId="0" applyFont="1" applyFill="1"/>
    <xf numFmtId="0" fontId="3" fillId="5" borderId="0" xfId="0" applyFont="1" applyFill="1"/>
    <xf numFmtId="14" fontId="3" fillId="5" borderId="0" xfId="0" applyNumberFormat="1" applyFont="1" applyFill="1"/>
    <xf numFmtId="0" fontId="3" fillId="4" borderId="0" xfId="0" applyFont="1" applyFill="1" applyAlignment="1">
      <alignment horizontal="center" wrapText="1"/>
    </xf>
    <xf numFmtId="14" fontId="3" fillId="5" borderId="0" xfId="0" applyNumberFormat="1" applyFont="1" applyFill="1" applyAlignment="1">
      <alignment horizontal="center" wrapText="1"/>
    </xf>
    <xf numFmtId="0" fontId="0" fillId="0" borderId="0" xfId="0" applyAlignment="1">
      <alignment vertical="center" wrapText="1"/>
    </xf>
    <xf numFmtId="0" fontId="0" fillId="0" borderId="0" xfId="0" applyAlignment="1">
      <alignment wrapText="1"/>
    </xf>
    <xf numFmtId="0" fontId="0" fillId="0" borderId="0" xfId="0" applyAlignment="1">
      <alignment vertical="center"/>
    </xf>
    <xf numFmtId="14" fontId="0" fillId="0" borderId="0" xfId="0" applyNumberFormat="1" applyAlignment="1">
      <alignment vertical="center"/>
    </xf>
    <xf numFmtId="44" fontId="0" fillId="0" borderId="0" xfId="0" applyNumberFormat="1" applyAlignment="1">
      <alignment vertical="center"/>
    </xf>
    <xf numFmtId="0" fontId="3" fillId="4" borderId="0" xfId="0" applyFont="1" applyFill="1" applyAlignment="1">
      <alignment vertical="center" wrapText="1"/>
    </xf>
    <xf numFmtId="0" fontId="3" fillId="5" borderId="0" xfId="0" applyFont="1" applyFill="1" applyAlignment="1">
      <alignment horizontal="left" vertical="center" wrapText="1"/>
    </xf>
    <xf numFmtId="164" fontId="3" fillId="5" borderId="0" xfId="0" applyNumberFormat="1" applyFont="1" applyFill="1" applyAlignment="1">
      <alignment vertical="center" wrapText="1"/>
    </xf>
    <xf numFmtId="14" fontId="3" fillId="5" borderId="0" xfId="0" applyNumberFormat="1" applyFont="1" applyFill="1" applyAlignment="1">
      <alignment vertical="center" wrapText="1"/>
    </xf>
    <xf numFmtId="0" fontId="3" fillId="5" borderId="0" xfId="0" applyFont="1" applyFill="1" applyAlignment="1">
      <alignment horizontal="center" vertical="center" wrapText="1"/>
    </xf>
    <xf numFmtId="0" fontId="3" fillId="5" borderId="0" xfId="0" applyFont="1" applyFill="1" applyAlignment="1">
      <alignment vertical="center" wrapText="1"/>
    </xf>
    <xf numFmtId="44" fontId="3" fillId="5" borderId="0" xfId="0" applyNumberFormat="1" applyFont="1" applyFill="1" applyAlignment="1">
      <alignment vertical="center" wrapText="1"/>
    </xf>
    <xf numFmtId="0" fontId="3" fillId="4" borderId="0" xfId="0" applyFont="1" applyFill="1" applyAlignment="1">
      <alignment horizontal="center" vertical="center"/>
    </xf>
    <xf numFmtId="0" fontId="0" fillId="0" borderId="13" xfId="0" applyBorder="1" applyAlignment="1">
      <alignment vertical="center" wrapText="1"/>
    </xf>
    <xf numFmtId="0" fontId="0" fillId="0" borderId="13" xfId="0" applyBorder="1" applyAlignment="1">
      <alignment horizontal="left" vertical="center" wrapText="1"/>
    </xf>
    <xf numFmtId="44" fontId="0" fillId="0" borderId="13" xfId="0" applyNumberFormat="1" applyBorder="1" applyAlignment="1">
      <alignment vertical="center" wrapText="1"/>
    </xf>
    <xf numFmtId="164" fontId="0" fillId="0" borderId="13" xfId="0" applyNumberFormat="1" applyBorder="1" applyAlignment="1">
      <alignment vertical="center" wrapText="1"/>
    </xf>
    <xf numFmtId="14" fontId="0" fillId="0" borderId="13" xfId="0" applyNumberFormat="1" applyBorder="1" applyAlignment="1">
      <alignment vertical="center" wrapText="1"/>
    </xf>
    <xf numFmtId="0" fontId="0" fillId="0" borderId="0" xfId="0" applyAlignment="1">
      <alignment horizontal="left" vertical="center" wrapText="1"/>
    </xf>
    <xf numFmtId="164" fontId="0" fillId="0" borderId="0" xfId="0" applyNumberFormat="1" applyAlignment="1">
      <alignment vertical="center"/>
    </xf>
    <xf numFmtId="0" fontId="17" fillId="0" borderId="0" xfId="0" applyFont="1"/>
    <xf numFmtId="0" fontId="0" fillId="0" borderId="0" xfId="0" applyAlignment="1">
      <alignment horizontal="center"/>
    </xf>
    <xf numFmtId="0" fontId="0" fillId="0" borderId="15" xfId="0" applyBorder="1" applyAlignment="1">
      <alignment vertical="center" wrapText="1"/>
    </xf>
    <xf numFmtId="6" fontId="0" fillId="0" borderId="13" xfId="0" applyNumberFormat="1" applyBorder="1" applyAlignment="1">
      <alignment vertical="center" wrapText="1"/>
    </xf>
    <xf numFmtId="0" fontId="0" fillId="0" borderId="13" xfId="0" applyBorder="1" applyAlignment="1">
      <alignment vertical="center"/>
    </xf>
    <xf numFmtId="0" fontId="3" fillId="4" borderId="16" xfId="0" applyFont="1" applyFill="1" applyBorder="1" applyAlignment="1">
      <alignment horizontal="center" vertical="center" wrapText="1"/>
    </xf>
    <xf numFmtId="0" fontId="0" fillId="0" borderId="0" xfId="0" applyAlignment="1">
      <alignment horizontal="left" vertical="top"/>
    </xf>
    <xf numFmtId="0" fontId="3" fillId="4" borderId="0" xfId="0" applyFont="1" applyFill="1" applyAlignment="1">
      <alignment horizontal="left" vertical="top"/>
    </xf>
    <xf numFmtId="0" fontId="3" fillId="5" borderId="0" xfId="0" applyFont="1" applyFill="1" applyAlignment="1">
      <alignment horizontal="left" vertical="top"/>
    </xf>
    <xf numFmtId="0" fontId="3" fillId="5" borderId="0" xfId="0" applyFont="1" applyFill="1" applyAlignment="1">
      <alignment horizontal="left" vertical="top" wrapText="1"/>
    </xf>
    <xf numFmtId="14" fontId="3" fillId="5" borderId="0" xfId="0" applyNumberFormat="1" applyFont="1" applyFill="1" applyAlignment="1">
      <alignment horizontal="left" vertical="top"/>
    </xf>
    <xf numFmtId="0" fontId="0" fillId="0" borderId="0" xfId="0" applyAlignment="1">
      <alignment horizontal="left" vertical="top" wrapText="1"/>
    </xf>
    <xf numFmtId="0" fontId="17" fillId="0" borderId="0" xfId="0" applyFont="1" applyAlignment="1">
      <alignment horizontal="left" vertical="top"/>
    </xf>
    <xf numFmtId="0" fontId="17" fillId="0" borderId="0" xfId="0" applyFont="1" applyAlignment="1">
      <alignment horizontal="left" vertical="top" wrapText="1"/>
    </xf>
    <xf numFmtId="0" fontId="17" fillId="9" borderId="0" xfId="0" applyFont="1" applyFill="1" applyAlignment="1">
      <alignment horizontal="left" vertical="top" wrapText="1"/>
    </xf>
    <xf numFmtId="0" fontId="12" fillId="0" borderId="0" xfId="0" applyFont="1" applyAlignment="1">
      <alignment horizontal="left" vertical="top" wrapText="1"/>
    </xf>
    <xf numFmtId="0" fontId="13" fillId="0" borderId="0" xfId="0" applyFont="1" applyAlignment="1">
      <alignment horizontal="left" vertical="top"/>
    </xf>
    <xf numFmtId="0" fontId="18" fillId="0" borderId="0" xfId="0" applyFont="1" applyAlignment="1">
      <alignment vertical="top" wrapText="1"/>
    </xf>
    <xf numFmtId="0" fontId="18" fillId="0" borderId="0" xfId="0" applyFont="1" applyAlignment="1">
      <alignment vertical="top"/>
    </xf>
    <xf numFmtId="0" fontId="18" fillId="0" borderId="0" xfId="0" applyFont="1" applyAlignment="1">
      <alignment wrapText="1"/>
    </xf>
    <xf numFmtId="0" fontId="3" fillId="4" borderId="0" xfId="0" applyFont="1" applyFill="1" applyAlignment="1">
      <alignment horizontal="left" vertical="top" wrapText="1"/>
    </xf>
    <xf numFmtId="0" fontId="4" fillId="0" borderId="5" xfId="0" applyFont="1" applyBorder="1" applyAlignment="1">
      <alignment horizontal="left" vertical="center" wrapText="1"/>
    </xf>
    <xf numFmtId="0" fontId="4" fillId="0" borderId="7" xfId="0" applyFont="1" applyBorder="1" applyAlignment="1">
      <alignment horizontal="left" vertical="center" wrapText="1"/>
    </xf>
    <xf numFmtId="0" fontId="4" fillId="0" borderId="6" xfId="0" applyFont="1" applyBorder="1" applyAlignment="1">
      <alignment horizontal="left" vertical="center" wrapText="1"/>
    </xf>
    <xf numFmtId="0" fontId="4" fillId="0" borderId="0" xfId="0" applyFont="1" applyAlignment="1">
      <alignment horizontal="left" vertical="center" wrapText="1"/>
    </xf>
    <xf numFmtId="0" fontId="5" fillId="0" borderId="9" xfId="0" applyFont="1" applyBorder="1" applyAlignment="1">
      <alignment horizontal="left" vertical="center" wrapText="1"/>
    </xf>
    <xf numFmtId="0" fontId="4" fillId="0" borderId="9" xfId="0" applyFont="1" applyBorder="1" applyAlignment="1">
      <alignment horizontal="left" vertical="center" wrapText="1"/>
    </xf>
    <xf numFmtId="0" fontId="5" fillId="0" borderId="10" xfId="0" applyFont="1" applyBorder="1" applyAlignment="1">
      <alignment horizontal="left" vertical="center" wrapText="1"/>
    </xf>
    <xf numFmtId="0" fontId="4" fillId="0" borderId="10" xfId="0" applyFont="1" applyBorder="1" applyAlignment="1">
      <alignment horizontal="left" vertical="center" wrapText="1"/>
    </xf>
    <xf numFmtId="0" fontId="5" fillId="0" borderId="5" xfId="0" applyFont="1" applyBorder="1" applyAlignment="1">
      <alignment horizontal="left" vertical="center" wrapText="1"/>
    </xf>
    <xf numFmtId="0" fontId="15" fillId="0" borderId="5" xfId="0" applyFont="1" applyBorder="1" applyAlignment="1">
      <alignment horizontal="left" vertical="center" wrapText="1"/>
    </xf>
    <xf numFmtId="0" fontId="4" fillId="0" borderId="0" xfId="0" applyFont="1" applyAlignment="1">
      <alignment horizontal="left" vertical="center"/>
    </xf>
    <xf numFmtId="0" fontId="6" fillId="3" borderId="5" xfId="0" applyFont="1" applyFill="1" applyBorder="1" applyAlignment="1">
      <alignment horizontal="left" vertical="center" wrapText="1"/>
    </xf>
    <xf numFmtId="0" fontId="6" fillId="0" borderId="0" xfId="0" applyFont="1" applyAlignment="1">
      <alignment horizontal="left" vertical="center" wrapText="1"/>
    </xf>
    <xf numFmtId="0" fontId="6" fillId="3" borderId="8" xfId="0" applyFont="1" applyFill="1" applyBorder="1" applyAlignment="1">
      <alignment horizontal="left" vertical="center" wrapText="1"/>
    </xf>
    <xf numFmtId="0" fontId="7" fillId="3" borderId="6" xfId="0" applyFont="1" applyFill="1" applyBorder="1" applyAlignment="1">
      <alignment horizontal="left" vertical="center" wrapText="1"/>
    </xf>
    <xf numFmtId="0" fontId="7" fillId="0" borderId="0" xfId="0" applyFont="1" applyAlignment="1">
      <alignment horizontal="left" vertical="center"/>
    </xf>
    <xf numFmtId="0" fontId="4" fillId="0" borderId="17" xfId="0" applyFont="1" applyBorder="1" applyAlignment="1">
      <alignment horizontal="left" vertical="center" wrapText="1"/>
    </xf>
    <xf numFmtId="0" fontId="4" fillId="0" borderId="18" xfId="0" applyFont="1" applyBorder="1" applyAlignment="1">
      <alignment horizontal="left" vertical="center" wrapText="1"/>
    </xf>
    <xf numFmtId="0" fontId="6" fillId="3" borderId="7" xfId="0" applyFont="1" applyFill="1" applyBorder="1" applyAlignment="1">
      <alignment horizontal="left" vertical="center" wrapText="1"/>
    </xf>
    <xf numFmtId="0" fontId="5" fillId="0" borderId="6" xfId="0" applyFont="1" applyBorder="1" applyAlignment="1">
      <alignment horizontal="left" vertical="center" wrapText="1"/>
    </xf>
    <xf numFmtId="0" fontId="6" fillId="3" borderId="11" xfId="0" applyFont="1" applyFill="1" applyBorder="1" applyAlignment="1">
      <alignment horizontal="left" vertical="center" wrapText="1"/>
    </xf>
    <xf numFmtId="0" fontId="4" fillId="0" borderId="27" xfId="0" applyFont="1" applyBorder="1" applyAlignment="1">
      <alignment horizontal="left" vertical="center"/>
    </xf>
    <xf numFmtId="0" fontId="4" fillId="0" borderId="27" xfId="0" applyFont="1" applyBorder="1" applyAlignment="1">
      <alignment horizontal="left" vertical="center" wrapText="1"/>
    </xf>
    <xf numFmtId="0" fontId="3" fillId="5" borderId="0" xfId="0" applyFont="1" applyFill="1" applyAlignment="1">
      <alignment wrapText="1"/>
    </xf>
    <xf numFmtId="0" fontId="16" fillId="0" borderId="1" xfId="1" applyFont="1" applyFill="1" applyBorder="1" applyAlignment="1">
      <alignment horizontal="left" vertical="center" wrapText="1"/>
    </xf>
    <xf numFmtId="0" fontId="16" fillId="0" borderId="1" xfId="1" applyFont="1" applyBorder="1" applyAlignment="1">
      <alignment horizontal="left" vertical="center" wrapText="1"/>
    </xf>
    <xf numFmtId="0" fontId="16" fillId="0" borderId="1" xfId="1" quotePrefix="1" applyFont="1" applyBorder="1" applyAlignment="1">
      <alignment horizontal="left" vertical="center" wrapText="1"/>
    </xf>
    <xf numFmtId="0" fontId="11" fillId="0" borderId="1" xfId="1" applyBorder="1" applyAlignment="1">
      <alignment horizontal="left" vertical="center"/>
    </xf>
    <xf numFmtId="0" fontId="16" fillId="0" borderId="5" xfId="1" applyFont="1" applyBorder="1" applyAlignment="1">
      <alignment horizontal="left" vertical="center" wrapText="1"/>
    </xf>
    <xf numFmtId="0" fontId="0" fillId="10" borderId="13" xfId="0" applyFill="1" applyBorder="1" applyAlignment="1">
      <alignment vertical="center" wrapText="1"/>
    </xf>
    <xf numFmtId="0" fontId="0" fillId="10" borderId="13" xfId="0" applyFill="1" applyBorder="1" applyAlignment="1">
      <alignment horizontal="left" vertical="center" wrapText="1"/>
    </xf>
    <xf numFmtId="44" fontId="0" fillId="10" borderId="13" xfId="0" applyNumberFormat="1" applyFill="1" applyBorder="1" applyAlignment="1">
      <alignment vertical="center" wrapText="1"/>
    </xf>
    <xf numFmtId="164" fontId="0" fillId="10" borderId="13" xfId="0" applyNumberFormat="1" applyFill="1" applyBorder="1" applyAlignment="1">
      <alignment vertical="center" wrapText="1"/>
    </xf>
    <xf numFmtId="14" fontId="0" fillId="10" borderId="13" xfId="0" applyNumberFormat="1" applyFill="1" applyBorder="1" applyAlignment="1">
      <alignment vertical="center" wrapText="1"/>
    </xf>
    <xf numFmtId="0" fontId="0" fillId="8" borderId="13" xfId="0" applyFill="1" applyBorder="1" applyAlignment="1">
      <alignment vertical="center" wrapText="1"/>
    </xf>
    <xf numFmtId="0" fontId="4" fillId="6" borderId="5" xfId="0" applyFont="1" applyFill="1" applyBorder="1" applyAlignment="1">
      <alignment horizontal="left" vertical="center" wrapText="1"/>
    </xf>
    <xf numFmtId="0" fontId="11" fillId="0" borderId="1" xfId="1" applyBorder="1"/>
    <xf numFmtId="0" fontId="16" fillId="0" borderId="14" xfId="1" applyFont="1" applyFill="1" applyBorder="1" applyAlignment="1">
      <alignment horizontal="left" vertical="center" wrapText="1"/>
    </xf>
    <xf numFmtId="0" fontId="5" fillId="0" borderId="9" xfId="0" applyFont="1" applyBorder="1"/>
    <xf numFmtId="0" fontId="17" fillId="0" borderId="0" xfId="0" applyFont="1" applyAlignment="1">
      <alignment vertical="center"/>
    </xf>
    <xf numFmtId="0" fontId="6" fillId="0" borderId="5" xfId="0" applyFont="1" applyBorder="1" applyAlignment="1">
      <alignment horizontal="left" vertical="center" wrapText="1"/>
    </xf>
    <xf numFmtId="0" fontId="11" fillId="0" borderId="0" xfId="1" applyAlignment="1">
      <alignment horizontal="left" vertical="center"/>
    </xf>
    <xf numFmtId="14" fontId="0" fillId="0" borderId="0" xfId="0" applyNumberFormat="1"/>
    <xf numFmtId="0" fontId="16" fillId="0" borderId="5" xfId="1" applyFont="1" applyFill="1" applyBorder="1" applyAlignment="1">
      <alignment horizontal="left" vertical="center" wrapText="1"/>
    </xf>
    <xf numFmtId="0" fontId="4" fillId="0" borderId="14" xfId="0" applyFont="1" applyBorder="1" applyAlignment="1">
      <alignment horizontal="left" vertical="center" wrapText="1"/>
    </xf>
    <xf numFmtId="14" fontId="0" fillId="0" borderId="0" xfId="0" applyNumberFormat="1" applyAlignment="1">
      <alignment vertical="center" wrapText="1"/>
    </xf>
    <xf numFmtId="0" fontId="0" fillId="0" borderId="13" xfId="0" applyBorder="1" applyAlignment="1">
      <alignment horizontal="left" vertical="top" wrapText="1"/>
    </xf>
    <xf numFmtId="0" fontId="17" fillId="0" borderId="0" xfId="0" applyFont="1" applyAlignment="1">
      <alignment wrapText="1"/>
    </xf>
    <xf numFmtId="0" fontId="15" fillId="0" borderId="6" xfId="0" applyFont="1" applyBorder="1" applyAlignment="1">
      <alignment horizontal="left" vertical="center" wrapText="1"/>
    </xf>
    <xf numFmtId="0" fontId="4" fillId="0" borderId="9" xfId="0" applyFont="1" applyBorder="1" applyAlignment="1">
      <alignment horizontal="left" vertical="center"/>
    </xf>
    <xf numFmtId="0" fontId="16" fillId="0" borderId="0" xfId="1" applyFont="1" applyFill="1" applyBorder="1" applyAlignment="1">
      <alignment horizontal="left" vertical="center" wrapText="1"/>
    </xf>
    <xf numFmtId="0" fontId="19" fillId="0" borderId="0" xfId="0" applyFont="1" applyAlignment="1">
      <alignment horizontal="left" vertical="top"/>
    </xf>
    <xf numFmtId="0" fontId="19" fillId="0" borderId="0" xfId="0" applyFont="1" applyAlignment="1">
      <alignment horizontal="left" vertical="top" wrapText="1"/>
    </xf>
    <xf numFmtId="14" fontId="0" fillId="8" borderId="13" xfId="0" applyNumberFormat="1" applyFill="1" applyBorder="1" applyAlignment="1">
      <alignment vertical="center" wrapText="1"/>
    </xf>
    <xf numFmtId="0" fontId="13" fillId="0" borderId="0" xfId="0" applyFont="1" applyAlignment="1">
      <alignment horizontal="left" vertical="top" wrapText="1"/>
    </xf>
    <xf numFmtId="0" fontId="4" fillId="0" borderId="5" xfId="0" applyFont="1" applyBorder="1" applyAlignment="1">
      <alignment horizontal="left" vertical="center"/>
    </xf>
    <xf numFmtId="0" fontId="5" fillId="0" borderId="10" xfId="0" quotePrefix="1" applyFont="1" applyBorder="1" applyAlignment="1">
      <alignment horizontal="left" vertical="center" wrapText="1"/>
    </xf>
    <xf numFmtId="0" fontId="11" fillId="0" borderId="0" xfId="1" applyBorder="1" applyAlignment="1">
      <alignment horizontal="left" vertical="center" wrapText="1"/>
    </xf>
    <xf numFmtId="0" fontId="16" fillId="0" borderId="6" xfId="1" applyFont="1" applyFill="1" applyBorder="1" applyAlignment="1">
      <alignment horizontal="left" vertical="center" wrapText="1"/>
    </xf>
    <xf numFmtId="0" fontId="19" fillId="0" borderId="0" xfId="0" applyFont="1"/>
    <xf numFmtId="14" fontId="19" fillId="0" borderId="0" xfId="0" applyNumberFormat="1" applyFont="1"/>
    <xf numFmtId="49" fontId="0" fillId="0" borderId="0" xfId="0" quotePrefix="1" applyNumberFormat="1"/>
    <xf numFmtId="0" fontId="18" fillId="0" borderId="0" xfId="0" applyFont="1" applyAlignment="1">
      <alignment vertical="center"/>
    </xf>
    <xf numFmtId="0" fontId="0" fillId="7" borderId="13" xfId="0" applyFill="1" applyBorder="1" applyAlignment="1">
      <alignment horizontal="left" vertical="center" wrapText="1"/>
    </xf>
    <xf numFmtId="0" fontId="17" fillId="0" borderId="28" xfId="0" applyFont="1" applyBorder="1" applyAlignment="1">
      <alignment vertical="center" wrapText="1"/>
    </xf>
    <xf numFmtId="0" fontId="0" fillId="0" borderId="5" xfId="0" applyBorder="1"/>
    <xf numFmtId="0" fontId="0" fillId="0" borderId="5" xfId="0" applyBorder="1" applyAlignment="1">
      <alignment wrapText="1"/>
    </xf>
    <xf numFmtId="0" fontId="11" fillId="0" borderId="5" xfId="1" applyBorder="1"/>
    <xf numFmtId="0" fontId="0" fillId="0" borderId="5" xfId="0" applyBorder="1" applyAlignment="1">
      <alignment horizontal="center"/>
    </xf>
    <xf numFmtId="0" fontId="20" fillId="11" borderId="5" xfId="0" applyFont="1" applyFill="1" applyBorder="1" applyAlignment="1">
      <alignment wrapText="1"/>
    </xf>
    <xf numFmtId="0" fontId="21" fillId="0" borderId="5" xfId="0" applyFont="1" applyBorder="1"/>
    <xf numFmtId="0" fontId="0" fillId="0" borderId="5" xfId="0" applyFill="1" applyBorder="1"/>
    <xf numFmtId="0" fontId="0" fillId="0" borderId="13" xfId="0" applyFill="1" applyBorder="1" applyAlignment="1">
      <alignment vertical="center" wrapText="1"/>
    </xf>
    <xf numFmtId="14" fontId="0" fillId="0" borderId="13" xfId="0" applyNumberFormat="1" applyFill="1" applyBorder="1" applyAlignment="1">
      <alignment vertical="center" wrapText="1"/>
    </xf>
    <xf numFmtId="0" fontId="0" fillId="0" borderId="13" xfId="0" applyFill="1" applyBorder="1" applyAlignment="1">
      <alignment horizontal="left" vertical="center" wrapText="1"/>
    </xf>
    <xf numFmtId="44" fontId="0" fillId="0" borderId="13" xfId="0" applyNumberFormat="1" applyFill="1" applyBorder="1" applyAlignment="1">
      <alignment vertical="center" wrapText="1"/>
    </xf>
    <xf numFmtId="164" fontId="0" fillId="0" borderId="13" xfId="0" applyNumberFormat="1" applyFill="1" applyBorder="1" applyAlignment="1">
      <alignment vertical="center" wrapText="1"/>
    </xf>
    <xf numFmtId="0" fontId="0" fillId="0" borderId="0" xfId="0" applyFill="1" applyAlignment="1">
      <alignment vertical="center"/>
    </xf>
    <xf numFmtId="0" fontId="17" fillId="0" borderId="0" xfId="0" applyFont="1" applyFill="1" applyAlignment="1">
      <alignment vertical="center"/>
    </xf>
    <xf numFmtId="0" fontId="17" fillId="0" borderId="0" xfId="0" applyFont="1" applyFill="1" applyAlignment="1">
      <alignment horizontal="left" vertical="top" wrapText="1"/>
    </xf>
    <xf numFmtId="0" fontId="19" fillId="0" borderId="0" xfId="0" applyFont="1" applyFill="1" applyAlignment="1">
      <alignment horizontal="left" vertical="top" wrapText="1"/>
    </xf>
    <xf numFmtId="0" fontId="0" fillId="0" borderId="0" xfId="0" applyFill="1" applyAlignment="1">
      <alignment horizontal="left" vertical="top"/>
    </xf>
    <xf numFmtId="0" fontId="19" fillId="0" borderId="0" xfId="0" applyFont="1" applyFill="1" applyAlignment="1">
      <alignment horizontal="left" vertical="top"/>
    </xf>
    <xf numFmtId="0" fontId="17" fillId="0" borderId="0" xfId="0" applyFont="1" applyFill="1" applyAlignment="1">
      <alignment horizontal="left" vertical="top"/>
    </xf>
    <xf numFmtId="0" fontId="0" fillId="0" borderId="0" xfId="0" applyFill="1" applyAlignment="1">
      <alignment horizontal="left" vertical="top" wrapText="1"/>
    </xf>
    <xf numFmtId="0" fontId="1" fillId="0" borderId="0" xfId="0" applyFont="1" applyFill="1" applyAlignment="1">
      <alignment horizontal="left" vertical="top"/>
    </xf>
    <xf numFmtId="0" fontId="1" fillId="0" borderId="6" xfId="0" applyFont="1" applyFill="1" applyBorder="1" applyAlignment="1">
      <alignment vertical="center" wrapText="1"/>
    </xf>
    <xf numFmtId="0" fontId="2" fillId="0" borderId="0" xfId="0" applyFont="1" applyFill="1" applyAlignment="1">
      <alignment horizontal="left" vertical="top"/>
    </xf>
    <xf numFmtId="0" fontId="4" fillId="0" borderId="20" xfId="0" applyFont="1" applyBorder="1" applyAlignment="1">
      <alignment horizontal="left" vertical="center" wrapText="1"/>
    </xf>
    <xf numFmtId="0" fontId="4" fillId="0" borderId="22" xfId="0" applyFont="1" applyBorder="1" applyAlignment="1">
      <alignment horizontal="left" vertical="center" wrapText="1"/>
    </xf>
    <xf numFmtId="0" fontId="4" fillId="0" borderId="24" xfId="0" applyFont="1" applyBorder="1" applyAlignment="1">
      <alignment horizontal="left" vertical="center" wrapText="1"/>
    </xf>
    <xf numFmtId="0" fontId="4" fillId="0" borderId="19" xfId="0" applyFont="1" applyBorder="1" applyAlignment="1">
      <alignment horizontal="left" vertical="center" wrapText="1"/>
    </xf>
    <xf numFmtId="0" fontId="4" fillId="0" borderId="21" xfId="0" applyFont="1" applyBorder="1" applyAlignment="1">
      <alignment horizontal="left" vertical="center" wrapText="1"/>
    </xf>
    <xf numFmtId="0" fontId="4" fillId="0" borderId="23" xfId="0" applyFont="1" applyBorder="1" applyAlignment="1">
      <alignment horizontal="left" vertical="center" wrapText="1"/>
    </xf>
    <xf numFmtId="0" fontId="4" fillId="0" borderId="25" xfId="0" applyFont="1" applyBorder="1" applyAlignment="1">
      <alignment horizontal="left" vertical="center" wrapText="1"/>
    </xf>
    <xf numFmtId="0" fontId="3" fillId="2" borderId="4" xfId="0" applyFont="1" applyFill="1" applyBorder="1" applyAlignment="1">
      <alignment horizontal="center" vertical="center"/>
    </xf>
    <xf numFmtId="0" fontId="3" fillId="2" borderId="0" xfId="0" applyFont="1" applyFill="1" applyAlignment="1">
      <alignment horizontal="center" vertical="center"/>
    </xf>
    <xf numFmtId="0" fontId="4" fillId="0" borderId="30" xfId="0" applyFont="1" applyBorder="1" applyAlignment="1">
      <alignment horizontal="left" vertical="center" wrapText="1"/>
    </xf>
    <xf numFmtId="0" fontId="4" fillId="0" borderId="31" xfId="0" applyFont="1" applyBorder="1" applyAlignment="1">
      <alignment horizontal="left" vertical="center" wrapText="1"/>
    </xf>
    <xf numFmtId="0" fontId="4" fillId="0" borderId="32" xfId="0" applyFont="1" applyBorder="1" applyAlignment="1">
      <alignment horizontal="left" vertical="center" wrapText="1"/>
    </xf>
    <xf numFmtId="0" fontId="4" fillId="0" borderId="29" xfId="0" applyFont="1" applyBorder="1" applyAlignment="1">
      <alignment horizontal="left" vertical="center" wrapText="1"/>
    </xf>
    <xf numFmtId="0" fontId="4" fillId="0" borderId="26" xfId="0" applyFont="1" applyBorder="1" applyAlignment="1">
      <alignment horizontal="left" vertical="center" wrapText="1"/>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3" fillId="2" borderId="4" xfId="0" applyFont="1" applyFill="1" applyBorder="1" applyAlignment="1">
      <alignment horizontal="center" vertical="center" wrapText="1"/>
    </xf>
    <xf numFmtId="0" fontId="3" fillId="2" borderId="0" xfId="0" applyFont="1" applyFill="1" applyAlignment="1">
      <alignment horizontal="center" vertical="center" wrapText="1"/>
    </xf>
    <xf numFmtId="0" fontId="4" fillId="0" borderId="1" xfId="0" applyFont="1" applyBorder="1" applyAlignment="1">
      <alignment horizontal="lef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5" xfId="0" applyFont="1" applyBorder="1" applyAlignment="1">
      <alignment horizontal="left" vertical="center" wrapText="1"/>
    </xf>
    <xf numFmtId="0" fontId="4" fillId="0" borderId="1" xfId="0" applyFont="1" applyBorder="1" applyAlignment="1">
      <alignment horizontal="left" vertical="center" wrapText="1"/>
    </xf>
    <xf numFmtId="0" fontId="4" fillId="0" borderId="2" xfId="0" applyFont="1" applyBorder="1" applyAlignment="1">
      <alignment horizontal="left" vertical="center" wrapText="1"/>
    </xf>
    <xf numFmtId="0" fontId="3" fillId="2" borderId="11" xfId="0" applyFont="1" applyFill="1" applyBorder="1" applyAlignment="1">
      <alignment horizontal="center" vertical="center"/>
    </xf>
    <xf numFmtId="0" fontId="3" fillId="2" borderId="12" xfId="0" applyFont="1" applyFill="1" applyBorder="1" applyAlignment="1">
      <alignment horizontal="center" vertical="center"/>
    </xf>
    <xf numFmtId="0" fontId="3" fillId="4" borderId="0" xfId="0" applyFont="1" applyFill="1" applyAlignment="1">
      <alignment horizontal="left" vertical="top"/>
    </xf>
    <xf numFmtId="0" fontId="9" fillId="4" borderId="0" xfId="0" applyFont="1" applyFill="1" applyAlignment="1">
      <alignment horizontal="center"/>
    </xf>
    <xf numFmtId="0" fontId="8" fillId="4" borderId="0" xfId="0" applyFont="1" applyFill="1" applyAlignment="1">
      <alignment horizontal="center"/>
    </xf>
    <xf numFmtId="0" fontId="3" fillId="4" borderId="0" xfId="0" applyFont="1" applyFill="1" applyAlignment="1">
      <alignment horizontal="center"/>
    </xf>
    <xf numFmtId="0" fontId="9" fillId="4" borderId="0" xfId="0" applyFont="1" applyFill="1" applyAlignment="1">
      <alignment horizontal="center" vertical="center"/>
    </xf>
    <xf numFmtId="0" fontId="3" fillId="4" borderId="0" xfId="0" applyFont="1" applyFill="1" applyAlignment="1">
      <alignment horizontal="center" vertical="center"/>
    </xf>
    <xf numFmtId="164" fontId="3" fillId="4" borderId="0" xfId="0" applyNumberFormat="1" applyFont="1" applyFill="1" applyAlignment="1">
      <alignment horizontal="center" vertical="center"/>
    </xf>
    <xf numFmtId="14" fontId="3" fillId="4" borderId="0" xfId="0" applyNumberFormat="1" applyFont="1" applyFill="1" applyAlignment="1">
      <alignment horizontal="center" vertical="center"/>
    </xf>
  </cellXfs>
  <cellStyles count="4">
    <cellStyle name="Hyperlink" xfId="1" builtinId="8"/>
    <cellStyle name="Normal" xfId="0" builtinId="0"/>
    <cellStyle name="Normal 2" xfId="2" xr:uid="{31195461-1E03-4D06-8870-4AF867D63A61}"/>
    <cellStyle name="Normal 5" xfId="3" xr:uid="{19084FFF-F54F-4567-B3FE-DAADC73D416D}"/>
  </cellStyles>
  <dxfs count="56">
    <dxf>
      <numFmt numFmtId="19" formatCode="dd/mm/yyyy"/>
    </dxf>
    <dxf>
      <numFmt numFmtId="19" formatCode="dd/mm/yyyy"/>
    </dxf>
    <dxf>
      <font>
        <b/>
        <i val="0"/>
        <strike val="0"/>
        <condense val="0"/>
        <extend val="0"/>
        <outline val="0"/>
        <shadow val="0"/>
        <u val="none"/>
        <vertAlign val="baseline"/>
        <sz val="11"/>
        <color theme="0"/>
        <name val="Arial"/>
        <family val="2"/>
        <scheme val="none"/>
      </font>
      <fill>
        <patternFill patternType="solid">
          <fgColor indexed="64"/>
          <bgColor rgb="FF002F56"/>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Calibri"/>
        <family val="2"/>
        <scheme val="minor"/>
      </font>
      <alignment horizontal="general" vertical="center" textRotation="0" wrapText="1" indent="0" justifyLastLine="0" shrinkToFit="0" readingOrder="0"/>
      <border diagonalUp="0" diagonalDown="0" outline="0">
        <left/>
        <right/>
        <top style="thin">
          <color theme="1"/>
        </top>
        <bottom/>
      </border>
    </dxf>
    <dxf>
      <font>
        <b val="0"/>
        <i val="0"/>
        <strike val="0"/>
        <condense val="0"/>
        <extend val="0"/>
        <outline val="0"/>
        <shadow val="0"/>
        <u val="none"/>
        <vertAlign val="baseline"/>
        <sz val="11"/>
        <color theme="1"/>
        <name val="Calibri"/>
        <family val="2"/>
        <scheme val="minor"/>
      </font>
      <alignment horizontal="general" vertical="center" textRotation="0" wrapText="1" indent="0" justifyLastLine="0" shrinkToFit="0" readingOrder="0"/>
      <border diagonalUp="0" diagonalDown="0" outline="0">
        <left/>
        <right/>
        <top style="thin">
          <color theme="1"/>
        </top>
        <bottom/>
      </border>
    </dxf>
    <dxf>
      <font>
        <b val="0"/>
        <i val="0"/>
        <strike val="0"/>
        <condense val="0"/>
        <extend val="0"/>
        <outline val="0"/>
        <shadow val="0"/>
        <u val="none"/>
        <vertAlign val="baseline"/>
        <sz val="11"/>
        <color theme="1"/>
        <name val="Calibri"/>
        <family val="2"/>
        <scheme val="minor"/>
      </font>
      <numFmt numFmtId="19" formatCode="dd/mm/yyyy"/>
      <alignment horizontal="general" vertical="center" textRotation="0" wrapText="1" indent="0" justifyLastLine="0" shrinkToFit="0" readingOrder="0"/>
      <border diagonalUp="0" diagonalDown="0" outline="0">
        <left/>
        <right/>
        <top style="thin">
          <color theme="1"/>
        </top>
        <bottom/>
      </border>
    </dxf>
    <dxf>
      <font>
        <b val="0"/>
        <i val="0"/>
        <strike val="0"/>
        <condense val="0"/>
        <extend val="0"/>
        <outline val="0"/>
        <shadow val="0"/>
        <u val="none"/>
        <vertAlign val="baseline"/>
        <sz val="11"/>
        <color theme="1"/>
        <name val="Calibri"/>
        <family val="2"/>
        <scheme val="minor"/>
      </font>
      <numFmt numFmtId="164" formatCode="mm\-yy"/>
      <alignment horizontal="general" vertical="center" textRotation="0" wrapText="1" indent="0" justifyLastLine="0" shrinkToFit="0" readingOrder="0"/>
      <border diagonalUp="0" diagonalDown="0" outline="0">
        <left/>
        <right/>
        <top style="thin">
          <color theme="1"/>
        </top>
        <bottom/>
      </border>
    </dxf>
    <dxf>
      <font>
        <b val="0"/>
        <i val="0"/>
        <strike val="0"/>
        <condense val="0"/>
        <extend val="0"/>
        <outline val="0"/>
        <shadow val="0"/>
        <u val="none"/>
        <vertAlign val="baseline"/>
        <sz val="11"/>
        <color theme="1"/>
        <name val="Calibri"/>
        <family val="2"/>
        <scheme val="minor"/>
      </font>
      <alignment horizontal="general" vertical="center" textRotation="0" wrapText="1" indent="0" justifyLastLine="0" shrinkToFit="0" readingOrder="0"/>
      <border diagonalUp="0" diagonalDown="0" outline="0">
        <left/>
        <right/>
        <top style="thin">
          <color theme="1"/>
        </top>
        <bottom/>
      </border>
    </dxf>
    <dxf>
      <font>
        <b val="0"/>
        <i val="0"/>
        <strike val="0"/>
        <condense val="0"/>
        <extend val="0"/>
        <outline val="0"/>
        <shadow val="0"/>
        <u val="none"/>
        <vertAlign val="baseline"/>
        <sz val="11"/>
        <color theme="1"/>
        <name val="Calibri"/>
        <family val="2"/>
        <scheme val="minor"/>
      </font>
      <numFmt numFmtId="34" formatCode="_-&quot;£&quot;* #,##0.00_-;\-&quot;£&quot;* #,##0.00_-;_-&quot;£&quot;* &quot;-&quot;??_-;_-@_-"/>
      <alignment horizontal="general" vertical="center" textRotation="0" wrapText="1" indent="0" justifyLastLine="0" shrinkToFit="0" readingOrder="0"/>
      <border diagonalUp="0" diagonalDown="0" outline="0">
        <left/>
        <right/>
        <top style="thin">
          <color theme="1"/>
        </top>
        <bottom/>
      </border>
    </dxf>
    <dxf>
      <font>
        <b val="0"/>
        <i val="0"/>
        <strike val="0"/>
        <condense val="0"/>
        <extend val="0"/>
        <outline val="0"/>
        <shadow val="0"/>
        <u val="none"/>
        <vertAlign val="baseline"/>
        <sz val="11"/>
        <color theme="1"/>
        <name val="Calibri"/>
        <family val="2"/>
        <scheme val="minor"/>
      </font>
      <alignment horizontal="general" vertical="center" textRotation="0" wrapText="1" indent="0" justifyLastLine="0" shrinkToFit="0" readingOrder="0"/>
      <border diagonalUp="0" diagonalDown="0" outline="0">
        <left/>
        <right/>
        <top style="thin">
          <color theme="1"/>
        </top>
        <bottom/>
      </border>
    </dxf>
    <dxf>
      <font>
        <b val="0"/>
        <i val="0"/>
        <strike val="0"/>
        <condense val="0"/>
        <extend val="0"/>
        <outline val="0"/>
        <shadow val="0"/>
        <u val="none"/>
        <vertAlign val="baseline"/>
        <sz val="11"/>
        <color theme="1"/>
        <name val="Calibri"/>
        <family val="2"/>
        <scheme val="minor"/>
      </font>
      <alignment horizontal="general" vertical="center" textRotation="0" wrapText="1" indent="0" justifyLastLine="0" shrinkToFit="0" readingOrder="0"/>
      <border diagonalUp="0" diagonalDown="0" outline="0">
        <left/>
        <right/>
        <top style="thin">
          <color theme="1"/>
        </top>
        <bottom/>
      </border>
    </dxf>
    <dxf>
      <alignment horizontal="general" vertical="center" textRotation="0" wrapText="1" indent="0" justifyLastLine="0" shrinkToFit="0" readingOrder="0"/>
      <border diagonalUp="0" diagonalDown="0">
        <left/>
        <right/>
        <top style="thin">
          <color theme="1"/>
        </top>
        <bottom/>
        <vertical/>
        <horizontal/>
      </border>
    </dxf>
    <dxf>
      <font>
        <b val="0"/>
        <i val="0"/>
        <strike val="0"/>
        <condense val="0"/>
        <extend val="0"/>
        <outline val="0"/>
        <shadow val="0"/>
        <u val="none"/>
        <vertAlign val="baseline"/>
        <sz val="11"/>
        <color theme="1"/>
        <name val="Calibri"/>
        <family val="2"/>
        <scheme val="minor"/>
      </font>
      <alignment horizontal="general" vertical="center" textRotation="0" wrapText="1" indent="0" justifyLastLine="0" shrinkToFit="0" readingOrder="0"/>
      <border diagonalUp="0" diagonalDown="0" outline="0">
        <left/>
        <right/>
        <top style="thin">
          <color theme="1"/>
        </top>
        <bottom/>
      </border>
    </dxf>
    <dxf>
      <font>
        <b val="0"/>
        <i val="0"/>
        <strike val="0"/>
        <condense val="0"/>
        <extend val="0"/>
        <outline val="0"/>
        <shadow val="0"/>
        <u val="none"/>
        <vertAlign val="baseline"/>
        <sz val="11"/>
        <color theme="1"/>
        <name val="Calibri"/>
        <family val="2"/>
        <scheme val="minor"/>
      </font>
      <alignment horizontal="general" vertical="center" textRotation="0" wrapText="1" indent="0" justifyLastLine="0" shrinkToFit="0" readingOrder="0"/>
      <border diagonalUp="0" diagonalDown="0" outline="0">
        <left/>
        <right/>
        <top style="thin">
          <color theme="1"/>
        </top>
        <bottom/>
      </border>
    </dxf>
    <dxf>
      <font>
        <b val="0"/>
        <i val="0"/>
        <strike val="0"/>
        <condense val="0"/>
        <extend val="0"/>
        <outline val="0"/>
        <shadow val="0"/>
        <u val="none"/>
        <vertAlign val="baseline"/>
        <sz val="11"/>
        <color theme="1"/>
        <name val="Calibri"/>
        <family val="2"/>
        <scheme val="minor"/>
      </font>
      <alignment horizontal="general" vertical="center" textRotation="0" wrapText="1" indent="0" justifyLastLine="0" shrinkToFit="0" readingOrder="0"/>
      <border diagonalUp="0" diagonalDown="0" outline="0">
        <left/>
        <right/>
        <top style="thin">
          <color theme="1"/>
        </top>
        <bottom/>
      </border>
    </dxf>
    <dxf>
      <font>
        <b val="0"/>
        <i val="0"/>
        <strike val="0"/>
        <condense val="0"/>
        <extend val="0"/>
        <outline val="0"/>
        <shadow val="0"/>
        <u val="none"/>
        <vertAlign val="baseline"/>
        <sz val="11"/>
        <color theme="1"/>
        <name val="Calibri"/>
        <family val="2"/>
        <scheme val="minor"/>
      </font>
      <alignment horizontal="left" vertical="center" textRotation="0" wrapText="1" indent="0" justifyLastLine="0" shrinkToFit="0" readingOrder="0"/>
      <border diagonalUp="0" diagonalDown="0" outline="0">
        <left/>
        <right/>
        <top style="thin">
          <color theme="1"/>
        </top>
        <bottom/>
      </border>
    </dxf>
    <dxf>
      <font>
        <b val="0"/>
        <i val="0"/>
        <strike val="0"/>
        <condense val="0"/>
        <extend val="0"/>
        <outline val="0"/>
        <shadow val="0"/>
        <u val="none"/>
        <vertAlign val="baseline"/>
        <sz val="11"/>
        <color theme="1"/>
        <name val="Calibri"/>
        <family val="2"/>
        <scheme val="minor"/>
      </font>
      <alignment horizontal="general" vertical="center" textRotation="0" wrapText="1" indent="0" justifyLastLine="0" shrinkToFit="0" readingOrder="0"/>
      <border diagonalUp="0" diagonalDown="0" outline="0">
        <left/>
        <right/>
        <top style="thin">
          <color theme="1"/>
        </top>
        <bottom/>
      </border>
    </dxf>
    <dxf>
      <font>
        <b val="0"/>
        <i val="0"/>
        <strike val="0"/>
        <condense val="0"/>
        <extend val="0"/>
        <outline val="0"/>
        <shadow val="0"/>
        <u val="none"/>
        <vertAlign val="baseline"/>
        <sz val="11"/>
        <color theme="1"/>
        <name val="Calibri"/>
        <family val="2"/>
        <scheme val="minor"/>
      </font>
      <alignment horizontal="general" vertical="center" textRotation="0" wrapText="1" indent="0" justifyLastLine="0" shrinkToFit="0" readingOrder="0"/>
      <border diagonalUp="0" diagonalDown="0" outline="0">
        <left/>
        <right/>
        <top style="thin">
          <color theme="1"/>
        </top>
        <bottom/>
      </border>
    </dxf>
    <dxf>
      <font>
        <b val="0"/>
        <i val="0"/>
        <strike val="0"/>
        <condense val="0"/>
        <extend val="0"/>
        <outline val="0"/>
        <shadow val="0"/>
        <u val="none"/>
        <vertAlign val="baseline"/>
        <sz val="11"/>
        <color theme="1"/>
        <name val="Calibri"/>
        <family val="2"/>
        <scheme val="minor"/>
      </font>
      <alignment horizontal="general" vertical="center" textRotation="0" wrapText="1" indent="0" justifyLastLine="0" shrinkToFit="0" readingOrder="0"/>
      <border diagonalUp="0" diagonalDown="0" outline="0">
        <left/>
        <right/>
        <top style="thin">
          <color theme="1"/>
        </top>
        <bottom/>
      </border>
    </dxf>
    <dxf>
      <font>
        <b val="0"/>
        <i val="0"/>
        <strike val="0"/>
        <condense val="0"/>
        <extend val="0"/>
        <outline val="0"/>
        <shadow val="0"/>
        <u val="none"/>
        <vertAlign val="baseline"/>
        <sz val="11"/>
        <color theme="1"/>
        <name val="Calibri"/>
        <family val="2"/>
        <scheme val="minor"/>
      </font>
      <alignment horizontal="general" vertical="center" textRotation="0" wrapText="1" indent="0" justifyLastLine="0" shrinkToFit="0" readingOrder="0"/>
      <border diagonalUp="0" diagonalDown="0" outline="0">
        <left/>
        <right/>
        <top style="thin">
          <color theme="1"/>
        </top>
        <bottom/>
      </border>
    </dxf>
    <dxf>
      <font>
        <b val="0"/>
        <i val="0"/>
        <strike val="0"/>
        <condense val="0"/>
        <extend val="0"/>
        <outline val="0"/>
        <shadow val="0"/>
        <u val="none"/>
        <vertAlign val="baseline"/>
        <sz val="11"/>
        <color theme="1"/>
        <name val="Calibri"/>
        <family val="2"/>
        <scheme val="minor"/>
      </font>
      <alignment horizontal="general" vertical="center" textRotation="0" wrapText="1" indent="0" justifyLastLine="0" shrinkToFit="0" readingOrder="0"/>
      <border diagonalUp="0" diagonalDown="0" outline="0">
        <left/>
        <right/>
        <top style="thin">
          <color theme="1"/>
        </top>
        <bottom/>
      </border>
    </dxf>
    <dxf>
      <font>
        <b val="0"/>
        <i val="0"/>
        <strike val="0"/>
        <condense val="0"/>
        <extend val="0"/>
        <outline val="0"/>
        <shadow val="0"/>
        <u val="none"/>
        <vertAlign val="baseline"/>
        <sz val="11"/>
        <color theme="1"/>
        <name val="Calibri"/>
        <family val="2"/>
        <scheme val="minor"/>
      </font>
      <alignment horizontal="general" vertical="center" textRotation="0" wrapText="1" indent="0" justifyLastLine="0" shrinkToFit="0" readingOrder="0"/>
      <border diagonalUp="0" diagonalDown="0" outline="0">
        <left/>
        <right/>
        <top style="thin">
          <color theme="1"/>
        </top>
        <bottom/>
      </border>
    </dxf>
    <dxf>
      <font>
        <b val="0"/>
        <i val="0"/>
        <strike val="0"/>
        <condense val="0"/>
        <extend val="0"/>
        <outline val="0"/>
        <shadow val="0"/>
        <u val="none"/>
        <vertAlign val="baseline"/>
        <sz val="11"/>
        <color theme="1"/>
        <name val="Calibri"/>
        <family val="2"/>
        <scheme val="minor"/>
      </font>
      <alignment horizontal="general" vertical="center" textRotation="0" wrapText="1" indent="0" justifyLastLine="0" shrinkToFit="0" readingOrder="0"/>
      <border diagonalUp="0" diagonalDown="0">
        <left/>
        <right/>
        <top style="thin">
          <color theme="1"/>
        </top>
        <bottom/>
        <vertical/>
        <horizontal/>
      </border>
    </dxf>
    <dxf>
      <font>
        <b val="0"/>
        <i val="0"/>
        <strike val="0"/>
        <condense val="0"/>
        <extend val="0"/>
        <outline val="0"/>
        <shadow val="0"/>
        <u val="none"/>
        <vertAlign val="baseline"/>
        <sz val="11"/>
        <color theme="1"/>
        <name val="Calibri"/>
        <family val="2"/>
        <scheme val="minor"/>
      </font>
      <alignment horizontal="general" vertical="center" textRotation="0" wrapText="1" indent="0" justifyLastLine="0" shrinkToFit="0" readingOrder="0"/>
      <border diagonalUp="0" diagonalDown="0" outline="0">
        <left/>
        <right/>
        <top style="thin">
          <color theme="1"/>
        </top>
        <bottom/>
      </border>
    </dxf>
    <dxf>
      <border outline="0">
        <left style="thin">
          <color theme="1"/>
        </left>
        <right style="thin">
          <color theme="1"/>
        </right>
        <top style="thin">
          <color theme="1"/>
        </top>
        <bottom style="thin">
          <color theme="1"/>
        </bottom>
      </border>
    </dxf>
    <dxf>
      <font>
        <b val="0"/>
        <i val="0"/>
        <strike val="0"/>
        <condense val="0"/>
        <extend val="0"/>
        <outline val="0"/>
        <shadow val="0"/>
        <u val="none"/>
        <vertAlign val="baseline"/>
        <sz val="11"/>
        <color theme="1"/>
        <name val="Calibri"/>
        <family val="2"/>
        <scheme val="minor"/>
      </font>
      <alignment horizontal="general" vertical="center" textRotation="0" wrapText="1" indent="0" justifyLastLine="0" shrinkToFit="0" readingOrder="0"/>
    </dxf>
    <dxf>
      <alignment vertical="center" textRotation="0" wrapText="1" indent="0" justifyLastLine="0" shrinkToFit="0" readingOrder="0"/>
    </dxf>
    <dxf>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solid">
          <fgColor indexed="64"/>
          <bgColor rgb="FFFF0000"/>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11"/>
        <color theme="0"/>
        <name val="Arial"/>
        <family val="2"/>
        <scheme val="none"/>
      </font>
      <fill>
        <patternFill patternType="solid">
          <fgColor indexed="64"/>
          <bgColor rgb="FF002F56"/>
        </patternFill>
      </fill>
    </dxf>
    <dxf>
      <alignment horizontal="left" vertical="top" textRotation="0" indent="0" justifyLastLine="0" shrinkToFit="0" readingOrder="0"/>
    </dxf>
    <dxf>
      <alignment horizontal="left" vertical="top" textRotation="0" indent="0" justifyLastLine="0" shrinkToFit="0" readingOrder="0"/>
    </dxf>
    <dxf>
      <alignment horizontal="left" vertical="top" textRotation="0" indent="0" justifyLastLine="0" shrinkToFit="0" readingOrder="0"/>
    </dxf>
    <dxf>
      <alignment horizontal="left" vertical="top" textRotation="0" wrapText="1" indent="0" justifyLastLine="0" shrinkToFit="0" readingOrder="0"/>
    </dxf>
    <dxf>
      <font>
        <b val="0"/>
        <i val="0"/>
        <strike val="0"/>
        <condense val="0"/>
        <extend val="0"/>
        <outline val="0"/>
        <shadow val="0"/>
        <u val="none"/>
        <vertAlign val="baseline"/>
        <sz val="11"/>
        <color rgb="FF000000"/>
        <name val="Calibri"/>
        <scheme val="none"/>
      </font>
      <alignment horizontal="left" vertical="top" textRotation="0" indent="0" justifyLastLine="0" shrinkToFit="0" readingOrder="0"/>
    </dxf>
    <dxf>
      <alignment horizontal="left" vertical="top" textRotation="0" indent="0" justifyLastLine="0" shrinkToFit="0" readingOrder="0"/>
    </dxf>
    <dxf>
      <alignment horizontal="left" vertical="top" textRotation="0" indent="0" justifyLastLine="0" shrinkToFit="0" readingOrder="0"/>
    </dxf>
    <dxf>
      <alignment horizontal="left" vertical="top" textRotation="0" indent="0" justifyLastLine="0" shrinkToFit="0" readingOrder="0"/>
    </dxf>
    <dxf>
      <alignment horizontal="left" vertical="top" textRotation="0" indent="0" justifyLastLine="0" shrinkToFit="0" readingOrder="0"/>
    </dxf>
    <dxf>
      <font>
        <b/>
        <i val="0"/>
        <strike val="0"/>
        <condense val="0"/>
        <extend val="0"/>
        <outline val="0"/>
        <shadow val="0"/>
        <u val="none"/>
        <vertAlign val="baseline"/>
        <sz val="11"/>
        <color theme="0"/>
        <name val="Arial"/>
        <family val="2"/>
        <scheme val="none"/>
      </font>
      <fill>
        <patternFill patternType="solid">
          <fgColor theme="4"/>
          <bgColor rgb="FF002F56"/>
        </patternFill>
      </fill>
      <alignment horizontal="left" vertical="top" textRotation="0" indent="0" justifyLastLine="0" shrinkToFit="0" readingOrder="0"/>
    </dxf>
    <dxf>
      <font>
        <name val="Arial"/>
      </font>
    </dxf>
    <dxf>
      <font>
        <b val="0"/>
        <i val="0"/>
        <strike val="0"/>
        <condense val="0"/>
        <extend val="0"/>
        <outline val="0"/>
        <shadow val="0"/>
        <u val="none"/>
        <vertAlign val="baseline"/>
        <sz val="11"/>
        <color theme="1"/>
        <name val="Arial"/>
        <family val="2"/>
        <scheme val="none"/>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border outline="0">
        <right style="thin">
          <color indexed="64"/>
        </right>
        <top style="thin">
          <color indexed="64"/>
        </top>
        <bottom style="thin">
          <color indexed="64"/>
        </bottom>
      </border>
    </dxf>
    <dxf>
      <border outline="0">
        <bottom style="thin">
          <color indexed="64"/>
        </bottom>
      </border>
    </dxf>
  </dxfs>
  <tableStyles count="0" defaultTableStyle="TableStyleMedium2" defaultPivotStyle="PivotStyleLight16"/>
  <colors>
    <mruColors>
      <color rgb="FF002F5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12</xdr:col>
      <xdr:colOff>1383278</xdr:colOff>
      <xdr:row>0</xdr:row>
      <xdr:rowOff>309833</xdr:rowOff>
    </xdr:from>
    <xdr:ext cx="1688646" cy="1642745"/>
    <xdr:pic>
      <xdr:nvPicPr>
        <xdr:cNvPr id="5" name="Picture 4">
          <a:extLst>
            <a:ext uri="{FF2B5EF4-FFF2-40B4-BE49-F238E27FC236}">
              <a16:creationId xmlns:a16="http://schemas.microsoft.com/office/drawing/2014/main" id="{AB3DAD24-0324-4DDD-A1AA-A45B473BC92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995628" y="309833"/>
          <a:ext cx="1688646" cy="164274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View1" id="{4C9A731D-7544-476E-9A95-A64F0D81C3AF}">
    <nsvFilter filterId="{12E88D1D-501A-43DD-9CE3-A05F26DF583F}" ref="A3:U35" tableId="2">
      <columnFilter colId="3" id="{EEBDD70A-8CF6-4EAF-9DBE-CBF8EAADEF79}">
        <filter colId="3">
          <x:filters>
            <x:filter val="Business Case Approval"/>
            <x:filter val="ITT Published"/>
            <x:filter val="Live Procurement"/>
            <x:filter val="Not Started"/>
            <x:filter val="Pre-Award"/>
          </x:filters>
        </filter>
      </columnFilter>
      <columnFilter colId="4" id="{FD6341DE-FCB6-4397-AF52-D99D1C928AF3}">
        <filter colId="4">
          <x:filters>
            <x:filter val="Central Operations"/>
            <x:filter val="Corporate Development"/>
            <x:filter val="Corporate Services"/>
            <x:filter val="Engineering, Computing &amp; STEP partner"/>
            <x:filter val="Fusion Technology, Tritium Fuel Cycle &amp; Industrial Capability"/>
            <x:filter val="Materials, Blankets &amp; Research Programme"/>
            <x:filter val="Plasmas, Fusion Operations &amp; ITER ops"/>
            <x:filter val="QSHE, Risk &amp; Assurance"/>
            <x:filter val="Robotics, Repurposing &amp; Decommisioning"/>
            <x:filter val="Robotics, Repurposing &amp; Decommissioning"/>
          </x:filters>
        </filter>
      </columnFilter>
    </nsvFilter>
  </namedSheetView>
</namedSheetViews>
</file>

<file path=xl/persons/person.xml><?xml version="1.0" encoding="utf-8"?>
<personList xmlns="http://schemas.microsoft.com/office/spreadsheetml/2018/threadedcomments" xmlns:x="http://schemas.openxmlformats.org/spreadsheetml/2006/main">
  <person displayName="Griffiths, Emma" id="{7ABFC032-C67A-4CF0-83AE-D0A0EF83D877}" userId="S::emma.griffiths@ukaea.uk::f844a815-3eab-41ba-888e-a5cb64c96cc2"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D994D2A2-CDC5-4ED3-B941-AFCAB1D1DB98}" name="Table11" displayName="Table11" ref="L79:N115" totalsRowShown="0" headerRowBorderDxfId="55" tableBorderDxfId="54">
  <autoFilter ref="L79:N115" xr:uid="{D994D2A2-CDC5-4ED3-B941-AFCAB1D1DB98}"/>
  <sortState xmlns:xlrd2="http://schemas.microsoft.com/office/spreadsheetml/2017/richdata2" ref="L80:N115">
    <sortCondition ref="L79:L115"/>
  </sortState>
  <tableColumns count="3">
    <tableColumn id="1" xr3:uid="{6B7CED9E-4511-4376-9156-E0F3979E1D22}" name="Commercial Officer" dataDxfId="53"/>
    <tableColumn id="2" xr3:uid="{EC53FC35-1B7E-44EF-B31B-0428729D094D}" name="Pillar"/>
    <tableColumn id="3" xr3:uid="{116A6939-50CD-4A78-AC13-5A4DC06EEA7B}" name="Contact Email Address" dataDxfId="52"/>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B6ACCFD9-EFD2-48D2-8B92-B7470203362B}" name="Aspirational" displayName="Aspirational" ref="A3:H71" totalsRowShown="0" headerRowDxfId="51" dataDxfId="50">
  <autoFilter ref="A3:H71" xr:uid="{B6ACCFD9-EFD2-48D2-8B92-B7470203362B}"/>
  <tableColumns count="8">
    <tableColumn id="1" xr3:uid="{1D6C2E10-6B5F-409D-AD7F-97A75F1C024B}" name="Business Unit" dataDxfId="49"/>
    <tableColumn id="2" xr3:uid="{403ABCA7-EC6E-4166-BAB7-235BEB6DD4F2}" name="Delivery Area" dataDxfId="48"/>
    <tableColumn id="3" xr3:uid="{6F680B84-AB0E-4BB8-B205-06481B447961}" name="Procurement Officer" dataDxfId="47"/>
    <tableColumn id="4" xr3:uid="{7372D0E8-BE2D-46C0-9A99-243C215313E2}" name="Requirement: Title" dataDxfId="46"/>
    <tableColumn id="5" xr3:uid="{97423CBE-3973-41ED-84D9-534D5F82B880}" name="Requirement: Description " dataDxfId="45"/>
    <tableColumn id="6" xr3:uid="{3C1AF8F9-5ED9-4360-A28B-1FC286325D19}" name="Estimated Value Band" dataDxfId="44"/>
    <tableColumn id="7" xr3:uid="{0D003272-E323-4300-9106-31DBBDEC7480}" name="Potential RFQ Issue Forecast (Financial yearly Quarters)" dataDxfId="43"/>
    <tableColumn id="8" xr3:uid="{AF3AB5B5-5BB5-4E3C-8B33-A65AA71857FD}" name="Has this Progressed to PME, PPN or further?" dataDxfId="42"/>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1366F1FD-3BC4-43DF-A524-ACB5F507A09C}" name="PINS" displayName="PINS" ref="A3:N19" totalsRowShown="0" headerRowDxfId="41">
  <autoFilter ref="A3:N19" xr:uid="{1366F1FD-3BC4-43DF-A524-ACB5F507A09C}"/>
  <tableColumns count="14">
    <tableColumn id="1" xr3:uid="{EE8A4EDC-80F4-496A-A4EE-76216DF8DED5}" name="Tender Reference" dataDxfId="40"/>
    <tableColumn id="2" xr3:uid="{2B913820-F463-46E8-ACF1-309B1B5F2455}" name="Commercial Officer" dataDxfId="39"/>
    <tableColumn id="3" xr3:uid="{6AF27BED-41DB-427F-A23D-B68E0EFC4D29}" name="Business Unit" dataDxfId="38"/>
    <tableColumn id="4" xr3:uid="{1671496D-C5A2-4E88-84F0-B371EC7EFDA5}" name="Delivery Area" dataDxfId="37"/>
    <tableColumn id="5" xr3:uid="{38FC023F-E9B7-4A49-B7FB-DD2E09A82D8E}" name="PME Title" dataDxfId="36"/>
    <tableColumn id="6" xr3:uid="{56DACF62-2D7B-44D1-B779-336756F13541}" name="Information required from Supplier" dataDxfId="35"/>
    <tableColumn id="7" xr3:uid="{A11EB8B1-A47E-478C-8BDC-F5CCAE22B817}" name="Main Capability Area (use CPV Code description)" dataDxfId="34"/>
    <tableColumn id="8" xr3:uid="{F717F59B-921E-4238-9824-D5661BC31A0C}" name=" Predicted Procurement Route" dataDxfId="33"/>
    <tableColumn id="9" xr3:uid="{965E5E83-3658-4673-9FF8-80D65A64685C}" name="Estimated Value Band" dataDxfId="32"/>
    <tableColumn id="10" xr3:uid="{79D33803-EAA4-4718-B17A-86F0FC22B218}" name="RFQ Issue Forecast (Financial Year Quarters)" dataDxfId="31"/>
    <tableColumn id="11" xr3:uid="{C0E36555-52B7-4312-97EB-986C4D1A34F0}" name="Contract Start Date Forecast (Financial Year Quarters- see Guidance)" dataDxfId="30"/>
    <tableColumn id="12" xr3:uid="{C8D079BF-4034-40F1-B464-A70F510666EC}" name="Status Of PME" dataDxfId="29"/>
    <tableColumn id="13" xr3:uid="{4C230BEF-AC53-44D9-8D0D-966057EB45C5}" name="Hyperlink to E-sender (not needed in the case of a framework)" dataDxfId="28" dataCellStyle="Hyperlink"/>
    <tableColumn id="14" xr3:uid="{D7CC0412-7E0D-4020-B4A9-1D02010885DE}" name="EU Supply Reference" dataDxfId="27"/>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12E88D1D-501A-43DD-9CE3-A05F26DF583F}" name="UKAEAProcurementTenders" displayName="UKAEAProcurementTenders" ref="A3:U35" totalsRowShown="0" headerRowDxfId="26" dataDxfId="25" tableBorderDxfId="24">
  <autoFilter ref="A3:U35" xr:uid="{12E88D1D-501A-43DD-9CE3-A05F26DF583F}"/>
  <tableColumns count="21">
    <tableColumn id="1" xr3:uid="{79B739BE-27ED-40A8-9231-99612AD85CDC}" name="Procurement representative" dataDxfId="23"/>
    <tableColumn id="23" xr3:uid="{38AA6E33-8382-4AA6-8F55-B337FD6F732C}" name="Date tender was added" dataDxfId="22"/>
    <tableColumn id="2" xr3:uid="{4B37B110-6755-41E5-AF91-C31FEC4821AA}" name="Tender Reference" dataDxfId="21"/>
    <tableColumn id="3" xr3:uid="{EEBDD70A-8CF6-4EAF-9DBE-CBF8EAADEF79}" name="Procurement Activity Stage" dataDxfId="20"/>
    <tableColumn id="4" xr3:uid="{FD6341DE-FCB6-4397-AF52-D99D1C928AF3}" name="Business Unit" dataDxfId="19"/>
    <tableColumn id="5" xr3:uid="{7AD099B1-3D3C-4EEB-A57C-0276959993AB}" name="Delivery Area" dataDxfId="18"/>
    <tableColumn id="6" xr3:uid="{09C48100-5B8B-4CFD-85CB-D2AB875F9262}" name="CAB Approval" dataDxfId="17"/>
    <tableColumn id="7" xr3:uid="{A4C5521D-75E6-433A-9B25-E08516F7ABC3}" name="Procurement/Contract: Title" dataDxfId="16"/>
    <tableColumn id="8" xr3:uid="{D5B1A03F-A7FE-454A-ADD6-81C02EF22F3A}" name="Brief Description of Scope" dataDxfId="15"/>
    <tableColumn id="9" xr3:uid="{306E04D8-FB5F-4314-B497-E8357471524B}" name="Contract Type" dataDxfId="14"/>
    <tableColumn id="10" xr3:uid="{2938B183-206F-4F8A-8533-F886AA4E59E7}" name="Requirement Type" dataDxfId="13"/>
    <tableColumn id="11" xr3:uid="{D7CF248B-C709-4AE4-99EF-6ED30A55A070}" name="CCS Level 1" dataDxfId="12"/>
    <tableColumn id="26" xr3:uid="{8D80345E-861E-48A4-9B4F-A14413E3A526}" name="Legislation Applied" dataDxfId="11"/>
    <tableColumn id="12" xr3:uid="{2264AC8D-501F-4F58-9875-1F1568CDD0E4}" name="Procurement Route" dataDxfId="10"/>
    <tableColumn id="13" xr3:uid="{8B97ACD2-802B-4074-84A8-86E94D04A38F}" name="Estimated Value Band" dataDxfId="9"/>
    <tableColumn id="14" xr3:uid="{4B6CE1FE-AE1E-4D35-9FA4-6FC17CF2C5F0}" name="Whole Life Value" dataDxfId="8"/>
    <tableColumn id="15" xr3:uid="{C8996000-5FD7-422B-8498-04E0CA2E26DB}" name="Bronze, Silver, Gold tiering (see Guidance Tab)" dataDxfId="7"/>
    <tableColumn id="16" xr3:uid="{8E8AEC51-006D-4A05-9A3F-9FA3292DAF87}" name="RFQ Issue Forecast (do not change once a date has been input)_x000a_(Financial Year Quarters- see Guidance)" dataDxfId="6"/>
    <tableColumn id="18" xr3:uid="{43996215-F48F-48A1-9D55-83E1CFADDC33}" name="Planned Contract Start Date_x000a_(Financial Year Quarters- see Guidance)" dataDxfId="5"/>
    <tableColumn id="19" xr3:uid="{920B90A6-435B-40A7-960B-1E06CD8E6632}" name="Estimated Contract Length Forecast_x000a_" dataDxfId="4"/>
    <tableColumn id="20" xr3:uid="{9D918C85-CFFF-4424-9AEA-2D080126268F}" name="Useful Publication Information" dataDxfId="3"/>
  </tableColumns>
  <tableStyleInfo name="TableStyleMedium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9EC9935-7A0D-4E39-A89C-45437D7C0605}" name="Table12" displayName="Table12" ref="A1:F414" totalsRowShown="0" headerRowDxfId="2">
  <autoFilter ref="A1:F414" xr:uid="{39EC9935-7A0D-4E39-A89C-45437D7C0605}"/>
  <sortState xmlns:xlrd2="http://schemas.microsoft.com/office/spreadsheetml/2017/richdata2" ref="A2:F414">
    <sortCondition ref="E1:E414"/>
  </sortState>
  <tableColumns count="6">
    <tableColumn id="1" xr3:uid="{0A318AF2-5AEB-41A5-9D67-2F3A8A0750F9}" name="Date" dataDxfId="1"/>
    <tableColumn id="2" xr3:uid="{0CD1F79B-49BB-47C5-ABA2-D2AE706A4E6F}" name="Posted date" dataDxfId="0"/>
    <tableColumn id="3" xr3:uid="{1998AC0B-9090-47A2-BE3C-40C70E5DD4C1}" name="Status"/>
    <tableColumn id="4" xr3:uid="{9EB4246C-585B-45C7-AF71-35FF299A7E28}" name="Merchant"/>
    <tableColumn id="5" xr3:uid="{B89AD95F-43D4-429D-AB1B-AC3FD4C8CFA5}" name="Amount"/>
    <tableColumn id="6" xr3:uid="{B80D09DD-3DE6-484B-BD5C-26B778EE1B68}" name="Bank Ref"/>
  </tableColumns>
  <tableStyleInfo name="TableStyleLight8"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P33" dT="2025-07-21T08:37:53.54" personId="{7ABFC032-C67A-4CF0-83AE-D0A0EF83D877}" id="{6559D8DA-D62C-DA48-8AB6-8EF6922F7243}">
    <text xml:space="preserve">Req  1105127 confirmed by LD as £8m 
</text>
  </threadedComment>
</ThreadedComments>
</file>

<file path=xl/worksheets/_rels/sheet1.xml.rels><?xml version="1.0" encoding="UTF-8" standalone="yes"?>
<Relationships xmlns="http://schemas.openxmlformats.org/package/2006/relationships"><Relationship Id="rId13" Type="http://schemas.openxmlformats.org/officeDocument/2006/relationships/hyperlink" Target="mailto:carl.evans@ukaea.uk" TargetMode="External"/><Relationship Id="rId18" Type="http://schemas.openxmlformats.org/officeDocument/2006/relationships/hyperlink" Target="mailto:Jonny.Adams@ukaea.uk" TargetMode="External"/><Relationship Id="rId26" Type="http://schemas.openxmlformats.org/officeDocument/2006/relationships/hyperlink" Target="mailto:Jack.Swindells@ukaea.uk" TargetMode="External"/><Relationship Id="rId21" Type="http://schemas.openxmlformats.org/officeDocument/2006/relationships/hyperlink" Target="mailto:Paul.Raimbach@ukaea.uk" TargetMode="External"/><Relationship Id="rId34" Type="http://schemas.openxmlformats.org/officeDocument/2006/relationships/hyperlink" Target="mailto:James.woods@ukaea.uk" TargetMode="External"/><Relationship Id="rId7" Type="http://schemas.openxmlformats.org/officeDocument/2006/relationships/hyperlink" Target="mailto:emma.davies@ukaea.uk" TargetMode="External"/><Relationship Id="rId12" Type="http://schemas.openxmlformats.org/officeDocument/2006/relationships/hyperlink" Target="mailto:calum.stead@ukaea.uk" TargetMode="External"/><Relationship Id="rId17" Type="http://schemas.openxmlformats.org/officeDocument/2006/relationships/hyperlink" Target="mailto:Emilie.Terry@ukaea.uk" TargetMode="External"/><Relationship Id="rId25" Type="http://schemas.openxmlformats.org/officeDocument/2006/relationships/hyperlink" Target="mailto:Procurement@ukaea.uk" TargetMode="External"/><Relationship Id="rId33" Type="http://schemas.openxmlformats.org/officeDocument/2006/relationships/hyperlink" Target="mailto:ellie.tanner@ukaea.uk" TargetMode="External"/><Relationship Id="rId2" Type="http://schemas.openxmlformats.org/officeDocument/2006/relationships/hyperlink" Target="mailto:maili.nugent@ukaea.uk" TargetMode="External"/><Relationship Id="rId16" Type="http://schemas.openxmlformats.org/officeDocument/2006/relationships/hyperlink" Target="mailto:Jordan.Luker@ukaea.UK" TargetMode="External"/><Relationship Id="rId20" Type="http://schemas.openxmlformats.org/officeDocument/2006/relationships/hyperlink" Target="mailto:Lynda.Parker@ukaea.uk" TargetMode="External"/><Relationship Id="rId29" Type="http://schemas.openxmlformats.org/officeDocument/2006/relationships/hyperlink" Target="mailto:Emma.Griffiths@ukaea.uk" TargetMode="External"/><Relationship Id="rId1" Type="http://schemas.openxmlformats.org/officeDocument/2006/relationships/hyperlink" Target="mailto:anthony.stratton%40ukaea.uk" TargetMode="External"/><Relationship Id="rId6" Type="http://schemas.openxmlformats.org/officeDocument/2006/relationships/hyperlink" Target="mailto:vincent.tsang@ukaea.uk" TargetMode="External"/><Relationship Id="rId11" Type="http://schemas.openxmlformats.org/officeDocument/2006/relationships/hyperlink" Target="mailto:colette.broadwith@ukaea.uk" TargetMode="External"/><Relationship Id="rId24" Type="http://schemas.openxmlformats.org/officeDocument/2006/relationships/hyperlink" Target="mailto:guy.wells%40ukaea.uk" TargetMode="External"/><Relationship Id="rId32" Type="http://schemas.openxmlformats.org/officeDocument/2006/relationships/hyperlink" Target="mailto:zed.shoop@ukaea.uk" TargetMode="External"/><Relationship Id="rId37" Type="http://schemas.openxmlformats.org/officeDocument/2006/relationships/table" Target="../tables/table1.xml"/><Relationship Id="rId5" Type="http://schemas.openxmlformats.org/officeDocument/2006/relationships/hyperlink" Target="mailto:robert.franklin@ukaea.uk" TargetMode="External"/><Relationship Id="rId15" Type="http://schemas.openxmlformats.org/officeDocument/2006/relationships/hyperlink" Target="mailto:Jane.Lubbock@ukaea.uk" TargetMode="External"/><Relationship Id="rId23" Type="http://schemas.openxmlformats.org/officeDocument/2006/relationships/hyperlink" Target="mailto:Steve.Booker@ukaea.uk" TargetMode="External"/><Relationship Id="rId28" Type="http://schemas.openxmlformats.org/officeDocument/2006/relationships/hyperlink" Target="mailto:Tony.Morris@ukaea.uk" TargetMode="External"/><Relationship Id="rId36" Type="http://schemas.openxmlformats.org/officeDocument/2006/relationships/drawing" Target="../drawings/drawing1.xml"/><Relationship Id="rId10" Type="http://schemas.openxmlformats.org/officeDocument/2006/relationships/hyperlink" Target="mailto:matt.burton@ukaea.uk" TargetMode="External"/><Relationship Id="rId19" Type="http://schemas.openxmlformats.org/officeDocument/2006/relationships/hyperlink" Target="mailto:Emily.Akehurst@ukaea.uk" TargetMode="External"/><Relationship Id="rId31" Type="http://schemas.openxmlformats.org/officeDocument/2006/relationships/hyperlink" Target="mailto:alfy.nsamba@ukaea.uk" TargetMode="External"/><Relationship Id="rId4" Type="http://schemas.openxmlformats.org/officeDocument/2006/relationships/hyperlink" Target="mailto:phil.perkins%40ukaea.uk" TargetMode="External"/><Relationship Id="rId9" Type="http://schemas.openxmlformats.org/officeDocument/2006/relationships/hyperlink" Target="mailto:Phillip.O'Hagan@ukaea.uk" TargetMode="External"/><Relationship Id="rId14" Type="http://schemas.openxmlformats.org/officeDocument/2006/relationships/hyperlink" Target="mailto:charlotte.byrne@ukaea.uk" TargetMode="External"/><Relationship Id="rId22" Type="http://schemas.openxmlformats.org/officeDocument/2006/relationships/hyperlink" Target="mailto:Emma.Liddle@ukaea.uk" TargetMode="External"/><Relationship Id="rId27" Type="http://schemas.openxmlformats.org/officeDocument/2006/relationships/hyperlink" Target="mailto:Sandie.Brown@ukaea.uk" TargetMode="External"/><Relationship Id="rId30" Type="http://schemas.openxmlformats.org/officeDocument/2006/relationships/hyperlink" Target="mailto:eirini.varsamou@ukaea.uk" TargetMode="External"/><Relationship Id="rId35" Type="http://schemas.openxmlformats.org/officeDocument/2006/relationships/printerSettings" Target="../printerSettings/printerSettings1.bin"/><Relationship Id="rId8" Type="http://schemas.openxmlformats.org/officeDocument/2006/relationships/hyperlink" Target="mailto:ioanna.bampatsia@ukaea.uk" TargetMode="External"/><Relationship Id="rId3" Type="http://schemas.openxmlformats.org/officeDocument/2006/relationships/hyperlink" Target="mailto:nicola.adams%40ukaea.uk"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vmlDrawing" Target="../drawings/vmlDrawing1.vml"/><Relationship Id="rId1" Type="http://schemas.openxmlformats.org/officeDocument/2006/relationships/printerSettings" Target="../printerSettings/printerSettings4.bin"/><Relationship Id="rId6" Type="http://schemas.microsoft.com/office/2019/04/relationships/namedSheetView" Target="../namedSheetViews/namedSheetView1.xml"/><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1" Type="http://schemas.openxmlformats.org/officeDocument/2006/relationships/table" Target="../tables/table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E91FBD-86E6-4C61-A1AC-4083C3A6EAB4}">
  <sheetPr codeName="Sheet4">
    <tabColor theme="9"/>
  </sheetPr>
  <dimension ref="A1:W115"/>
  <sheetViews>
    <sheetView topLeftCell="I1" zoomScale="57" zoomScaleNormal="102" workbookViewId="0">
      <selection activeCell="O5" sqref="O5"/>
    </sheetView>
  </sheetViews>
  <sheetFormatPr defaultColWidth="8.7109375" defaultRowHeight="14.25"/>
  <cols>
    <col min="1" max="2" width="19.42578125" style="58" customWidth="1"/>
    <col min="3" max="3" width="18.42578125" style="58" bestFit="1" customWidth="1"/>
    <col min="4" max="4" width="35" style="58" customWidth="1"/>
    <col min="5" max="5" width="21.42578125" style="58" customWidth="1"/>
    <col min="6" max="6" width="32.42578125" style="58" bestFit="1" customWidth="1"/>
    <col min="7" max="7" width="41.42578125" style="51" customWidth="1"/>
    <col min="8" max="8" width="37" style="51" bestFit="1" customWidth="1"/>
    <col min="9" max="9" width="41.42578125" style="58" bestFit="1" customWidth="1"/>
    <col min="10" max="10" width="36.42578125" style="58" bestFit="1" customWidth="1"/>
    <col min="11" max="11" width="36.42578125" style="58" customWidth="1"/>
    <col min="12" max="12" width="55.42578125" style="58" bestFit="1" customWidth="1"/>
    <col min="13" max="13" width="67.42578125" style="58" bestFit="1" customWidth="1"/>
    <col min="14" max="14" width="49.42578125" style="58" bestFit="1" customWidth="1"/>
    <col min="15" max="15" width="34.42578125" style="58" bestFit="1" customWidth="1"/>
    <col min="16" max="16" width="53" style="58" bestFit="1" customWidth="1"/>
    <col min="17" max="17" width="52.42578125" style="58" bestFit="1" customWidth="1"/>
    <col min="18" max="18" width="53" style="58" bestFit="1" customWidth="1"/>
    <col min="19" max="19" width="47.42578125" style="58" bestFit="1" customWidth="1"/>
    <col min="20" max="20" width="47.42578125" style="58" customWidth="1"/>
    <col min="21" max="21" width="24.42578125" style="58" bestFit="1" customWidth="1"/>
    <col min="22" max="22" width="23.42578125" style="58" customWidth="1"/>
    <col min="23" max="23" width="25.42578125" style="58" customWidth="1"/>
    <col min="24" max="16384" width="8.7109375" style="58"/>
  </cols>
  <sheetData>
    <row r="1" spans="1:23" ht="366.6" customHeight="1">
      <c r="A1" s="150" t="s">
        <v>96</v>
      </c>
      <c r="B1" s="151"/>
      <c r="C1" s="151"/>
      <c r="D1" s="151"/>
      <c r="E1" s="151"/>
      <c r="F1" s="151"/>
      <c r="G1" s="151"/>
      <c r="H1" s="151"/>
      <c r="I1" s="151"/>
      <c r="J1" s="151"/>
      <c r="K1" s="151"/>
      <c r="L1" s="151"/>
      <c r="M1" s="151"/>
      <c r="N1" s="151"/>
      <c r="O1" s="151"/>
      <c r="P1" s="151"/>
      <c r="Q1" s="151"/>
      <c r="R1" s="151"/>
      <c r="S1" s="151"/>
      <c r="T1" s="151"/>
      <c r="U1" s="151"/>
      <c r="V1" s="152"/>
    </row>
    <row r="2" spans="1:23">
      <c r="A2" s="155"/>
      <c r="B2" s="156"/>
      <c r="C2" s="156"/>
      <c r="D2" s="156"/>
      <c r="E2" s="156"/>
      <c r="F2" s="156"/>
      <c r="G2" s="156"/>
      <c r="H2" s="156"/>
      <c r="I2" s="156"/>
      <c r="J2" s="156"/>
      <c r="K2" s="156"/>
      <c r="L2" s="156"/>
      <c r="M2" s="156"/>
      <c r="N2" s="157"/>
    </row>
    <row r="3" spans="1:23" ht="25.5" customHeight="1">
      <c r="A3" s="143" t="s">
        <v>97</v>
      </c>
      <c r="B3" s="144"/>
      <c r="C3" s="144"/>
      <c r="D3" s="144"/>
      <c r="E3" s="144"/>
      <c r="F3" s="144"/>
      <c r="G3" s="144"/>
      <c r="H3" s="144"/>
      <c r="I3" s="144"/>
      <c r="J3" s="144"/>
      <c r="K3" s="144"/>
      <c r="L3" s="144"/>
      <c r="M3" s="144"/>
      <c r="N3" s="144"/>
      <c r="O3" s="144"/>
      <c r="P3" s="144"/>
      <c r="Q3" s="144"/>
      <c r="R3" s="144"/>
      <c r="S3" s="144"/>
      <c r="T3" s="144"/>
      <c r="U3" s="144"/>
      <c r="V3" s="144"/>
    </row>
    <row r="4" spans="1:23" ht="23.25" customHeight="1">
      <c r="K4" s="59" t="s">
        <v>98</v>
      </c>
      <c r="L4" s="59" t="s">
        <v>99</v>
      </c>
      <c r="M4" s="59" t="s">
        <v>100</v>
      </c>
      <c r="N4" s="59" t="s">
        <v>101</v>
      </c>
    </row>
    <row r="5" spans="1:23" ht="159" customHeight="1">
      <c r="K5" s="48" t="s">
        <v>102</v>
      </c>
      <c r="L5" s="48" t="s">
        <v>103</v>
      </c>
      <c r="M5" s="48" t="s">
        <v>104</v>
      </c>
      <c r="N5" s="57" t="s">
        <v>105</v>
      </c>
    </row>
    <row r="6" spans="1:23" ht="28.35" customHeight="1">
      <c r="A6" s="143" t="s">
        <v>106</v>
      </c>
      <c r="B6" s="144"/>
      <c r="C6" s="144"/>
      <c r="D6" s="144"/>
      <c r="E6" s="144"/>
      <c r="F6" s="144"/>
      <c r="G6" s="144"/>
      <c r="H6" s="144"/>
      <c r="I6" s="144"/>
      <c r="J6" s="144"/>
      <c r="K6" s="144"/>
      <c r="L6" s="144"/>
      <c r="M6" s="144"/>
      <c r="N6" s="144"/>
      <c r="O6" s="144"/>
      <c r="P6" s="144"/>
      <c r="Q6" s="144"/>
      <c r="R6" s="144"/>
      <c r="S6" s="144"/>
      <c r="T6" s="144"/>
      <c r="U6" s="144"/>
      <c r="V6" s="144"/>
    </row>
    <row r="7" spans="1:23" ht="28.35" customHeight="1">
      <c r="A7" s="143" t="s">
        <v>107</v>
      </c>
      <c r="B7" s="144"/>
      <c r="C7" s="144"/>
      <c r="D7" s="144"/>
      <c r="E7" s="144"/>
      <c r="F7" s="144"/>
      <c r="G7" s="144"/>
      <c r="H7" s="144"/>
      <c r="I7" s="144"/>
      <c r="J7" s="144"/>
      <c r="K7" s="144"/>
      <c r="L7" s="144"/>
      <c r="M7" s="144"/>
      <c r="N7" s="144"/>
      <c r="O7" s="144"/>
      <c r="P7" s="144"/>
      <c r="Q7" s="144"/>
      <c r="R7" s="144"/>
      <c r="S7" s="144"/>
      <c r="T7" s="144"/>
      <c r="U7" s="144"/>
      <c r="V7" s="144"/>
    </row>
    <row r="8" spans="1:23" s="60" customFormat="1" ht="30">
      <c r="J8" s="59" t="s">
        <v>80</v>
      </c>
      <c r="K8" s="59" t="s">
        <v>81</v>
      </c>
      <c r="L8" s="59" t="s">
        <v>108</v>
      </c>
      <c r="M8" s="59" t="s">
        <v>109</v>
      </c>
      <c r="N8" s="59" t="s">
        <v>110</v>
      </c>
      <c r="O8" s="59" t="s">
        <v>89</v>
      </c>
      <c r="P8" s="59" t="s">
        <v>111</v>
      </c>
    </row>
    <row r="9" spans="1:23" s="51" customFormat="1" ht="42.75">
      <c r="J9" s="48" t="s">
        <v>112</v>
      </c>
      <c r="K9" s="48" t="s">
        <v>113</v>
      </c>
      <c r="L9" s="48" t="s">
        <v>114</v>
      </c>
      <c r="M9" s="48" t="s">
        <v>115</v>
      </c>
      <c r="N9" s="48" t="s">
        <v>116</v>
      </c>
      <c r="O9" s="48" t="s">
        <v>117</v>
      </c>
      <c r="P9" s="50" t="s">
        <v>118</v>
      </c>
    </row>
    <row r="10" spans="1:23" s="51" customFormat="1" ht="61.5" customHeight="1">
      <c r="P10" s="48" t="s">
        <v>119</v>
      </c>
    </row>
    <row r="11" spans="1:23" ht="24.6" customHeight="1">
      <c r="A11" s="143" t="s">
        <v>1110</v>
      </c>
      <c r="B11" s="144"/>
      <c r="C11" s="144"/>
      <c r="D11" s="144"/>
      <c r="E11" s="144"/>
      <c r="F11" s="144"/>
      <c r="G11" s="144"/>
      <c r="H11" s="144"/>
      <c r="I11" s="144"/>
      <c r="J11" s="144"/>
      <c r="K11" s="144"/>
      <c r="L11" s="144"/>
      <c r="M11" s="144"/>
      <c r="N11" s="144"/>
      <c r="O11" s="144"/>
      <c r="P11" s="144"/>
      <c r="Q11" s="144"/>
      <c r="R11" s="144"/>
      <c r="S11" s="144"/>
      <c r="T11" s="144"/>
      <c r="U11" s="144"/>
      <c r="V11" s="144"/>
    </row>
    <row r="12" spans="1:23" ht="62.25" customHeight="1">
      <c r="F12" s="88"/>
      <c r="G12" s="59" t="s">
        <v>78</v>
      </c>
      <c r="H12" s="59" t="s">
        <v>108</v>
      </c>
      <c r="I12" s="59" t="s">
        <v>80</v>
      </c>
      <c r="J12" s="59" t="s">
        <v>81</v>
      </c>
      <c r="K12" s="59" t="s">
        <v>120</v>
      </c>
      <c r="L12" s="59" t="s">
        <v>121</v>
      </c>
      <c r="M12" s="59" t="s">
        <v>122</v>
      </c>
      <c r="N12" s="59" t="s">
        <v>123</v>
      </c>
      <c r="O12" s="59" t="s">
        <v>89</v>
      </c>
      <c r="P12" s="59" t="s">
        <v>124</v>
      </c>
      <c r="Q12" s="59" t="s">
        <v>125</v>
      </c>
      <c r="R12" s="59" t="s">
        <v>126</v>
      </c>
      <c r="S12" s="59" t="s">
        <v>127</v>
      </c>
    </row>
    <row r="13" spans="1:23" ht="57">
      <c r="F13" s="48"/>
      <c r="G13" s="48" t="s">
        <v>128</v>
      </c>
      <c r="H13" s="48" t="s">
        <v>129</v>
      </c>
      <c r="I13" s="48" t="s">
        <v>112</v>
      </c>
      <c r="J13" s="48" t="s">
        <v>113</v>
      </c>
      <c r="K13" s="48" t="s">
        <v>130</v>
      </c>
      <c r="L13" s="48" t="s">
        <v>131</v>
      </c>
      <c r="M13" s="48" t="s">
        <v>132</v>
      </c>
      <c r="N13" s="48" t="s">
        <v>133</v>
      </c>
      <c r="O13" s="48" t="s">
        <v>117</v>
      </c>
      <c r="P13" s="48" t="s">
        <v>134</v>
      </c>
      <c r="Q13" s="48" t="s">
        <v>135</v>
      </c>
      <c r="R13" s="48" t="s">
        <v>136</v>
      </c>
      <c r="S13" s="48" t="s">
        <v>137</v>
      </c>
      <c r="T13" s="51"/>
    </row>
    <row r="14" spans="1:23" ht="62.25" customHeight="1">
      <c r="P14" s="158" t="s">
        <v>119</v>
      </c>
      <c r="Q14" s="158"/>
    </row>
    <row r="15" spans="1:23" ht="24.6" customHeight="1">
      <c r="A15" s="161" t="s">
        <v>1111</v>
      </c>
      <c r="B15" s="162"/>
      <c r="C15" s="162"/>
      <c r="D15" s="162"/>
      <c r="E15" s="162"/>
      <c r="F15" s="162"/>
      <c r="G15" s="162"/>
      <c r="H15" s="162"/>
      <c r="I15" s="162"/>
      <c r="J15" s="162"/>
      <c r="K15" s="162"/>
      <c r="L15" s="162"/>
      <c r="M15" s="162"/>
      <c r="N15" s="162"/>
      <c r="O15" s="162"/>
      <c r="P15" s="162"/>
      <c r="Q15" s="162"/>
      <c r="R15" s="162"/>
      <c r="S15" s="162"/>
      <c r="T15" s="162"/>
      <c r="U15" s="162"/>
      <c r="V15" s="162"/>
      <c r="W15" s="162"/>
    </row>
    <row r="16" spans="1:23" ht="45">
      <c r="A16" s="59" t="s">
        <v>108</v>
      </c>
      <c r="B16" s="59" t="s">
        <v>138</v>
      </c>
      <c r="C16" s="59" t="s">
        <v>78</v>
      </c>
      <c r="D16" s="59" t="s">
        <v>139</v>
      </c>
      <c r="E16" s="59" t="s">
        <v>80</v>
      </c>
      <c r="F16" s="59" t="s">
        <v>81</v>
      </c>
      <c r="G16" s="59" t="s">
        <v>82</v>
      </c>
      <c r="H16" s="59" t="s">
        <v>140</v>
      </c>
      <c r="I16" s="59" t="s">
        <v>84</v>
      </c>
      <c r="J16" s="59" t="s">
        <v>85</v>
      </c>
      <c r="K16" s="59" t="s">
        <v>86</v>
      </c>
      <c r="L16" s="59" t="s">
        <v>87</v>
      </c>
      <c r="M16" s="59" t="s">
        <v>141</v>
      </c>
      <c r="N16" s="59" t="s">
        <v>142</v>
      </c>
      <c r="O16" s="59" t="s">
        <v>89</v>
      </c>
      <c r="P16" s="61" t="s">
        <v>143</v>
      </c>
      <c r="Q16" s="59" t="s">
        <v>144</v>
      </c>
      <c r="R16" s="59" t="s">
        <v>145</v>
      </c>
      <c r="S16" s="59" t="s">
        <v>146</v>
      </c>
      <c r="T16" s="59" t="s">
        <v>147</v>
      </c>
      <c r="U16" s="59" t="s">
        <v>94</v>
      </c>
      <c r="V16" s="59" t="s">
        <v>95</v>
      </c>
    </row>
    <row r="17" spans="1:23" ht="114">
      <c r="A17" s="48" t="s">
        <v>129</v>
      </c>
      <c r="B17" s="48" t="s">
        <v>148</v>
      </c>
      <c r="C17" s="48" t="s">
        <v>128</v>
      </c>
      <c r="D17" s="48" t="s">
        <v>149</v>
      </c>
      <c r="E17" s="48" t="s">
        <v>112</v>
      </c>
      <c r="F17" s="48" t="s">
        <v>113</v>
      </c>
      <c r="G17" s="48" t="s">
        <v>150</v>
      </c>
      <c r="H17" s="48" t="s">
        <v>151</v>
      </c>
      <c r="I17" s="48" t="s">
        <v>152</v>
      </c>
      <c r="J17" s="48" t="s">
        <v>153</v>
      </c>
      <c r="K17" s="48" t="s">
        <v>154</v>
      </c>
      <c r="L17" s="48" t="s">
        <v>155</v>
      </c>
      <c r="M17" s="48" t="s">
        <v>156</v>
      </c>
      <c r="N17" s="48" t="s">
        <v>157</v>
      </c>
      <c r="O17" s="48" t="s">
        <v>117</v>
      </c>
      <c r="P17" s="48" t="s">
        <v>158</v>
      </c>
      <c r="Q17" s="48" t="s">
        <v>159</v>
      </c>
      <c r="R17" s="57" t="s">
        <v>160</v>
      </c>
      <c r="S17" s="57" t="s">
        <v>161</v>
      </c>
      <c r="T17" s="48" t="s">
        <v>162</v>
      </c>
      <c r="U17" s="48" t="s">
        <v>163</v>
      </c>
      <c r="V17" s="48" t="s">
        <v>164</v>
      </c>
    </row>
    <row r="18" spans="1:23" ht="57" customHeight="1">
      <c r="A18" s="51"/>
      <c r="B18" s="51"/>
      <c r="C18" s="51"/>
      <c r="D18" s="51"/>
      <c r="E18" s="51"/>
      <c r="F18" s="51"/>
      <c r="I18" s="51"/>
      <c r="J18" s="51"/>
      <c r="K18" s="51"/>
      <c r="L18" s="51"/>
      <c r="M18" s="51"/>
      <c r="N18" s="51"/>
      <c r="O18" s="51"/>
      <c r="R18" s="159" t="s">
        <v>119</v>
      </c>
      <c r="S18" s="160"/>
      <c r="T18" s="51"/>
      <c r="U18" s="51"/>
      <c r="V18" s="89"/>
    </row>
    <row r="19" spans="1:23" ht="28.35" customHeight="1">
      <c r="A19" s="153" t="s">
        <v>166</v>
      </c>
      <c r="B19" s="154"/>
      <c r="C19" s="154"/>
      <c r="D19" s="154"/>
      <c r="E19" s="154"/>
      <c r="F19" s="154"/>
      <c r="G19" s="154"/>
      <c r="H19" s="154"/>
      <c r="I19" s="154"/>
      <c r="J19" s="154"/>
      <c r="K19" s="154"/>
      <c r="L19" s="154"/>
      <c r="M19" s="154"/>
      <c r="N19" s="154"/>
      <c r="O19" s="154"/>
      <c r="P19" s="154"/>
      <c r="Q19" s="154"/>
      <c r="R19" s="154"/>
      <c r="S19" s="154"/>
      <c r="T19" s="154"/>
      <c r="U19" s="154"/>
      <c r="V19" s="154"/>
      <c r="W19" s="154"/>
    </row>
    <row r="20" spans="1:23" s="51" customFormat="1" ht="17.100000000000001" customHeight="1"/>
    <row r="21" spans="1:23" s="51" customFormat="1" ht="15.75" thickBot="1">
      <c r="L21" s="62" t="s">
        <v>167</v>
      </c>
      <c r="M21" s="62" t="s">
        <v>168</v>
      </c>
      <c r="N21" s="62" t="s">
        <v>169</v>
      </c>
    </row>
    <row r="22" spans="1:23" s="51" customFormat="1" ht="15" thickTop="1">
      <c r="L22" s="139" t="s">
        <v>170</v>
      </c>
      <c r="M22" s="64" t="s">
        <v>171</v>
      </c>
      <c r="N22" s="136" t="s">
        <v>172</v>
      </c>
    </row>
    <row r="23" spans="1:23" s="51" customFormat="1">
      <c r="L23" s="140"/>
      <c r="M23" s="48" t="s">
        <v>173</v>
      </c>
      <c r="N23" s="137"/>
    </row>
    <row r="24" spans="1:23" s="51" customFormat="1" ht="15" thickBot="1">
      <c r="L24" s="145"/>
      <c r="M24" s="65" t="s">
        <v>174</v>
      </c>
      <c r="N24" s="138"/>
    </row>
    <row r="25" spans="1:23" s="51" customFormat="1">
      <c r="L25" s="146" t="s">
        <v>1109</v>
      </c>
      <c r="M25" s="49" t="s">
        <v>175</v>
      </c>
      <c r="N25" s="149" t="s">
        <v>176</v>
      </c>
      <c r="O25" s="70"/>
    </row>
    <row r="26" spans="1:23" s="51" customFormat="1">
      <c r="L26" s="140"/>
      <c r="M26" s="48" t="s">
        <v>177</v>
      </c>
      <c r="N26" s="137"/>
    </row>
    <row r="27" spans="1:23" s="51" customFormat="1">
      <c r="L27" s="140"/>
      <c r="M27" s="48" t="s">
        <v>178</v>
      </c>
      <c r="N27" s="137"/>
    </row>
    <row r="28" spans="1:23" s="51" customFormat="1">
      <c r="L28" s="140"/>
      <c r="M28" s="48" t="s">
        <v>179</v>
      </c>
      <c r="N28" s="137"/>
    </row>
    <row r="29" spans="1:23" s="51" customFormat="1" ht="15" thickBot="1">
      <c r="L29" s="141"/>
      <c r="M29" s="50" t="s">
        <v>180</v>
      </c>
      <c r="N29" s="138"/>
    </row>
    <row r="30" spans="1:23" s="51" customFormat="1" ht="15" thickTop="1">
      <c r="L30" s="147" t="s">
        <v>181</v>
      </c>
      <c r="M30" s="64" t="s">
        <v>182</v>
      </c>
      <c r="N30" s="136" t="s">
        <v>183</v>
      </c>
    </row>
    <row r="31" spans="1:23" s="51" customFormat="1">
      <c r="L31" s="140"/>
      <c r="M31" s="48" t="s">
        <v>184</v>
      </c>
      <c r="N31" s="137"/>
    </row>
    <row r="32" spans="1:23" s="51" customFormat="1">
      <c r="L32" s="140"/>
      <c r="M32" s="48" t="s">
        <v>185</v>
      </c>
      <c r="N32" s="137"/>
    </row>
    <row r="33" spans="4:14" s="51" customFormat="1" ht="15" thickBot="1">
      <c r="L33" s="141"/>
      <c r="M33" s="65" t="s">
        <v>186</v>
      </c>
      <c r="N33" s="138"/>
    </row>
    <row r="34" spans="4:14" s="51" customFormat="1" ht="15" thickTop="1">
      <c r="L34" s="139" t="s">
        <v>187</v>
      </c>
      <c r="M34" s="49" t="s">
        <v>188</v>
      </c>
      <c r="N34" s="136" t="s">
        <v>189</v>
      </c>
    </row>
    <row r="35" spans="4:14" s="51" customFormat="1">
      <c r="L35" s="140"/>
      <c r="M35" s="48" t="s">
        <v>190</v>
      </c>
      <c r="N35" s="137"/>
    </row>
    <row r="36" spans="4:14" s="51" customFormat="1">
      <c r="L36" s="140"/>
      <c r="M36" s="48" t="s">
        <v>191</v>
      </c>
      <c r="N36" s="137"/>
    </row>
    <row r="37" spans="4:14" s="51" customFormat="1">
      <c r="L37" s="140"/>
      <c r="M37" s="48" t="s">
        <v>62</v>
      </c>
      <c r="N37" s="137"/>
    </row>
    <row r="38" spans="4:14" ht="15.75" thickBot="1">
      <c r="D38" s="63"/>
      <c r="L38" s="141"/>
      <c r="M38" s="65" t="s">
        <v>192</v>
      </c>
      <c r="N38" s="138"/>
    </row>
    <row r="39" spans="4:14" ht="15" thickTop="1">
      <c r="F39" s="51"/>
      <c r="L39" s="139" t="s">
        <v>193</v>
      </c>
      <c r="M39" s="49" t="s">
        <v>194</v>
      </c>
      <c r="N39" s="136" t="s">
        <v>195</v>
      </c>
    </row>
    <row r="40" spans="4:14">
      <c r="F40" s="51"/>
      <c r="L40" s="140"/>
      <c r="M40" s="48" t="s">
        <v>196</v>
      </c>
      <c r="N40" s="137"/>
    </row>
    <row r="41" spans="4:14" ht="15" thickBot="1">
      <c r="F41" s="51"/>
      <c r="L41" s="141"/>
      <c r="M41" s="65" t="s">
        <v>197</v>
      </c>
      <c r="N41" s="138"/>
    </row>
    <row r="42" spans="4:14" ht="28.5" customHeight="1" thickTop="1">
      <c r="L42" s="139" t="s">
        <v>198</v>
      </c>
      <c r="M42" s="49" t="s">
        <v>199</v>
      </c>
      <c r="N42" s="136" t="s">
        <v>200</v>
      </c>
    </row>
    <row r="43" spans="4:14">
      <c r="F43" s="51"/>
      <c r="L43" s="140"/>
      <c r="M43" s="48" t="s">
        <v>201</v>
      </c>
      <c r="N43" s="137"/>
    </row>
    <row r="44" spans="4:14" ht="15" thickBot="1">
      <c r="F44" s="51"/>
      <c r="L44" s="141"/>
      <c r="M44" s="50" t="s">
        <v>77</v>
      </c>
      <c r="N44" s="138"/>
    </row>
    <row r="45" spans="4:14" ht="15" thickTop="1">
      <c r="L45" s="139" t="s">
        <v>202</v>
      </c>
      <c r="M45" s="64" t="s">
        <v>203</v>
      </c>
      <c r="N45" s="136" t="s">
        <v>204</v>
      </c>
    </row>
    <row r="46" spans="4:14">
      <c r="L46" s="140"/>
      <c r="M46" s="48" t="s">
        <v>68</v>
      </c>
      <c r="N46" s="137"/>
    </row>
    <row r="47" spans="4:14">
      <c r="L47" s="140"/>
      <c r="M47" s="48" t="s">
        <v>205</v>
      </c>
      <c r="N47" s="137"/>
    </row>
    <row r="48" spans="4:14">
      <c r="L48" s="140"/>
      <c r="M48" s="48" t="s">
        <v>206</v>
      </c>
      <c r="N48" s="137"/>
    </row>
    <row r="49" spans="12:14">
      <c r="L49" s="140"/>
      <c r="M49" s="50" t="s">
        <v>207</v>
      </c>
      <c r="N49" s="137"/>
    </row>
    <row r="50" spans="12:14">
      <c r="L50" s="140"/>
      <c r="M50" s="48" t="s">
        <v>28</v>
      </c>
      <c r="N50" s="137"/>
    </row>
    <row r="51" spans="12:14">
      <c r="L51" s="140"/>
      <c r="M51" s="48" t="s">
        <v>59</v>
      </c>
      <c r="N51" s="137"/>
    </row>
    <row r="52" spans="12:14">
      <c r="L52" s="140"/>
      <c r="M52" s="48" t="s">
        <v>16</v>
      </c>
      <c r="N52" s="137"/>
    </row>
    <row r="53" spans="12:14">
      <c r="L53" s="140"/>
      <c r="M53" s="48" t="s">
        <v>208</v>
      </c>
      <c r="N53" s="137"/>
    </row>
    <row r="54" spans="12:14">
      <c r="L54" s="148"/>
      <c r="M54" s="50" t="s">
        <v>209</v>
      </c>
      <c r="N54" s="142"/>
    </row>
    <row r="55" spans="12:14" ht="15" thickBot="1">
      <c r="L55" s="141"/>
      <c r="M55" s="50" t="s">
        <v>71</v>
      </c>
      <c r="N55" s="138"/>
    </row>
    <row r="56" spans="12:14" ht="15" thickTop="1">
      <c r="L56" s="139" t="s">
        <v>210</v>
      </c>
      <c r="M56" s="64" t="s">
        <v>211</v>
      </c>
      <c r="N56" s="136" t="s">
        <v>212</v>
      </c>
    </row>
    <row r="57" spans="12:14" ht="28.5" customHeight="1">
      <c r="L57" s="140"/>
      <c r="M57" s="48" t="s">
        <v>213</v>
      </c>
      <c r="N57" s="137"/>
    </row>
    <row r="58" spans="12:14" ht="30" customHeight="1">
      <c r="L58" s="140"/>
      <c r="M58" s="48" t="s">
        <v>214</v>
      </c>
      <c r="N58" s="137"/>
    </row>
    <row r="59" spans="12:14">
      <c r="L59" s="140"/>
      <c r="M59" s="48" t="s">
        <v>215</v>
      </c>
      <c r="N59" s="137"/>
    </row>
    <row r="60" spans="12:14" ht="15" thickBot="1">
      <c r="L60" s="141"/>
      <c r="M60" s="50" t="s">
        <v>216</v>
      </c>
      <c r="N60" s="138"/>
    </row>
    <row r="61" spans="12:14" ht="15" thickTop="1">
      <c r="L61" s="139" t="s">
        <v>217</v>
      </c>
      <c r="M61" s="64" t="s">
        <v>218</v>
      </c>
      <c r="N61" s="136" t="s">
        <v>219</v>
      </c>
    </row>
    <row r="62" spans="12:14">
      <c r="L62" s="140"/>
      <c r="M62" s="48" t="s">
        <v>220</v>
      </c>
      <c r="N62" s="137"/>
    </row>
    <row r="63" spans="12:14">
      <c r="L63" s="140"/>
      <c r="M63" s="48" t="s">
        <v>221</v>
      </c>
      <c r="N63" s="137"/>
    </row>
    <row r="64" spans="12:14">
      <c r="L64" s="140"/>
      <c r="M64" s="48" t="s">
        <v>222</v>
      </c>
      <c r="N64" s="137"/>
    </row>
    <row r="65" spans="1:23">
      <c r="L65" s="140"/>
      <c r="M65" s="48" t="s">
        <v>223</v>
      </c>
      <c r="N65" s="137"/>
    </row>
    <row r="66" spans="1:23">
      <c r="L66" s="140"/>
      <c r="M66" s="48" t="s">
        <v>224</v>
      </c>
      <c r="N66" s="137"/>
    </row>
    <row r="67" spans="1:23">
      <c r="L67" s="140"/>
      <c r="M67" s="48" t="s">
        <v>225</v>
      </c>
      <c r="N67" s="137"/>
    </row>
    <row r="68" spans="1:23" ht="15" thickBot="1">
      <c r="L68" s="141"/>
      <c r="M68" s="48" t="s">
        <v>226</v>
      </c>
      <c r="N68" s="137"/>
    </row>
    <row r="69" spans="1:23" ht="15" thickTop="1">
      <c r="L69" s="139" t="s">
        <v>227</v>
      </c>
      <c r="M69" s="64" t="s">
        <v>228</v>
      </c>
      <c r="N69" s="136" t="s">
        <v>229</v>
      </c>
    </row>
    <row r="70" spans="1:23">
      <c r="L70" s="140"/>
      <c r="M70" s="48" t="s">
        <v>230</v>
      </c>
      <c r="N70" s="137"/>
    </row>
    <row r="71" spans="1:23">
      <c r="L71" s="140"/>
      <c r="M71" s="48" t="s">
        <v>231</v>
      </c>
      <c r="N71" s="137"/>
    </row>
    <row r="72" spans="1:23">
      <c r="L72" s="140"/>
      <c r="M72" s="48" t="s">
        <v>232</v>
      </c>
      <c r="N72" s="137"/>
    </row>
    <row r="73" spans="1:23">
      <c r="L73" s="140"/>
      <c r="M73" s="48" t="s">
        <v>233</v>
      </c>
      <c r="N73" s="137"/>
    </row>
    <row r="74" spans="1:23">
      <c r="L74" s="140"/>
      <c r="M74" s="48" t="s">
        <v>234</v>
      </c>
      <c r="N74" s="137"/>
    </row>
    <row r="75" spans="1:23" ht="15" thickBot="1">
      <c r="L75" s="141"/>
      <c r="M75" s="65" t="s">
        <v>235</v>
      </c>
      <c r="N75" s="138"/>
      <c r="O75" s="69"/>
    </row>
    <row r="76" spans="1:23" ht="15" thickTop="1"/>
    <row r="77" spans="1:23" ht="15">
      <c r="A77" s="143" t="s">
        <v>236</v>
      </c>
      <c r="B77" s="144"/>
      <c r="C77" s="144"/>
      <c r="D77" s="144"/>
      <c r="E77" s="144"/>
      <c r="F77" s="144"/>
      <c r="G77" s="144"/>
      <c r="H77" s="144"/>
      <c r="I77" s="144"/>
      <c r="J77" s="144"/>
      <c r="K77" s="144"/>
      <c r="L77" s="144"/>
      <c r="M77" s="144"/>
      <c r="N77" s="144"/>
      <c r="O77" s="144"/>
      <c r="P77" s="144"/>
      <c r="Q77" s="144"/>
      <c r="R77" s="144"/>
      <c r="S77" s="144"/>
      <c r="T77" s="144"/>
      <c r="U77" s="144"/>
      <c r="V77" s="144"/>
      <c r="W77" s="144"/>
    </row>
    <row r="79" spans="1:23" ht="15">
      <c r="L79" s="66" t="s">
        <v>108</v>
      </c>
      <c r="M79" s="66" t="s">
        <v>237</v>
      </c>
      <c r="N79" s="68" t="s">
        <v>238</v>
      </c>
    </row>
    <row r="80" spans="1:23" ht="15">
      <c r="L80" s="53" t="s">
        <v>2</v>
      </c>
      <c r="M80" s="86" t="s">
        <v>239</v>
      </c>
      <c r="N80" s="75" t="s">
        <v>240</v>
      </c>
    </row>
    <row r="81" spans="12:14">
      <c r="L81" s="53" t="s">
        <v>241</v>
      </c>
      <c r="M81" s="52" t="s">
        <v>242</v>
      </c>
      <c r="N81" s="73" t="s">
        <v>243</v>
      </c>
    </row>
    <row r="82" spans="12:14">
      <c r="L82" s="52" t="s">
        <v>219</v>
      </c>
      <c r="M82" s="52" t="s">
        <v>244</v>
      </c>
      <c r="N82" s="72" t="s">
        <v>245</v>
      </c>
    </row>
    <row r="83" spans="12:14">
      <c r="L83" s="52" t="s">
        <v>246</v>
      </c>
      <c r="M83" s="52" t="s">
        <v>242</v>
      </c>
      <c r="N83" s="72" t="s">
        <v>247</v>
      </c>
    </row>
    <row r="84" spans="12:14">
      <c r="L84" s="52" t="s">
        <v>176</v>
      </c>
      <c r="M84" s="52" t="s">
        <v>1109</v>
      </c>
      <c r="N84" s="72" t="s">
        <v>248</v>
      </c>
    </row>
    <row r="85" spans="12:14">
      <c r="L85" s="52" t="s">
        <v>249</v>
      </c>
      <c r="M85" s="54" t="s">
        <v>202</v>
      </c>
      <c r="N85" s="72" t="s">
        <v>250</v>
      </c>
    </row>
    <row r="86" spans="12:14" ht="28.5">
      <c r="L86" s="52" t="s">
        <v>200</v>
      </c>
      <c r="M86" s="52" t="s">
        <v>251</v>
      </c>
      <c r="N86" s="72" t="s">
        <v>252</v>
      </c>
    </row>
    <row r="87" spans="12:14" ht="15">
      <c r="L87" s="53" t="s">
        <v>253</v>
      </c>
      <c r="M87" s="86" t="s">
        <v>187</v>
      </c>
      <c r="N87" s="84" t="s">
        <v>254</v>
      </c>
    </row>
    <row r="88" spans="12:14" ht="15">
      <c r="L88" s="53" t="s">
        <v>255</v>
      </c>
      <c r="M88" s="97" t="s">
        <v>202</v>
      </c>
      <c r="N88" s="75" t="s">
        <v>256</v>
      </c>
    </row>
    <row r="89" spans="12:14">
      <c r="L89" s="53" t="s">
        <v>257</v>
      </c>
      <c r="M89" s="53" t="s">
        <v>242</v>
      </c>
      <c r="N89" s="73" t="s">
        <v>258</v>
      </c>
    </row>
    <row r="90" spans="12:14">
      <c r="L90" s="53" t="s">
        <v>259</v>
      </c>
      <c r="M90" s="52" t="s">
        <v>170</v>
      </c>
      <c r="N90" s="73" t="s">
        <v>260</v>
      </c>
    </row>
    <row r="91" spans="12:14">
      <c r="L91" s="52" t="s">
        <v>212</v>
      </c>
      <c r="M91" s="54" t="s">
        <v>261</v>
      </c>
      <c r="N91" s="72" t="s">
        <v>262</v>
      </c>
    </row>
    <row r="92" spans="12:14" ht="15">
      <c r="L92" s="55" t="s">
        <v>263</v>
      </c>
      <c r="M92" s="54" t="s">
        <v>242</v>
      </c>
      <c r="N92" s="75" t="s">
        <v>264</v>
      </c>
    </row>
    <row r="93" spans="12:14">
      <c r="L93" s="55" t="s">
        <v>265</v>
      </c>
      <c r="M93" s="53" t="s">
        <v>217</v>
      </c>
      <c r="N93" s="73" t="s">
        <v>266</v>
      </c>
    </row>
    <row r="94" spans="12:14">
      <c r="L94" s="54" t="s">
        <v>267</v>
      </c>
      <c r="M94" s="54" t="s">
        <v>18</v>
      </c>
      <c r="N94" s="72" t="s">
        <v>268</v>
      </c>
    </row>
    <row r="95" spans="12:14">
      <c r="L95" s="54" t="s">
        <v>269</v>
      </c>
      <c r="M95" s="54" t="s">
        <v>202</v>
      </c>
      <c r="N95" s="72" t="s">
        <v>270</v>
      </c>
    </row>
    <row r="96" spans="12:14">
      <c r="L96" s="55" t="s">
        <v>271</v>
      </c>
      <c r="M96" s="55" t="s">
        <v>193</v>
      </c>
      <c r="N96" s="73" t="s">
        <v>272</v>
      </c>
    </row>
    <row r="97" spans="12:15">
      <c r="L97" s="54" t="s">
        <v>273</v>
      </c>
      <c r="M97" s="56" t="s">
        <v>170</v>
      </c>
      <c r="N97" s="72" t="s">
        <v>274</v>
      </c>
    </row>
    <row r="98" spans="12:15">
      <c r="L98" s="48" t="s">
        <v>275</v>
      </c>
      <c r="M98" s="56" t="s">
        <v>193</v>
      </c>
      <c r="N98" s="73" t="s">
        <v>276</v>
      </c>
    </row>
    <row r="99" spans="12:15" ht="15">
      <c r="L99" s="48" t="s">
        <v>183</v>
      </c>
      <c r="M99" s="103" t="s">
        <v>187</v>
      </c>
      <c r="N99" s="75" t="s">
        <v>277</v>
      </c>
    </row>
    <row r="100" spans="12:15">
      <c r="L100" s="56" t="s">
        <v>278</v>
      </c>
      <c r="M100" s="104" t="s">
        <v>279</v>
      </c>
      <c r="N100" s="74" t="s">
        <v>280</v>
      </c>
    </row>
    <row r="101" spans="12:15">
      <c r="L101" s="48" t="s">
        <v>281</v>
      </c>
      <c r="M101" s="83" t="s">
        <v>202</v>
      </c>
      <c r="N101" s="73" t="s">
        <v>282</v>
      </c>
    </row>
    <row r="102" spans="12:15">
      <c r="L102" s="56" t="s">
        <v>283</v>
      </c>
      <c r="M102" s="56" t="s">
        <v>284</v>
      </c>
      <c r="N102" s="73" t="s">
        <v>285</v>
      </c>
    </row>
    <row r="103" spans="12:15">
      <c r="L103" s="48" t="s">
        <v>286</v>
      </c>
      <c r="M103" s="48" t="s">
        <v>187</v>
      </c>
      <c r="N103" s="73" t="s">
        <v>287</v>
      </c>
    </row>
    <row r="104" spans="12:15">
      <c r="L104" s="56" t="s">
        <v>288</v>
      </c>
      <c r="M104" s="56" t="s">
        <v>1109</v>
      </c>
      <c r="N104" s="72" t="s">
        <v>289</v>
      </c>
    </row>
    <row r="105" spans="12:15">
      <c r="L105" s="56" t="s">
        <v>195</v>
      </c>
      <c r="M105" s="56" t="s">
        <v>193</v>
      </c>
      <c r="N105" s="72" t="s">
        <v>290</v>
      </c>
    </row>
    <row r="106" spans="12:15">
      <c r="L106" s="56" t="s">
        <v>189</v>
      </c>
      <c r="M106" s="56" t="s">
        <v>291</v>
      </c>
      <c r="N106" s="72" t="s">
        <v>292</v>
      </c>
    </row>
    <row r="107" spans="12:15">
      <c r="L107" s="48" t="s">
        <v>293</v>
      </c>
      <c r="M107" s="48" t="s">
        <v>217</v>
      </c>
      <c r="N107" s="73" t="s">
        <v>294</v>
      </c>
    </row>
    <row r="108" spans="12:15">
      <c r="L108" s="67" t="s">
        <v>295</v>
      </c>
      <c r="M108" s="67" t="s">
        <v>210</v>
      </c>
      <c r="N108" s="85" t="s">
        <v>296</v>
      </c>
    </row>
    <row r="109" spans="12:15">
      <c r="L109" s="96" t="s">
        <v>297</v>
      </c>
      <c r="M109" s="56" t="s">
        <v>239</v>
      </c>
      <c r="N109" s="91" t="s">
        <v>298</v>
      </c>
    </row>
    <row r="110" spans="12:15">
      <c r="L110" s="67" t="s">
        <v>299</v>
      </c>
      <c r="M110" s="54" t="s">
        <v>284</v>
      </c>
      <c r="N110" s="106" t="s">
        <v>300</v>
      </c>
      <c r="O110" s="51"/>
    </row>
    <row r="111" spans="12:15" ht="28.5">
      <c r="L111" s="92" t="s">
        <v>301</v>
      </c>
      <c r="M111" s="48" t="s">
        <v>181</v>
      </c>
      <c r="N111" s="76" t="s">
        <v>302</v>
      </c>
    </row>
    <row r="112" spans="12:15">
      <c r="L112" s="92" t="s">
        <v>204</v>
      </c>
      <c r="M112" s="83" t="s">
        <v>202</v>
      </c>
      <c r="N112" s="76" t="s">
        <v>303</v>
      </c>
    </row>
    <row r="113" spans="12:14" ht="28.5">
      <c r="L113" s="50" t="s">
        <v>304</v>
      </c>
      <c r="M113" s="51" t="s">
        <v>181</v>
      </c>
      <c r="N113" s="105" t="s">
        <v>305</v>
      </c>
    </row>
    <row r="114" spans="12:14">
      <c r="L114" s="67" t="s">
        <v>172</v>
      </c>
      <c r="M114" s="56" t="s">
        <v>170</v>
      </c>
      <c r="N114" s="98" t="s">
        <v>306</v>
      </c>
    </row>
    <row r="115" spans="12:14">
      <c r="L115" s="56" t="s">
        <v>307</v>
      </c>
      <c r="M115" s="56" t="s">
        <v>1109</v>
      </c>
      <c r="N115" s="72" t="s">
        <v>308</v>
      </c>
    </row>
  </sheetData>
  <mergeCells count="31">
    <mergeCell ref="A1:V1"/>
    <mergeCell ref="A19:W19"/>
    <mergeCell ref="A2:N2"/>
    <mergeCell ref="P14:Q14"/>
    <mergeCell ref="A3:V3"/>
    <mergeCell ref="R18:S18"/>
    <mergeCell ref="A11:V11"/>
    <mergeCell ref="A6:V6"/>
    <mergeCell ref="A7:V7"/>
    <mergeCell ref="A15:W15"/>
    <mergeCell ref="N45:N55"/>
    <mergeCell ref="A77:W77"/>
    <mergeCell ref="L22:L24"/>
    <mergeCell ref="L25:L29"/>
    <mergeCell ref="L30:L33"/>
    <mergeCell ref="L34:L38"/>
    <mergeCell ref="L45:L55"/>
    <mergeCell ref="L56:L60"/>
    <mergeCell ref="L61:L68"/>
    <mergeCell ref="L69:L75"/>
    <mergeCell ref="N22:N24"/>
    <mergeCell ref="N25:N29"/>
    <mergeCell ref="N56:N60"/>
    <mergeCell ref="N61:N68"/>
    <mergeCell ref="N69:N75"/>
    <mergeCell ref="L39:L41"/>
    <mergeCell ref="N39:N41"/>
    <mergeCell ref="L42:L44"/>
    <mergeCell ref="N42:N44"/>
    <mergeCell ref="N30:N33"/>
    <mergeCell ref="N34:N38"/>
  </mergeCells>
  <hyperlinks>
    <hyperlink ref="N82" r:id="rId1" xr:uid="{183CE378-DF65-4D33-B221-DEB919B21538}"/>
    <hyperlink ref="N104" r:id="rId2" xr:uid="{B7F01DD7-BE03-4CB0-9F88-60BAC7E60985}"/>
    <hyperlink ref="N106" r:id="rId3" xr:uid="{C20CF606-516E-4EA9-8D4D-49742BE01D9A}"/>
    <hyperlink ref="N109" r:id="rId4" xr:uid="{1291BA23-CB6E-4D43-BF33-AB317D64E896}"/>
    <hyperlink ref="N110" r:id="rId5" xr:uid="{B5EBD87E-96CB-4256-9FAE-89A1C35CD59A}"/>
    <hyperlink ref="N114" r:id="rId6" xr:uid="{A93B8FB6-CD0B-47FA-ACD7-AC6B27741C6E}"/>
    <hyperlink ref="N91" r:id="rId7" xr:uid="{8926B00D-34A0-4C00-876B-B013B5F07560}"/>
    <hyperlink ref="N97" r:id="rId8" xr:uid="{3F6F1A7A-2CB3-4657-89C2-BC5304F6A0B9}"/>
    <hyperlink ref="N108" r:id="rId9" xr:uid="{A7B2E84D-9D61-4DCD-82FA-06FFD4976C17}"/>
    <hyperlink ref="N105" r:id="rId10" xr:uid="{7CF3D444-D6BA-446C-9FDE-B21A0683DC6A}"/>
    <hyperlink ref="N86" r:id="rId11" xr:uid="{F4918CF3-6A10-4FE2-A41B-04A0F66BA4DB}"/>
    <hyperlink ref="N83" r:id="rId12" xr:uid="{19EB8F4F-D214-426D-93B1-A50EFAA78523}"/>
    <hyperlink ref="N84" r:id="rId13" xr:uid="{46905B0A-635D-41AD-908C-0C5340C71EDB}"/>
    <hyperlink ref="N85" r:id="rId14" xr:uid="{9FDCE8AB-4619-4372-A016-BBFE1567CAE7}"/>
    <hyperlink ref="N100" r:id="rId15" xr:uid="{8A16FEFD-AB40-4E79-AAB6-633E9962CF27}"/>
    <hyperlink ref="N102" r:id="rId16" xr:uid="{CFF16C4E-4620-45F6-A2D7-436F0CEAACD0}"/>
    <hyperlink ref="N89" r:id="rId17" xr:uid="{0337CF1F-BFF8-4172-91D2-D39C2117E64E}"/>
    <hyperlink ref="N101" r:id="rId18" xr:uid="{959068F0-8D05-4A65-9DC8-BD4C1264C42C}"/>
    <hyperlink ref="N90" r:id="rId19" xr:uid="{4F53CC76-77E1-4F0D-A2E1-F88B51A40DFC}"/>
    <hyperlink ref="N103" r:id="rId20" xr:uid="{D1525F0C-FFEB-442D-AFB7-C3106F47827B}"/>
    <hyperlink ref="N107" r:id="rId21" xr:uid="{969D7E06-2CB8-4885-94FE-D8FE226F86E9}"/>
    <hyperlink ref="N93" r:id="rId22" xr:uid="{C6A14FF9-A70D-4267-AFC9-BE38238550CF}"/>
    <hyperlink ref="N112" r:id="rId23" xr:uid="{F8339784-42A7-424D-87E9-F3C8030281AB}"/>
    <hyperlink ref="N95" r:id="rId24" display="mailto:guy.wells%40ukaea.uk" xr:uid="{CD8FBF35-74C3-436D-B7CA-9A4430718E1B}"/>
    <hyperlink ref="N94" r:id="rId25" display="Procurement@ukaea.uk" xr:uid="{C0D4B96E-564D-45C6-9088-8E1169EE878F}"/>
    <hyperlink ref="N98" r:id="rId26" xr:uid="{6814171A-C273-4D4D-AF5C-EF3EC8F8C1C9}"/>
    <hyperlink ref="N111" r:id="rId27" xr:uid="{9A869209-815B-4278-AA18-276D424F58C8}"/>
    <hyperlink ref="N113" r:id="rId28" xr:uid="{9B979D03-B0FA-488D-984A-75C570E0D8BC}"/>
    <hyperlink ref="N92" r:id="rId29" xr:uid="{EC6FB24C-8FB3-4452-9B61-E5BC08303724}"/>
    <hyperlink ref="N87" r:id="rId30" xr:uid="{8E8ED174-7E6B-4E19-8FFA-86018063E85D}"/>
    <hyperlink ref="N80" r:id="rId31" xr:uid="{C570FA3E-CE54-49FA-89F5-831CDC5BD5F9}"/>
    <hyperlink ref="N115" r:id="rId32" xr:uid="{5B3E2926-91B6-4FB5-962F-F287DA5818C5}"/>
    <hyperlink ref="N88" r:id="rId33" xr:uid="{8657A774-7993-4C2C-9896-5D78F57B96F3}"/>
    <hyperlink ref="N99" r:id="rId34" xr:uid="{1CADE65D-2E92-4667-AE01-12F423632BE7}"/>
  </hyperlinks>
  <pageMargins left="0.7" right="0.7" top="0.75" bottom="0.75" header="0.3" footer="0.3"/>
  <pageSetup paperSize="9" orientation="portrait" r:id="rId35"/>
  <drawing r:id="rId36"/>
  <tableParts count="1">
    <tablePart r:id="rId37"/>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C6577C-56D6-4EDA-8742-396C6A2CE4AE}">
  <sheetPr codeName="Sheet7">
    <tabColor theme="9"/>
    <pageSetUpPr fitToPage="1"/>
  </sheetPr>
  <dimension ref="A1:Y71"/>
  <sheetViews>
    <sheetView topLeftCell="D47" zoomScale="80" zoomScaleNormal="80" workbookViewId="0">
      <selection activeCell="E36" sqref="E36"/>
    </sheetView>
  </sheetViews>
  <sheetFormatPr defaultColWidth="28.42578125" defaultRowHeight="15"/>
  <cols>
    <col min="1" max="1" width="59.42578125" style="33" customWidth="1"/>
    <col min="2" max="2" width="37" style="33" customWidth="1"/>
    <col min="3" max="3" width="33.7109375" style="33" customWidth="1"/>
    <col min="4" max="4" width="61.7109375" style="33" customWidth="1"/>
    <col min="5" max="5" width="66.42578125" style="38" customWidth="1"/>
    <col min="6" max="6" width="25" style="33" bestFit="1" customWidth="1"/>
    <col min="7" max="7" width="25.42578125" style="33" customWidth="1"/>
    <col min="8" max="8" width="38.42578125" style="33" bestFit="1" customWidth="1"/>
    <col min="9" max="16384" width="28.42578125" style="33"/>
  </cols>
  <sheetData>
    <row r="1" spans="1:25">
      <c r="A1" s="163" t="s">
        <v>309</v>
      </c>
      <c r="B1" s="163"/>
      <c r="C1" s="163"/>
      <c r="D1" s="163"/>
      <c r="E1" s="163"/>
      <c r="F1" s="163"/>
      <c r="G1" s="163"/>
      <c r="H1" s="163"/>
    </row>
    <row r="2" spans="1:25" ht="30">
      <c r="A2" s="163" t="s">
        <v>310</v>
      </c>
      <c r="B2" s="163"/>
      <c r="C2" s="34" t="s">
        <v>311</v>
      </c>
      <c r="D2" s="163" t="s">
        <v>312</v>
      </c>
      <c r="E2" s="163"/>
      <c r="F2" s="34" t="s">
        <v>313</v>
      </c>
      <c r="G2" s="47" t="s">
        <v>314</v>
      </c>
      <c r="H2" s="34" t="s">
        <v>165</v>
      </c>
    </row>
    <row r="3" spans="1:25">
      <c r="A3" s="35" t="s">
        <v>80</v>
      </c>
      <c r="B3" s="35" t="s">
        <v>81</v>
      </c>
      <c r="C3" s="35" t="s">
        <v>1</v>
      </c>
      <c r="D3" s="35" t="s">
        <v>109</v>
      </c>
      <c r="E3" s="36" t="s">
        <v>110</v>
      </c>
      <c r="F3" s="35" t="s">
        <v>89</v>
      </c>
      <c r="G3" s="37" t="s">
        <v>111</v>
      </c>
      <c r="H3" s="35" t="s">
        <v>315</v>
      </c>
      <c r="I3"/>
      <c r="J3"/>
      <c r="K3"/>
      <c r="L3"/>
      <c r="M3"/>
      <c r="N3"/>
      <c r="O3"/>
      <c r="P3"/>
      <c r="Q3"/>
      <c r="R3"/>
      <c r="S3"/>
      <c r="T3"/>
      <c r="U3"/>
      <c r="V3"/>
      <c r="W3"/>
      <c r="X3"/>
      <c r="Y3"/>
    </row>
    <row r="4" spans="1:25">
      <c r="A4" s="33" t="s">
        <v>316</v>
      </c>
      <c r="B4" s="33" t="s">
        <v>43</v>
      </c>
      <c r="C4" s="33" t="s">
        <v>293</v>
      </c>
      <c r="D4" s="33" t="s">
        <v>317</v>
      </c>
      <c r="E4" s="38" t="s">
        <v>318</v>
      </c>
      <c r="F4" s="33" t="s">
        <v>25</v>
      </c>
      <c r="G4" s="33" t="s">
        <v>54</v>
      </c>
      <c r="H4" s="33" t="s">
        <v>20</v>
      </c>
    </row>
    <row r="5" spans="1:25">
      <c r="A5" s="33" t="s">
        <v>319</v>
      </c>
      <c r="B5" s="33" t="s">
        <v>51</v>
      </c>
      <c r="C5" s="33" t="s">
        <v>212</v>
      </c>
      <c r="D5" s="33" t="s">
        <v>320</v>
      </c>
      <c r="E5" s="38" t="s">
        <v>321</v>
      </c>
      <c r="F5" s="33" t="s">
        <v>32</v>
      </c>
      <c r="G5" s="33" t="s">
        <v>54</v>
      </c>
    </row>
    <row r="6" spans="1:25" ht="30">
      <c r="A6" s="33" t="s">
        <v>319</v>
      </c>
      <c r="B6" s="33" t="s">
        <v>45</v>
      </c>
      <c r="C6" s="33" t="s">
        <v>293</v>
      </c>
      <c r="D6" s="33" t="s">
        <v>322</v>
      </c>
      <c r="E6" s="38" t="s">
        <v>323</v>
      </c>
      <c r="F6" s="33" t="s">
        <v>29</v>
      </c>
      <c r="G6" s="33" t="s">
        <v>54</v>
      </c>
    </row>
    <row r="7" spans="1:25" ht="30">
      <c r="A7" s="33" t="s">
        <v>324</v>
      </c>
      <c r="B7" s="33" t="s">
        <v>73</v>
      </c>
      <c r="C7" s="33" t="s">
        <v>200</v>
      </c>
      <c r="D7" s="39" t="s">
        <v>325</v>
      </c>
      <c r="E7" s="38" t="s">
        <v>326</v>
      </c>
      <c r="F7" s="33" t="s">
        <v>32</v>
      </c>
      <c r="G7" s="33" t="s">
        <v>50</v>
      </c>
      <c r="H7" s="33" t="s">
        <v>20</v>
      </c>
    </row>
    <row r="8" spans="1:25" ht="30">
      <c r="A8" s="33" t="s">
        <v>324</v>
      </c>
      <c r="B8" s="33" t="s">
        <v>73</v>
      </c>
      <c r="C8" s="33" t="s">
        <v>200</v>
      </c>
      <c r="D8" s="39" t="s">
        <v>325</v>
      </c>
      <c r="E8" s="38" t="s">
        <v>326</v>
      </c>
      <c r="F8" s="33" t="s">
        <v>32</v>
      </c>
      <c r="G8" s="33" t="s">
        <v>55</v>
      </c>
      <c r="H8" s="33" t="s">
        <v>20</v>
      </c>
    </row>
    <row r="9" spans="1:25" ht="30">
      <c r="A9" s="33" t="s">
        <v>324</v>
      </c>
      <c r="B9" s="33" t="s">
        <v>73</v>
      </c>
      <c r="C9" s="33" t="s">
        <v>200</v>
      </c>
      <c r="D9" s="39" t="s">
        <v>325</v>
      </c>
      <c r="E9" s="38" t="s">
        <v>326</v>
      </c>
      <c r="F9" s="33" t="s">
        <v>32</v>
      </c>
      <c r="G9" s="33" t="s">
        <v>61</v>
      </c>
      <c r="H9" s="33" t="s">
        <v>20</v>
      </c>
    </row>
    <row r="10" spans="1:25" ht="30">
      <c r="A10" s="33" t="s">
        <v>324</v>
      </c>
      <c r="B10" s="33" t="s">
        <v>73</v>
      </c>
      <c r="C10" s="33" t="s">
        <v>200</v>
      </c>
      <c r="D10" s="39" t="s">
        <v>327</v>
      </c>
      <c r="E10" s="38" t="s">
        <v>328</v>
      </c>
      <c r="F10" s="33" t="s">
        <v>32</v>
      </c>
      <c r="G10" s="33" t="s">
        <v>50</v>
      </c>
      <c r="H10" s="33" t="s">
        <v>20</v>
      </c>
    </row>
    <row r="11" spans="1:25" ht="30">
      <c r="A11" s="33" t="s">
        <v>324</v>
      </c>
      <c r="B11" s="33" t="s">
        <v>73</v>
      </c>
      <c r="C11" s="33" t="s">
        <v>200</v>
      </c>
      <c r="D11" s="39" t="s">
        <v>327</v>
      </c>
      <c r="E11" s="38" t="s">
        <v>328</v>
      </c>
      <c r="F11" s="33" t="s">
        <v>32</v>
      </c>
      <c r="G11" s="33" t="s">
        <v>55</v>
      </c>
      <c r="H11" s="33" t="s">
        <v>20</v>
      </c>
    </row>
    <row r="12" spans="1:25" ht="30">
      <c r="A12" s="33" t="s">
        <v>324</v>
      </c>
      <c r="B12" s="33" t="s">
        <v>73</v>
      </c>
      <c r="C12" s="33" t="s">
        <v>200</v>
      </c>
      <c r="D12" s="39" t="s">
        <v>327</v>
      </c>
      <c r="E12" s="38" t="s">
        <v>328</v>
      </c>
      <c r="F12" s="33" t="s">
        <v>32</v>
      </c>
      <c r="G12" s="33" t="s">
        <v>61</v>
      </c>
      <c r="H12" s="33" t="s">
        <v>20</v>
      </c>
    </row>
    <row r="13" spans="1:25">
      <c r="A13" s="33" t="s">
        <v>324</v>
      </c>
      <c r="B13" s="33" t="s">
        <v>73</v>
      </c>
      <c r="C13" s="33" t="s">
        <v>200</v>
      </c>
      <c r="D13" s="39" t="s">
        <v>329</v>
      </c>
      <c r="E13" s="38" t="s">
        <v>330</v>
      </c>
      <c r="F13" s="33" t="s">
        <v>32</v>
      </c>
      <c r="G13" s="33" t="s">
        <v>50</v>
      </c>
      <c r="H13" s="33" t="s">
        <v>20</v>
      </c>
    </row>
    <row r="14" spans="1:25">
      <c r="A14" s="33" t="s">
        <v>324</v>
      </c>
      <c r="B14" s="33" t="s">
        <v>73</v>
      </c>
      <c r="C14" s="33" t="s">
        <v>200</v>
      </c>
      <c r="D14" s="39" t="s">
        <v>329</v>
      </c>
      <c r="E14" s="38" t="s">
        <v>330</v>
      </c>
      <c r="F14" s="33" t="s">
        <v>32</v>
      </c>
      <c r="G14" s="33" t="s">
        <v>55</v>
      </c>
      <c r="H14" s="33" t="s">
        <v>20</v>
      </c>
    </row>
    <row r="15" spans="1:25">
      <c r="A15" s="33" t="s">
        <v>324</v>
      </c>
      <c r="B15" s="33" t="s">
        <v>73</v>
      </c>
      <c r="C15" s="33" t="s">
        <v>200</v>
      </c>
      <c r="D15" s="39" t="s">
        <v>329</v>
      </c>
      <c r="E15" s="38" t="s">
        <v>330</v>
      </c>
      <c r="F15" s="33" t="s">
        <v>32</v>
      </c>
      <c r="G15" s="33" t="s">
        <v>61</v>
      </c>
      <c r="H15" s="33" t="s">
        <v>20</v>
      </c>
    </row>
    <row r="16" spans="1:25">
      <c r="A16" s="33" t="s">
        <v>324</v>
      </c>
      <c r="B16" s="33" t="s">
        <v>67</v>
      </c>
      <c r="C16" s="33" t="s">
        <v>195</v>
      </c>
      <c r="D16" s="38" t="s">
        <v>331</v>
      </c>
      <c r="E16" s="38" t="s">
        <v>331</v>
      </c>
      <c r="F16" s="33" t="s">
        <v>25</v>
      </c>
      <c r="G16" s="33" t="s">
        <v>63</v>
      </c>
    </row>
    <row r="17" spans="1:8">
      <c r="A17" s="33" t="s">
        <v>324</v>
      </c>
      <c r="B17" s="33" t="s">
        <v>67</v>
      </c>
      <c r="C17" s="33" t="s">
        <v>195</v>
      </c>
      <c r="D17" s="39" t="s">
        <v>332</v>
      </c>
      <c r="E17" s="38" t="s">
        <v>333</v>
      </c>
      <c r="F17" s="33" t="s">
        <v>25</v>
      </c>
      <c r="G17" s="33" t="s">
        <v>61</v>
      </c>
    </row>
    <row r="18" spans="1:8" ht="30">
      <c r="A18" s="33" t="s">
        <v>324</v>
      </c>
      <c r="B18" s="33" t="s">
        <v>67</v>
      </c>
      <c r="C18" s="33" t="s">
        <v>195</v>
      </c>
      <c r="D18" s="39" t="s">
        <v>334</v>
      </c>
      <c r="E18" s="38" t="s">
        <v>335</v>
      </c>
      <c r="F18" s="33" t="s">
        <v>32</v>
      </c>
      <c r="G18" s="33" t="s">
        <v>63</v>
      </c>
    </row>
    <row r="19" spans="1:8" ht="30">
      <c r="A19" s="33" t="s">
        <v>324</v>
      </c>
      <c r="B19" s="33" t="s">
        <v>67</v>
      </c>
      <c r="C19" s="33" t="s">
        <v>195</v>
      </c>
      <c r="D19" s="39" t="s">
        <v>336</v>
      </c>
      <c r="E19" s="38" t="s">
        <v>337</v>
      </c>
      <c r="F19" s="33" t="s">
        <v>29</v>
      </c>
      <c r="G19" s="33" t="s">
        <v>57</v>
      </c>
    </row>
    <row r="20" spans="1:8" ht="30">
      <c r="A20" s="33" t="s">
        <v>324</v>
      </c>
      <c r="B20" s="33" t="s">
        <v>67</v>
      </c>
      <c r="C20" s="33" t="s">
        <v>195</v>
      </c>
      <c r="D20" s="39" t="s">
        <v>338</v>
      </c>
      <c r="E20" s="38" t="s">
        <v>339</v>
      </c>
      <c r="F20" s="33" t="s">
        <v>25</v>
      </c>
      <c r="G20" s="33" t="s">
        <v>63</v>
      </c>
    </row>
    <row r="21" spans="1:8">
      <c r="A21" s="33" t="s">
        <v>324</v>
      </c>
      <c r="B21" s="33" t="s">
        <v>67</v>
      </c>
      <c r="C21" s="33" t="s">
        <v>195</v>
      </c>
      <c r="D21" s="39" t="s">
        <v>340</v>
      </c>
      <c r="E21" s="38" t="s">
        <v>340</v>
      </c>
      <c r="F21" s="33" t="s">
        <v>17</v>
      </c>
      <c r="G21" s="33" t="s">
        <v>63</v>
      </c>
    </row>
    <row r="22" spans="1:8">
      <c r="A22" s="33" t="s">
        <v>324</v>
      </c>
      <c r="B22" s="33" t="s">
        <v>67</v>
      </c>
      <c r="C22" s="33" t="s">
        <v>195</v>
      </c>
      <c r="D22" s="39" t="s">
        <v>341</v>
      </c>
      <c r="E22" s="38" t="s">
        <v>342</v>
      </c>
      <c r="F22" s="33" t="s">
        <v>25</v>
      </c>
      <c r="G22" s="33" t="s">
        <v>63</v>
      </c>
    </row>
    <row r="23" spans="1:8" ht="30">
      <c r="A23" s="33" t="s">
        <v>324</v>
      </c>
      <c r="B23" s="33" t="s">
        <v>67</v>
      </c>
      <c r="C23" s="33" t="s">
        <v>195</v>
      </c>
      <c r="D23" s="39" t="s">
        <v>343</v>
      </c>
      <c r="E23" s="38" t="s">
        <v>344</v>
      </c>
      <c r="F23" s="33" t="s">
        <v>25</v>
      </c>
      <c r="G23" s="33" t="s">
        <v>63</v>
      </c>
    </row>
    <row r="24" spans="1:8" ht="45">
      <c r="A24" s="33" t="s">
        <v>324</v>
      </c>
      <c r="B24" s="33" t="s">
        <v>67</v>
      </c>
      <c r="C24" s="33" t="s">
        <v>195</v>
      </c>
      <c r="D24" s="39" t="s">
        <v>345</v>
      </c>
      <c r="E24" s="38" t="s">
        <v>346</v>
      </c>
      <c r="F24" s="33" t="s">
        <v>25</v>
      </c>
      <c r="G24" s="33" t="s">
        <v>63</v>
      </c>
    </row>
    <row r="25" spans="1:8">
      <c r="A25" s="33" t="s">
        <v>324</v>
      </c>
      <c r="B25" s="33" t="s">
        <v>67</v>
      </c>
      <c r="C25" s="33" t="s">
        <v>195</v>
      </c>
      <c r="D25" s="39" t="s">
        <v>347</v>
      </c>
      <c r="E25" s="38" t="s">
        <v>347</v>
      </c>
      <c r="F25" s="33" t="s">
        <v>25</v>
      </c>
      <c r="G25" s="33" t="s">
        <v>60</v>
      </c>
    </row>
    <row r="26" spans="1:8">
      <c r="A26" s="33" t="s">
        <v>324</v>
      </c>
      <c r="B26" s="33" t="s">
        <v>67</v>
      </c>
      <c r="C26" s="33" t="s">
        <v>195</v>
      </c>
      <c r="D26" s="39" t="s">
        <v>348</v>
      </c>
      <c r="E26" s="38" t="s">
        <v>349</v>
      </c>
      <c r="F26" s="33" t="s">
        <v>29</v>
      </c>
      <c r="G26" s="33" t="s">
        <v>63</v>
      </c>
    </row>
    <row r="27" spans="1:8" ht="30">
      <c r="A27" s="33" t="s">
        <v>324</v>
      </c>
      <c r="B27" s="33" t="s">
        <v>67</v>
      </c>
      <c r="C27" s="33" t="s">
        <v>195</v>
      </c>
      <c r="D27" s="39" t="s">
        <v>350</v>
      </c>
      <c r="E27" s="38" t="s">
        <v>351</v>
      </c>
      <c r="F27" s="33" t="s">
        <v>29</v>
      </c>
      <c r="G27" s="33" t="s">
        <v>57</v>
      </c>
    </row>
    <row r="28" spans="1:8" ht="30">
      <c r="A28" s="33" t="s">
        <v>324</v>
      </c>
      <c r="B28" s="33" t="s">
        <v>67</v>
      </c>
      <c r="C28" s="33" t="s">
        <v>195</v>
      </c>
      <c r="D28" s="44" t="s">
        <v>352</v>
      </c>
      <c r="E28" s="44" t="s">
        <v>353</v>
      </c>
      <c r="F28" s="33" t="s">
        <v>32</v>
      </c>
      <c r="G28" s="33" t="s">
        <v>60</v>
      </c>
    </row>
    <row r="29" spans="1:8" ht="30">
      <c r="A29" s="33" t="s">
        <v>324</v>
      </c>
      <c r="B29" s="33" t="s">
        <v>67</v>
      </c>
      <c r="C29" s="33" t="s">
        <v>195</v>
      </c>
      <c r="D29" s="44" t="s">
        <v>352</v>
      </c>
      <c r="E29" s="44" t="s">
        <v>354</v>
      </c>
      <c r="F29" s="33" t="s">
        <v>32</v>
      </c>
      <c r="G29" s="33" t="s">
        <v>57</v>
      </c>
    </row>
    <row r="30" spans="1:8" ht="27.75" customHeight="1">
      <c r="A30" s="33" t="s">
        <v>324</v>
      </c>
      <c r="B30" s="33" t="s">
        <v>67</v>
      </c>
      <c r="C30" s="33" t="s">
        <v>195</v>
      </c>
      <c r="D30" s="39" t="s">
        <v>355</v>
      </c>
      <c r="E30" s="38" t="s">
        <v>356</v>
      </c>
      <c r="F30" s="33" t="s">
        <v>34</v>
      </c>
      <c r="G30" s="33" t="s">
        <v>61</v>
      </c>
      <c r="H30" s="33" t="s">
        <v>20</v>
      </c>
    </row>
    <row r="31" spans="1:8" ht="195">
      <c r="A31" s="33" t="s">
        <v>324</v>
      </c>
      <c r="B31" s="33" t="s">
        <v>72</v>
      </c>
      <c r="C31" s="33" t="s">
        <v>195</v>
      </c>
      <c r="D31" s="39" t="s">
        <v>357</v>
      </c>
      <c r="E31" s="38" t="s">
        <v>358</v>
      </c>
      <c r="F31" s="33" t="s">
        <v>17</v>
      </c>
      <c r="G31" s="33" t="s">
        <v>52</v>
      </c>
      <c r="H31" s="33" t="s">
        <v>20</v>
      </c>
    </row>
    <row r="32" spans="1:8">
      <c r="A32" s="33" t="s">
        <v>33</v>
      </c>
      <c r="D32" s="39"/>
    </row>
    <row r="33" spans="1:8" ht="75">
      <c r="A33" s="33" t="s">
        <v>324</v>
      </c>
      <c r="B33" s="33" t="s">
        <v>72</v>
      </c>
      <c r="C33" s="33" t="s">
        <v>195</v>
      </c>
      <c r="D33" s="33" t="s">
        <v>359</v>
      </c>
      <c r="E33" s="42" t="s">
        <v>360</v>
      </c>
      <c r="F33" s="33" t="s">
        <v>17</v>
      </c>
      <c r="G33" s="129" t="s">
        <v>50</v>
      </c>
      <c r="H33" s="33" t="s">
        <v>20</v>
      </c>
    </row>
    <row r="34" spans="1:8" ht="30">
      <c r="A34" s="41" t="s">
        <v>38</v>
      </c>
      <c r="B34" s="41" t="s">
        <v>42</v>
      </c>
      <c r="C34" s="41" t="s">
        <v>299</v>
      </c>
      <c r="D34" s="41" t="s">
        <v>361</v>
      </c>
      <c r="E34" s="41" t="s">
        <v>362</v>
      </c>
      <c r="F34" s="41" t="s">
        <v>17</v>
      </c>
      <c r="G34" s="41" t="s">
        <v>54</v>
      </c>
      <c r="H34" s="41" t="s">
        <v>20</v>
      </c>
    </row>
    <row r="35" spans="1:8" ht="37.5" customHeight="1">
      <c r="A35" s="33" t="s">
        <v>31</v>
      </c>
      <c r="B35" s="33" t="s">
        <v>66</v>
      </c>
      <c r="C35" s="43" t="s">
        <v>299</v>
      </c>
      <c r="D35" s="39" t="s">
        <v>363</v>
      </c>
      <c r="E35" s="38" t="s">
        <v>364</v>
      </c>
      <c r="F35" s="33" t="s">
        <v>25</v>
      </c>
      <c r="G35" s="33" t="s">
        <v>54</v>
      </c>
      <c r="H35" s="33" t="s">
        <v>20</v>
      </c>
    </row>
    <row r="36" spans="1:8" ht="30">
      <c r="A36" s="33" t="s">
        <v>324</v>
      </c>
      <c r="B36" s="33" t="s">
        <v>67</v>
      </c>
      <c r="C36" s="33" t="s">
        <v>195</v>
      </c>
      <c r="D36" s="45" t="s">
        <v>365</v>
      </c>
      <c r="E36" s="46" t="s">
        <v>366</v>
      </c>
      <c r="F36" s="33" t="s">
        <v>25</v>
      </c>
      <c r="G36" s="33" t="s">
        <v>52</v>
      </c>
      <c r="H36" s="33" t="s">
        <v>20</v>
      </c>
    </row>
    <row r="37" spans="1:8" ht="30">
      <c r="A37" s="43" t="s">
        <v>367</v>
      </c>
      <c r="B37" s="43" t="s">
        <v>66</v>
      </c>
      <c r="C37" s="43" t="s">
        <v>299</v>
      </c>
      <c r="D37" s="39" t="s">
        <v>368</v>
      </c>
      <c r="E37" s="38" t="s">
        <v>369</v>
      </c>
      <c r="F37" s="33" t="s">
        <v>32</v>
      </c>
      <c r="G37" s="33" t="s">
        <v>52</v>
      </c>
      <c r="H37" s="33" t="s">
        <v>20</v>
      </c>
    </row>
    <row r="38" spans="1:8">
      <c r="A38" s="33" t="s">
        <v>28</v>
      </c>
      <c r="B38" s="33" t="s">
        <v>45</v>
      </c>
      <c r="C38" s="33" t="s">
        <v>212</v>
      </c>
      <c r="D38" s="39" t="s">
        <v>370</v>
      </c>
      <c r="E38" s="38" t="s">
        <v>371</v>
      </c>
      <c r="F38" s="33" t="s">
        <v>29</v>
      </c>
      <c r="G38" s="33" t="s">
        <v>54</v>
      </c>
      <c r="H38" s="33" t="s">
        <v>20</v>
      </c>
    </row>
    <row r="39" spans="1:8">
      <c r="A39" s="33" t="s">
        <v>28</v>
      </c>
      <c r="B39" s="33" t="s">
        <v>45</v>
      </c>
      <c r="C39" s="33" t="s">
        <v>212</v>
      </c>
      <c r="D39" s="39" t="s">
        <v>372</v>
      </c>
      <c r="E39" s="38" t="s">
        <v>373</v>
      </c>
      <c r="F39" s="33" t="s">
        <v>29</v>
      </c>
      <c r="G39" s="33" t="s">
        <v>54</v>
      </c>
      <c r="H39" s="33" t="s">
        <v>20</v>
      </c>
    </row>
    <row r="40" spans="1:8">
      <c r="A40" s="33" t="s">
        <v>28</v>
      </c>
      <c r="B40" s="33" t="s">
        <v>45</v>
      </c>
      <c r="C40" s="33" t="s">
        <v>212</v>
      </c>
      <c r="D40" s="39" t="s">
        <v>374</v>
      </c>
      <c r="E40" s="38" t="s">
        <v>375</v>
      </c>
      <c r="F40" s="33" t="s">
        <v>32</v>
      </c>
      <c r="G40" s="33" t="s">
        <v>55</v>
      </c>
      <c r="H40" s="33" t="s">
        <v>20</v>
      </c>
    </row>
    <row r="41" spans="1:8">
      <c r="A41" s="33" t="s">
        <v>324</v>
      </c>
      <c r="B41" s="33" t="s">
        <v>67</v>
      </c>
      <c r="C41" s="33" t="s">
        <v>195</v>
      </c>
      <c r="D41" s="39" t="s">
        <v>376</v>
      </c>
      <c r="E41" s="38" t="s">
        <v>377</v>
      </c>
      <c r="F41" s="33" t="s">
        <v>25</v>
      </c>
      <c r="G41" s="33" t="s">
        <v>54</v>
      </c>
      <c r="H41" s="33" t="s">
        <v>20</v>
      </c>
    </row>
    <row r="42" spans="1:8">
      <c r="A42" s="33" t="s">
        <v>324</v>
      </c>
      <c r="B42" s="33" t="s">
        <v>67</v>
      </c>
      <c r="C42" s="33" t="s">
        <v>195</v>
      </c>
      <c r="D42" s="39" t="s">
        <v>378</v>
      </c>
      <c r="E42" s="38" t="s">
        <v>379</v>
      </c>
      <c r="F42" s="33" t="s">
        <v>17</v>
      </c>
      <c r="G42" s="33" t="s">
        <v>52</v>
      </c>
      <c r="H42" s="33" t="s">
        <v>20</v>
      </c>
    </row>
    <row r="43" spans="1:8">
      <c r="A43" s="33" t="s">
        <v>324</v>
      </c>
      <c r="B43" s="33" t="s">
        <v>67</v>
      </c>
      <c r="C43" s="33" t="s">
        <v>195</v>
      </c>
      <c r="D43" s="40" t="s">
        <v>380</v>
      </c>
      <c r="E43" s="38" t="s">
        <v>381</v>
      </c>
      <c r="F43" s="33" t="s">
        <v>17</v>
      </c>
      <c r="G43" s="33" t="s">
        <v>52</v>
      </c>
      <c r="H43" s="33" t="s">
        <v>20</v>
      </c>
    </row>
    <row r="44" spans="1:8">
      <c r="A44" s="33" t="s">
        <v>28</v>
      </c>
      <c r="B44" s="33" t="s">
        <v>45</v>
      </c>
      <c r="C44" s="33" t="s">
        <v>212</v>
      </c>
      <c r="D44" s="39" t="s">
        <v>382</v>
      </c>
      <c r="E44" s="38" t="s">
        <v>383</v>
      </c>
      <c r="F44" s="33" t="s">
        <v>29</v>
      </c>
      <c r="G44" s="33" t="s">
        <v>55</v>
      </c>
    </row>
    <row r="45" spans="1:8" s="129" customFormat="1">
      <c r="A45" s="127" t="s">
        <v>38</v>
      </c>
      <c r="B45" s="127" t="s">
        <v>42</v>
      </c>
      <c r="C45" s="127" t="s">
        <v>299</v>
      </c>
      <c r="D45" s="131" t="s">
        <v>384</v>
      </c>
      <c r="E45" s="132" t="s">
        <v>385</v>
      </c>
      <c r="F45" s="129" t="s">
        <v>25</v>
      </c>
      <c r="G45" s="129" t="s">
        <v>52</v>
      </c>
      <c r="H45" s="129" t="s">
        <v>20</v>
      </c>
    </row>
    <row r="46" spans="1:8">
      <c r="A46" s="41" t="s">
        <v>38</v>
      </c>
      <c r="B46" s="41" t="s">
        <v>42</v>
      </c>
      <c r="C46" s="41" t="s">
        <v>299</v>
      </c>
      <c r="D46" s="39" t="s">
        <v>386</v>
      </c>
      <c r="E46" s="38" t="s">
        <v>387</v>
      </c>
      <c r="F46" s="33" t="s">
        <v>25</v>
      </c>
      <c r="G46" s="33" t="s">
        <v>54</v>
      </c>
      <c r="H46" s="33" t="s">
        <v>20</v>
      </c>
    </row>
    <row r="47" spans="1:8" ht="105">
      <c r="A47" s="33" t="s">
        <v>324</v>
      </c>
      <c r="B47" s="33" t="s">
        <v>72</v>
      </c>
      <c r="C47" s="33" t="s">
        <v>195</v>
      </c>
      <c r="D47" s="39" t="s">
        <v>388</v>
      </c>
      <c r="E47" s="38" t="s">
        <v>389</v>
      </c>
      <c r="F47" s="33" t="s">
        <v>17</v>
      </c>
      <c r="G47" s="33" t="s">
        <v>52</v>
      </c>
      <c r="H47" s="33" t="s">
        <v>20</v>
      </c>
    </row>
    <row r="48" spans="1:8">
      <c r="C48" s="33" t="s">
        <v>200</v>
      </c>
      <c r="D48" s="27" t="s">
        <v>390</v>
      </c>
      <c r="E48" s="38" t="s">
        <v>391</v>
      </c>
      <c r="F48" s="33" t="s">
        <v>32</v>
      </c>
      <c r="G48" s="33" t="s">
        <v>54</v>
      </c>
      <c r="H48" s="33" t="s">
        <v>20</v>
      </c>
    </row>
    <row r="49" spans="1:8">
      <c r="A49" s="33" t="s">
        <v>324</v>
      </c>
      <c r="B49" s="33" t="s">
        <v>67</v>
      </c>
      <c r="C49" s="33" t="s">
        <v>195</v>
      </c>
      <c r="D49" s="39" t="s">
        <v>392</v>
      </c>
      <c r="E49" s="38" t="s">
        <v>393</v>
      </c>
      <c r="F49" s="33" t="s">
        <v>17</v>
      </c>
      <c r="G49" s="33" t="s">
        <v>52</v>
      </c>
    </row>
    <row r="50" spans="1:8">
      <c r="A50" s="33" t="s">
        <v>324</v>
      </c>
      <c r="B50" s="33" t="s">
        <v>67</v>
      </c>
      <c r="C50" s="33" t="s">
        <v>195</v>
      </c>
      <c r="D50" s="38" t="s">
        <v>394</v>
      </c>
      <c r="E50" s="38" t="s">
        <v>394</v>
      </c>
      <c r="F50" s="33" t="s">
        <v>17</v>
      </c>
      <c r="G50" s="33" t="s">
        <v>52</v>
      </c>
    </row>
    <row r="51" spans="1:8" ht="45">
      <c r="A51" s="33" t="s">
        <v>324</v>
      </c>
      <c r="B51" s="33" t="s">
        <v>67</v>
      </c>
      <c r="C51" s="33" t="s">
        <v>195</v>
      </c>
      <c r="D51" s="39" t="s">
        <v>395</v>
      </c>
      <c r="E51" s="38" t="s">
        <v>396</v>
      </c>
      <c r="F51" s="33" t="s">
        <v>29</v>
      </c>
      <c r="G51" s="33" t="s">
        <v>60</v>
      </c>
    </row>
    <row r="52" spans="1:8">
      <c r="A52" s="94" t="s">
        <v>319</v>
      </c>
      <c r="B52" s="94" t="s">
        <v>14</v>
      </c>
      <c r="C52" s="33" t="s">
        <v>299</v>
      </c>
      <c r="D52" s="20" t="s">
        <v>397</v>
      </c>
      <c r="E52" s="21" t="s">
        <v>398</v>
      </c>
      <c r="F52" s="20" t="s">
        <v>25</v>
      </c>
      <c r="G52" s="33" t="s">
        <v>52</v>
      </c>
      <c r="H52" s="33" t="s">
        <v>20</v>
      </c>
    </row>
    <row r="53" spans="1:8">
      <c r="A53" s="33" t="s">
        <v>28</v>
      </c>
      <c r="B53" s="33" t="s">
        <v>51</v>
      </c>
      <c r="C53" s="33" t="s">
        <v>241</v>
      </c>
      <c r="D53" s="39" t="s">
        <v>399</v>
      </c>
      <c r="E53" s="38" t="s">
        <v>400</v>
      </c>
      <c r="F53" s="33" t="s">
        <v>34</v>
      </c>
      <c r="G53" s="33" t="s">
        <v>54</v>
      </c>
      <c r="H53" s="33" t="s">
        <v>401</v>
      </c>
    </row>
    <row r="54" spans="1:8" ht="30">
      <c r="A54" s="41" t="s">
        <v>38</v>
      </c>
      <c r="B54" s="41" t="s">
        <v>42</v>
      </c>
      <c r="C54" s="41" t="s">
        <v>299</v>
      </c>
      <c r="D54" s="39" t="s">
        <v>402</v>
      </c>
      <c r="E54" s="38" t="s">
        <v>403</v>
      </c>
      <c r="F54" s="33" t="s">
        <v>17</v>
      </c>
      <c r="G54" s="33" t="s">
        <v>52</v>
      </c>
      <c r="H54" s="33" t="s">
        <v>20</v>
      </c>
    </row>
    <row r="55" spans="1:8" s="129" customFormat="1">
      <c r="A55" s="127" t="s">
        <v>38</v>
      </c>
      <c r="B55" s="127" t="s">
        <v>42</v>
      </c>
      <c r="C55" s="127" t="s">
        <v>299</v>
      </c>
      <c r="D55" s="131" t="s">
        <v>404</v>
      </c>
      <c r="E55" s="132" t="s">
        <v>405</v>
      </c>
      <c r="F55" s="129" t="s">
        <v>25</v>
      </c>
      <c r="G55" s="129" t="s">
        <v>54</v>
      </c>
      <c r="H55" s="129" t="s">
        <v>20</v>
      </c>
    </row>
    <row r="56" spans="1:8">
      <c r="A56" s="33" t="s">
        <v>36</v>
      </c>
      <c r="B56" s="33" t="s">
        <v>43</v>
      </c>
      <c r="C56" s="33" t="s">
        <v>288</v>
      </c>
      <c r="D56" s="39" t="s">
        <v>406</v>
      </c>
      <c r="E56" s="39" t="s">
        <v>406</v>
      </c>
      <c r="G56" s="33" t="s">
        <v>52</v>
      </c>
    </row>
    <row r="57" spans="1:8">
      <c r="A57" s="33" t="s">
        <v>36</v>
      </c>
      <c r="B57" s="33" t="s">
        <v>43</v>
      </c>
      <c r="C57" s="33" t="s">
        <v>288</v>
      </c>
      <c r="D57" s="39" t="s">
        <v>407</v>
      </c>
      <c r="E57" s="39" t="s">
        <v>407</v>
      </c>
      <c r="G57" s="33" t="s">
        <v>52</v>
      </c>
    </row>
    <row r="58" spans="1:8">
      <c r="A58" s="33" t="s">
        <v>36</v>
      </c>
      <c r="B58" s="33" t="s">
        <v>43</v>
      </c>
      <c r="C58" s="33" t="s">
        <v>288</v>
      </c>
      <c r="D58" s="39" t="s">
        <v>408</v>
      </c>
      <c r="E58" s="39" t="s">
        <v>408</v>
      </c>
      <c r="G58" s="33" t="s">
        <v>52</v>
      </c>
    </row>
    <row r="59" spans="1:8">
      <c r="A59" s="33" t="s">
        <v>36</v>
      </c>
      <c r="B59" s="33" t="s">
        <v>43</v>
      </c>
      <c r="C59" s="33" t="s">
        <v>288</v>
      </c>
      <c r="D59" s="39" t="s">
        <v>409</v>
      </c>
      <c r="E59" s="39" t="s">
        <v>409</v>
      </c>
      <c r="G59" s="33" t="s">
        <v>52</v>
      </c>
    </row>
    <row r="60" spans="1:8">
      <c r="A60" s="33" t="s">
        <v>36</v>
      </c>
      <c r="B60" s="33" t="s">
        <v>43</v>
      </c>
      <c r="C60" s="33" t="s">
        <v>288</v>
      </c>
      <c r="D60" s="39" t="s">
        <v>410</v>
      </c>
      <c r="E60" s="39" t="s">
        <v>410</v>
      </c>
      <c r="G60" s="33" t="s">
        <v>52</v>
      </c>
    </row>
    <row r="61" spans="1:8">
      <c r="A61" s="33" t="s">
        <v>36</v>
      </c>
      <c r="B61" s="33" t="s">
        <v>43</v>
      </c>
      <c r="C61" s="33" t="s">
        <v>288</v>
      </c>
      <c r="D61" s="40" t="s">
        <v>411</v>
      </c>
      <c r="E61" s="40" t="s">
        <v>411</v>
      </c>
      <c r="G61" s="33" t="s">
        <v>52</v>
      </c>
    </row>
    <row r="62" spans="1:8" ht="30">
      <c r="A62" s="99" t="s">
        <v>39</v>
      </c>
      <c r="B62" s="99" t="s">
        <v>74</v>
      </c>
      <c r="C62" s="99" t="s">
        <v>269</v>
      </c>
      <c r="D62" s="40" t="s">
        <v>412</v>
      </c>
      <c r="E62" s="100" t="s">
        <v>413</v>
      </c>
      <c r="F62" s="33" t="s">
        <v>17</v>
      </c>
      <c r="G62" s="99" t="s">
        <v>414</v>
      </c>
      <c r="H62" s="99" t="s">
        <v>20</v>
      </c>
    </row>
    <row r="63" spans="1:8" s="129" customFormat="1">
      <c r="A63" s="127" t="s">
        <v>38</v>
      </c>
      <c r="B63" s="127" t="s">
        <v>42</v>
      </c>
      <c r="C63" s="127" t="s">
        <v>299</v>
      </c>
      <c r="D63" s="127" t="s">
        <v>415</v>
      </c>
      <c r="E63" s="128" t="s">
        <v>416</v>
      </c>
      <c r="F63" s="129" t="s">
        <v>17</v>
      </c>
      <c r="G63" s="130" t="s">
        <v>52</v>
      </c>
      <c r="H63" s="130" t="s">
        <v>20</v>
      </c>
    </row>
    <row r="64" spans="1:8">
      <c r="A64" s="33" t="s">
        <v>28</v>
      </c>
      <c r="B64" s="33" t="s">
        <v>51</v>
      </c>
      <c r="C64" s="33" t="s">
        <v>281</v>
      </c>
      <c r="D64" s="39" t="s">
        <v>417</v>
      </c>
      <c r="E64" s="38" t="s">
        <v>418</v>
      </c>
      <c r="F64" s="33" t="s">
        <v>32</v>
      </c>
      <c r="G64" s="33" t="s">
        <v>57</v>
      </c>
      <c r="H64" s="33" t="s">
        <v>419</v>
      </c>
    </row>
    <row r="65" spans="1:8" ht="30">
      <c r="A65" s="102" t="s">
        <v>367</v>
      </c>
      <c r="B65" s="43" t="s">
        <v>66</v>
      </c>
      <c r="C65" s="43" t="s">
        <v>299</v>
      </c>
      <c r="D65" s="39" t="s">
        <v>420</v>
      </c>
      <c r="E65" s="38" t="s">
        <v>421</v>
      </c>
      <c r="F65" s="33" t="s">
        <v>17</v>
      </c>
      <c r="G65" s="33" t="s">
        <v>54</v>
      </c>
      <c r="H65" s="33" t="s">
        <v>20</v>
      </c>
    </row>
    <row r="66" spans="1:8">
      <c r="A66" s="102" t="s">
        <v>367</v>
      </c>
      <c r="B66" s="43" t="s">
        <v>66</v>
      </c>
      <c r="C66" s="43" t="s">
        <v>299</v>
      </c>
      <c r="D66" s="39" t="s">
        <v>422</v>
      </c>
      <c r="E66" s="38" t="s">
        <v>423</v>
      </c>
      <c r="F66" s="33" t="s">
        <v>25</v>
      </c>
      <c r="G66" s="33" t="s">
        <v>58</v>
      </c>
      <c r="H66" s="33" t="s">
        <v>20</v>
      </c>
    </row>
    <row r="67" spans="1:8">
      <c r="A67" s="102" t="s">
        <v>367</v>
      </c>
      <c r="B67" s="43" t="s">
        <v>66</v>
      </c>
      <c r="C67" s="43" t="s">
        <v>299</v>
      </c>
      <c r="D67" s="39" t="s">
        <v>424</v>
      </c>
      <c r="E67" s="38" t="s">
        <v>425</v>
      </c>
      <c r="F67" s="33" t="s">
        <v>29</v>
      </c>
      <c r="G67" s="33" t="s">
        <v>52</v>
      </c>
      <c r="H67" s="33" t="s">
        <v>20</v>
      </c>
    </row>
    <row r="68" spans="1:8">
      <c r="A68" s="40" t="s">
        <v>367</v>
      </c>
      <c r="B68" s="39" t="s">
        <v>66</v>
      </c>
      <c r="C68" s="39" t="s">
        <v>299</v>
      </c>
      <c r="D68" s="39" t="s">
        <v>426</v>
      </c>
      <c r="E68" s="40" t="s">
        <v>427</v>
      </c>
      <c r="F68" s="39" t="s">
        <v>17</v>
      </c>
      <c r="G68" s="39" t="s">
        <v>58</v>
      </c>
      <c r="H68" s="39" t="s">
        <v>20</v>
      </c>
    </row>
    <row r="69" spans="1:8" s="129" customFormat="1">
      <c r="A69" s="127" t="s">
        <v>38</v>
      </c>
      <c r="B69" s="127" t="s">
        <v>42</v>
      </c>
      <c r="C69" s="129" t="s">
        <v>299</v>
      </c>
      <c r="D69" s="131" t="s">
        <v>428</v>
      </c>
      <c r="E69" s="132" t="s">
        <v>429</v>
      </c>
      <c r="F69" s="129" t="s">
        <v>17</v>
      </c>
      <c r="G69" s="129" t="s">
        <v>52</v>
      </c>
      <c r="H69" s="129" t="s">
        <v>20</v>
      </c>
    </row>
    <row r="70" spans="1:8">
      <c r="A70" s="33" t="s">
        <v>28</v>
      </c>
      <c r="B70" s="33" t="s">
        <v>51</v>
      </c>
      <c r="C70" s="33" t="s">
        <v>295</v>
      </c>
      <c r="D70" s="39" t="s">
        <v>430</v>
      </c>
      <c r="E70" s="38" t="s">
        <v>431</v>
      </c>
      <c r="F70" s="33" t="s">
        <v>34</v>
      </c>
      <c r="G70" s="33" t="s">
        <v>54</v>
      </c>
    </row>
    <row r="71" spans="1:8" s="135" customFormat="1">
      <c r="A71" s="133" t="s">
        <v>39</v>
      </c>
      <c r="B71" s="133" t="s">
        <v>71</v>
      </c>
      <c r="C71" s="133" t="s">
        <v>299</v>
      </c>
      <c r="D71" s="134" t="s">
        <v>432</v>
      </c>
      <c r="E71" s="134" t="s">
        <v>433</v>
      </c>
      <c r="F71" s="133" t="s">
        <v>32</v>
      </c>
      <c r="G71" s="133" t="s">
        <v>54</v>
      </c>
      <c r="H71" s="133" t="s">
        <v>20</v>
      </c>
    </row>
  </sheetData>
  <mergeCells count="3">
    <mergeCell ref="A2:B2"/>
    <mergeCell ref="D2:E2"/>
    <mergeCell ref="A1:H1"/>
  </mergeCells>
  <phoneticPr fontId="10" type="noConversion"/>
  <pageMargins left="0.70866141732283472" right="0.70866141732283472" top="0.74803149606299213" bottom="0.74803149606299213" header="0.31496062992125984" footer="0.31496062992125984"/>
  <pageSetup paperSize="8" scale="82" orientation="landscape" blackAndWhite="1" horizontalDpi="1200" verticalDpi="1200"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E94505-E027-4E99-82A5-468809925C74}">
  <sheetPr codeName="Sheet10">
    <tabColor theme="9"/>
  </sheetPr>
  <dimension ref="A1:N19"/>
  <sheetViews>
    <sheetView topLeftCell="A2" zoomScaleNormal="100" workbookViewId="0">
      <selection activeCell="A4" sqref="A4"/>
    </sheetView>
  </sheetViews>
  <sheetFormatPr defaultColWidth="8.7109375" defaultRowHeight="15"/>
  <cols>
    <col min="1" max="1" width="15" customWidth="1"/>
    <col min="2" max="2" width="29" customWidth="1"/>
    <col min="3" max="3" width="59.42578125" customWidth="1"/>
    <col min="4" max="4" width="36.42578125" customWidth="1"/>
    <col min="5" max="5" width="87.42578125" bestFit="1" customWidth="1"/>
    <col min="6" max="6" width="56.42578125" bestFit="1" customWidth="1"/>
    <col min="7" max="7" width="60.42578125" customWidth="1"/>
    <col min="8" max="8" width="34.42578125" bestFit="1" customWidth="1"/>
    <col min="9" max="9" width="19.42578125" customWidth="1"/>
    <col min="10" max="10" width="15.42578125" customWidth="1"/>
    <col min="11" max="11" width="18.42578125" customWidth="1"/>
    <col min="12" max="12" width="27.28515625" customWidth="1"/>
    <col min="13" max="13" width="74.42578125" bestFit="1" customWidth="1"/>
    <col min="14" max="14" width="26.42578125" style="28" bestFit="1" customWidth="1"/>
  </cols>
  <sheetData>
    <row r="1" spans="1:14" ht="26.25">
      <c r="A1" s="164" t="s">
        <v>476</v>
      </c>
      <c r="B1" s="164"/>
      <c r="C1" s="164"/>
      <c r="D1" s="164"/>
      <c r="E1" s="164"/>
      <c r="F1" s="164"/>
      <c r="G1" s="164"/>
      <c r="H1" s="164"/>
      <c r="I1" s="164"/>
      <c r="J1" s="164"/>
      <c r="K1" s="164"/>
      <c r="L1" s="164"/>
      <c r="M1" s="164"/>
      <c r="N1" s="164"/>
    </row>
    <row r="2" spans="1:14" ht="30">
      <c r="A2" s="166" t="s">
        <v>477</v>
      </c>
      <c r="B2" s="166"/>
      <c r="C2" s="165" t="s">
        <v>478</v>
      </c>
      <c r="D2" s="165"/>
      <c r="E2" s="166" t="s">
        <v>479</v>
      </c>
      <c r="F2" s="166"/>
      <c r="G2" s="166"/>
      <c r="H2" s="166"/>
      <c r="I2" s="5" t="s">
        <v>480</v>
      </c>
      <c r="J2" s="166" t="s">
        <v>481</v>
      </c>
      <c r="K2" s="166"/>
      <c r="L2" s="166" t="s">
        <v>482</v>
      </c>
      <c r="M2" s="166"/>
      <c r="N2" s="166"/>
    </row>
    <row r="3" spans="1:14" ht="27.6" customHeight="1">
      <c r="A3" s="2" t="s">
        <v>78</v>
      </c>
      <c r="B3" s="71" t="s">
        <v>108</v>
      </c>
      <c r="C3" s="3" t="s">
        <v>80</v>
      </c>
      <c r="D3" s="3" t="s">
        <v>81</v>
      </c>
      <c r="E3" s="3" t="s">
        <v>120</v>
      </c>
      <c r="F3" s="3" t="s">
        <v>121</v>
      </c>
      <c r="G3" s="3" t="s">
        <v>483</v>
      </c>
      <c r="H3" s="3" t="s">
        <v>484</v>
      </c>
      <c r="I3" s="3" t="s">
        <v>89</v>
      </c>
      <c r="J3" s="4" t="s">
        <v>485</v>
      </c>
      <c r="K3" s="6" t="s">
        <v>486</v>
      </c>
      <c r="L3" s="2" t="s">
        <v>126</v>
      </c>
      <c r="M3" s="2" t="s">
        <v>487</v>
      </c>
      <c r="N3" s="1" t="s">
        <v>434</v>
      </c>
    </row>
    <row r="4" spans="1:14">
      <c r="A4" s="113" t="s">
        <v>439</v>
      </c>
      <c r="B4" s="113" t="s">
        <v>288</v>
      </c>
      <c r="C4" s="114" t="s">
        <v>36</v>
      </c>
      <c r="D4" s="113" t="s">
        <v>44</v>
      </c>
      <c r="E4" s="114" t="s">
        <v>491</v>
      </c>
      <c r="F4" s="114"/>
      <c r="G4" s="114"/>
      <c r="H4" s="113" t="s">
        <v>8</v>
      </c>
      <c r="I4" s="113" t="s">
        <v>25</v>
      </c>
      <c r="J4" s="113" t="s">
        <v>492</v>
      </c>
      <c r="K4" s="113"/>
      <c r="L4" s="113" t="s">
        <v>490</v>
      </c>
      <c r="M4" s="115"/>
      <c r="N4" s="116"/>
    </row>
    <row r="5" spans="1:14" ht="30">
      <c r="A5" s="113" t="s">
        <v>495</v>
      </c>
      <c r="B5" s="113" t="s">
        <v>301</v>
      </c>
      <c r="C5" s="114" t="s">
        <v>33</v>
      </c>
      <c r="D5" s="119" t="s">
        <v>64</v>
      </c>
      <c r="E5" s="114" t="s">
        <v>496</v>
      </c>
      <c r="F5" s="114" t="s">
        <v>22</v>
      </c>
      <c r="G5" s="114" t="s">
        <v>494</v>
      </c>
      <c r="H5" s="113" t="s">
        <v>8</v>
      </c>
      <c r="I5" s="113"/>
      <c r="J5" s="113" t="s">
        <v>46</v>
      </c>
      <c r="K5" s="113"/>
      <c r="L5" s="113" t="s">
        <v>490</v>
      </c>
      <c r="M5" s="115"/>
      <c r="N5" s="116"/>
    </row>
    <row r="6" spans="1:14" ht="30">
      <c r="A6" s="113" t="s">
        <v>497</v>
      </c>
      <c r="B6" s="113" t="s">
        <v>301</v>
      </c>
      <c r="C6" s="114" t="s">
        <v>33</v>
      </c>
      <c r="D6" s="119" t="s">
        <v>65</v>
      </c>
      <c r="E6" s="114" t="s">
        <v>498</v>
      </c>
      <c r="F6" s="114" t="s">
        <v>22</v>
      </c>
      <c r="G6" s="114" t="s">
        <v>494</v>
      </c>
      <c r="H6" s="113" t="s">
        <v>8</v>
      </c>
      <c r="I6" s="113"/>
      <c r="J6" s="113" t="s">
        <v>49</v>
      </c>
      <c r="K6" s="113"/>
      <c r="L6" s="113" t="s">
        <v>490</v>
      </c>
      <c r="M6" s="115"/>
      <c r="N6" s="116"/>
    </row>
    <row r="7" spans="1:14" ht="30">
      <c r="A7" s="113" t="s">
        <v>499</v>
      </c>
      <c r="B7" s="113" t="s">
        <v>301</v>
      </c>
      <c r="C7" s="114" t="s">
        <v>33</v>
      </c>
      <c r="D7" s="119" t="s">
        <v>65</v>
      </c>
      <c r="E7" s="114" t="s">
        <v>206</v>
      </c>
      <c r="F7" s="114" t="s">
        <v>22</v>
      </c>
      <c r="G7" s="114" t="s">
        <v>494</v>
      </c>
      <c r="H7" s="113" t="s">
        <v>8</v>
      </c>
      <c r="I7" s="113"/>
      <c r="J7" s="113" t="s">
        <v>50</v>
      </c>
      <c r="K7" s="113"/>
      <c r="L7" s="113" t="s">
        <v>490</v>
      </c>
      <c r="M7" s="115"/>
      <c r="N7" s="116"/>
    </row>
    <row r="8" spans="1:14" ht="30">
      <c r="A8" s="113" t="s">
        <v>500</v>
      </c>
      <c r="B8" s="113" t="s">
        <v>301</v>
      </c>
      <c r="C8" s="114" t="s">
        <v>33</v>
      </c>
      <c r="D8" s="119" t="s">
        <v>65</v>
      </c>
      <c r="E8" s="114" t="s">
        <v>501</v>
      </c>
      <c r="F8" s="114" t="s">
        <v>22</v>
      </c>
      <c r="G8" s="114" t="s">
        <v>494</v>
      </c>
      <c r="H8" s="113" t="s">
        <v>8</v>
      </c>
      <c r="I8" s="113"/>
      <c r="J8" s="113" t="s">
        <v>50</v>
      </c>
      <c r="K8" s="113"/>
      <c r="L8" s="113"/>
      <c r="M8" s="115"/>
      <c r="N8" s="116"/>
    </row>
    <row r="9" spans="1:14" ht="30">
      <c r="A9" s="113" t="s">
        <v>502</v>
      </c>
      <c r="B9" s="113" t="s">
        <v>304</v>
      </c>
      <c r="C9" s="114" t="s">
        <v>33</v>
      </c>
      <c r="D9" s="119" t="s">
        <v>65</v>
      </c>
      <c r="E9" s="114" t="s">
        <v>503</v>
      </c>
      <c r="F9" s="114" t="s">
        <v>22</v>
      </c>
      <c r="G9" s="114" t="s">
        <v>504</v>
      </c>
      <c r="H9" s="113" t="s">
        <v>8</v>
      </c>
      <c r="I9" s="113" t="s">
        <v>25</v>
      </c>
      <c r="J9" s="113" t="s">
        <v>50</v>
      </c>
      <c r="K9" s="113" t="s">
        <v>57</v>
      </c>
      <c r="L9" s="113" t="s">
        <v>490</v>
      </c>
      <c r="M9" s="115"/>
      <c r="N9" s="116"/>
    </row>
    <row r="10" spans="1:14" ht="30">
      <c r="A10" s="113" t="s">
        <v>506</v>
      </c>
      <c r="B10" s="113" t="s">
        <v>200</v>
      </c>
      <c r="C10" s="114" t="s">
        <v>41</v>
      </c>
      <c r="D10" s="119" t="s">
        <v>67</v>
      </c>
      <c r="E10" s="114" t="s">
        <v>507</v>
      </c>
      <c r="F10" s="114" t="s">
        <v>22</v>
      </c>
      <c r="G10" s="114" t="s">
        <v>505</v>
      </c>
      <c r="H10" s="113" t="s">
        <v>6</v>
      </c>
      <c r="I10" s="113" t="s">
        <v>25</v>
      </c>
      <c r="J10" s="113" t="s">
        <v>52</v>
      </c>
      <c r="K10" s="113" t="s">
        <v>52</v>
      </c>
      <c r="L10" s="113" t="s">
        <v>15</v>
      </c>
      <c r="M10" s="115"/>
      <c r="N10" s="116"/>
    </row>
    <row r="11" spans="1:14" ht="31.5">
      <c r="A11" s="113" t="s">
        <v>449</v>
      </c>
      <c r="B11" s="113" t="s">
        <v>2</v>
      </c>
      <c r="C11" s="114" t="s">
        <v>28</v>
      </c>
      <c r="D11" s="119" t="s">
        <v>64</v>
      </c>
      <c r="E11" s="114" t="s">
        <v>508</v>
      </c>
      <c r="F11" s="114" t="s">
        <v>22</v>
      </c>
      <c r="G11" s="117" t="s">
        <v>509</v>
      </c>
      <c r="H11" s="113" t="s">
        <v>8</v>
      </c>
      <c r="I11" s="113" t="s">
        <v>25</v>
      </c>
      <c r="J11" s="113" t="s">
        <v>50</v>
      </c>
      <c r="K11" s="113" t="s">
        <v>50</v>
      </c>
      <c r="L11" s="113" t="s">
        <v>24</v>
      </c>
      <c r="M11" s="115"/>
      <c r="N11" s="118">
        <v>103016</v>
      </c>
    </row>
    <row r="12" spans="1:14" ht="30">
      <c r="A12" s="113" t="s">
        <v>510</v>
      </c>
      <c r="B12" s="113" t="s">
        <v>176</v>
      </c>
      <c r="C12" s="114" t="s">
        <v>36</v>
      </c>
      <c r="D12" s="119" t="s">
        <v>43</v>
      </c>
      <c r="E12" s="114" t="s">
        <v>454</v>
      </c>
      <c r="F12" s="114" t="s">
        <v>22</v>
      </c>
      <c r="G12" s="114" t="s">
        <v>511</v>
      </c>
      <c r="H12" s="113" t="s">
        <v>8</v>
      </c>
      <c r="I12" s="113" t="s">
        <v>25</v>
      </c>
      <c r="J12" s="113" t="s">
        <v>50</v>
      </c>
      <c r="K12" s="113"/>
      <c r="L12" s="113" t="s">
        <v>24</v>
      </c>
      <c r="M12" s="115"/>
      <c r="N12" s="116">
        <v>104097</v>
      </c>
    </row>
    <row r="13" spans="1:14" ht="30">
      <c r="A13" s="113"/>
      <c r="B13" s="113" t="s">
        <v>288</v>
      </c>
      <c r="C13" s="114" t="s">
        <v>36</v>
      </c>
      <c r="D13" s="119" t="s">
        <v>43</v>
      </c>
      <c r="E13" s="114" t="s">
        <v>406</v>
      </c>
      <c r="F13" s="114" t="s">
        <v>22</v>
      </c>
      <c r="G13" s="114"/>
      <c r="H13" s="113" t="s">
        <v>8</v>
      </c>
      <c r="I13" s="113"/>
      <c r="J13" s="113" t="s">
        <v>50</v>
      </c>
      <c r="K13" s="113" t="s">
        <v>52</v>
      </c>
      <c r="L13" s="113" t="s">
        <v>15</v>
      </c>
      <c r="M13" s="115"/>
      <c r="N13" s="116"/>
    </row>
    <row r="14" spans="1:14" ht="30">
      <c r="A14" s="113"/>
      <c r="B14" s="113" t="s">
        <v>288</v>
      </c>
      <c r="C14" s="114" t="s">
        <v>36</v>
      </c>
      <c r="D14" s="119" t="s">
        <v>43</v>
      </c>
      <c r="E14" s="114" t="s">
        <v>407</v>
      </c>
      <c r="F14" s="114" t="s">
        <v>22</v>
      </c>
      <c r="G14" s="114"/>
      <c r="H14" s="113" t="s">
        <v>8</v>
      </c>
      <c r="I14" s="113"/>
      <c r="J14" s="113" t="s">
        <v>50</v>
      </c>
      <c r="K14" s="113" t="s">
        <v>52</v>
      </c>
      <c r="L14" s="113" t="s">
        <v>15</v>
      </c>
      <c r="M14" s="115"/>
      <c r="N14" s="116"/>
    </row>
    <row r="15" spans="1:14" ht="30">
      <c r="A15" s="113"/>
      <c r="B15" s="113" t="s">
        <v>288</v>
      </c>
      <c r="C15" s="114" t="s">
        <v>36</v>
      </c>
      <c r="D15" s="119" t="s">
        <v>43</v>
      </c>
      <c r="E15" s="114" t="s">
        <v>512</v>
      </c>
      <c r="F15" s="114" t="s">
        <v>22</v>
      </c>
      <c r="G15" s="114"/>
      <c r="H15" s="113" t="s">
        <v>8</v>
      </c>
      <c r="I15" s="113"/>
      <c r="J15" s="113" t="s">
        <v>50</v>
      </c>
      <c r="K15" s="113" t="s">
        <v>52</v>
      </c>
      <c r="L15" s="113" t="s">
        <v>15</v>
      </c>
      <c r="M15" s="115"/>
      <c r="N15" s="116"/>
    </row>
    <row r="16" spans="1:14" ht="30">
      <c r="A16" s="113" t="s">
        <v>456</v>
      </c>
      <c r="B16" s="113" t="s">
        <v>265</v>
      </c>
      <c r="C16" s="114" t="s">
        <v>39</v>
      </c>
      <c r="D16" s="119" t="s">
        <v>48</v>
      </c>
      <c r="E16" s="114" t="s">
        <v>457</v>
      </c>
      <c r="F16" s="114" t="s">
        <v>22</v>
      </c>
      <c r="G16" s="114" t="s">
        <v>513</v>
      </c>
      <c r="H16" s="113" t="s">
        <v>8</v>
      </c>
      <c r="I16" s="113" t="s">
        <v>25</v>
      </c>
      <c r="J16" s="113" t="s">
        <v>50</v>
      </c>
      <c r="K16" s="113"/>
      <c r="L16" s="113" t="s">
        <v>24</v>
      </c>
      <c r="M16" s="115"/>
      <c r="N16" s="116" t="s">
        <v>514</v>
      </c>
    </row>
    <row r="17" spans="1:14" ht="30">
      <c r="A17" s="113" t="s">
        <v>515</v>
      </c>
      <c r="B17" s="113" t="s">
        <v>200</v>
      </c>
      <c r="C17" s="114" t="s">
        <v>41</v>
      </c>
      <c r="D17" s="119" t="s">
        <v>67</v>
      </c>
      <c r="E17" s="114" t="s">
        <v>516</v>
      </c>
      <c r="F17" s="114" t="s">
        <v>22</v>
      </c>
      <c r="G17" s="114"/>
      <c r="H17" s="113" t="s">
        <v>6</v>
      </c>
      <c r="I17" s="113" t="s">
        <v>25</v>
      </c>
      <c r="J17" s="113" t="s">
        <v>52</v>
      </c>
      <c r="K17" s="113"/>
      <c r="L17" s="113"/>
      <c r="M17" s="115"/>
      <c r="N17" s="116"/>
    </row>
    <row r="18" spans="1:14" ht="30">
      <c r="A18" s="113" t="s">
        <v>466</v>
      </c>
      <c r="B18" s="113" t="s">
        <v>288</v>
      </c>
      <c r="C18" s="114" t="s">
        <v>36</v>
      </c>
      <c r="D18" s="119" t="s">
        <v>43</v>
      </c>
      <c r="E18" s="114" t="s">
        <v>517</v>
      </c>
      <c r="F18" s="114" t="s">
        <v>22</v>
      </c>
      <c r="G18" s="114"/>
      <c r="H18" s="113"/>
      <c r="I18" s="113"/>
      <c r="J18" s="113"/>
      <c r="K18" s="113"/>
      <c r="L18" s="113"/>
      <c r="M18" s="115"/>
      <c r="N18" s="116"/>
    </row>
    <row r="19" spans="1:14">
      <c r="A19" s="113" t="s">
        <v>467</v>
      </c>
      <c r="B19" s="113" t="s">
        <v>288</v>
      </c>
      <c r="C19" s="114" t="s">
        <v>36</v>
      </c>
      <c r="D19" s="119" t="s">
        <v>43</v>
      </c>
      <c r="E19" s="114" t="s">
        <v>468</v>
      </c>
      <c r="F19" s="114"/>
      <c r="G19" s="114"/>
      <c r="H19" s="113"/>
      <c r="I19" s="113"/>
      <c r="J19" s="113"/>
      <c r="K19" s="113"/>
      <c r="L19" s="113"/>
      <c r="M19" s="115"/>
      <c r="N19" s="116"/>
    </row>
  </sheetData>
  <mergeCells count="6">
    <mergeCell ref="A1:N1"/>
    <mergeCell ref="C2:D2"/>
    <mergeCell ref="A2:B2"/>
    <mergeCell ref="J2:K2"/>
    <mergeCell ref="E2:H2"/>
    <mergeCell ref="L2:N2"/>
  </mergeCells>
  <pageMargins left="0.7" right="0.7" top="0.75" bottom="0.75" header="0.3" footer="0.3"/>
  <pageSetup paperSize="9"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6B059C-9A99-4CFD-990C-C371FF6400DF}">
  <sheetPr codeName="Sheet11">
    <tabColor theme="9"/>
    <pageSetUpPr fitToPage="1"/>
  </sheetPr>
  <dimension ref="A1:X35"/>
  <sheetViews>
    <sheetView zoomScale="80" zoomScaleNormal="80" workbookViewId="0">
      <selection activeCell="U30" sqref="U30"/>
    </sheetView>
  </sheetViews>
  <sheetFormatPr defaultColWidth="9.42578125" defaultRowHeight="15"/>
  <cols>
    <col min="1" max="1" width="20.42578125" style="9" customWidth="1"/>
    <col min="2" max="2" width="20.7109375" style="9" customWidth="1"/>
    <col min="3" max="3" width="38.7109375" style="9" bestFit="1" customWidth="1"/>
    <col min="4" max="4" width="19.42578125" style="9" customWidth="1"/>
    <col min="5" max="5" width="35.42578125" style="9" bestFit="1" customWidth="1"/>
    <col min="6" max="6" width="17.42578125" style="9" customWidth="1"/>
    <col min="7" max="7" width="10.42578125" style="9" customWidth="1"/>
    <col min="8" max="8" width="50.42578125" style="9" customWidth="1"/>
    <col min="9" max="9" width="63.42578125" style="25" customWidth="1"/>
    <col min="10" max="10" width="19.42578125" style="9" customWidth="1"/>
    <col min="11" max="11" width="30.42578125" style="9" bestFit="1" customWidth="1"/>
    <col min="12" max="13" width="15.42578125" style="9" customWidth="1"/>
    <col min="14" max="14" width="19.42578125" style="11" customWidth="1"/>
    <col min="15" max="15" width="12.28515625" style="26" customWidth="1"/>
    <col min="16" max="16" width="20.7109375" style="26" customWidth="1"/>
    <col min="17" max="17" width="10.28515625" style="26" customWidth="1"/>
    <col min="18" max="18" width="13.42578125" style="10" customWidth="1"/>
    <col min="19" max="19" width="15" style="9" customWidth="1"/>
    <col min="20" max="20" width="13.42578125" style="9" customWidth="1"/>
    <col min="21" max="21" width="63.42578125" style="9" bestFit="1" customWidth="1"/>
    <col min="22" max="22" width="15.42578125" style="9" bestFit="1" customWidth="1"/>
    <col min="23" max="23" width="12.42578125" style="9" bestFit="1" customWidth="1"/>
    <col min="24" max="16384" width="9.42578125" style="9"/>
  </cols>
  <sheetData>
    <row r="1" spans="1:24" ht="34.35" customHeight="1">
      <c r="A1" s="167" t="s">
        <v>518</v>
      </c>
      <c r="B1" s="167"/>
      <c r="C1" s="167"/>
      <c r="D1" s="167"/>
      <c r="E1" s="167"/>
      <c r="F1" s="167"/>
      <c r="G1" s="167"/>
      <c r="H1" s="167"/>
      <c r="I1" s="167"/>
      <c r="J1" s="167"/>
      <c r="K1" s="167"/>
      <c r="L1" s="167"/>
      <c r="M1" s="167"/>
      <c r="N1" s="167"/>
      <c r="O1" s="167"/>
      <c r="P1" s="167"/>
      <c r="Q1" s="167"/>
      <c r="R1" s="167"/>
      <c r="S1" s="167"/>
      <c r="T1" s="167"/>
      <c r="U1" s="167"/>
    </row>
    <row r="2" spans="1:24">
      <c r="A2" s="168" t="s">
        <v>519</v>
      </c>
      <c r="B2" s="168"/>
      <c r="C2" s="168"/>
      <c r="D2" s="19" t="s">
        <v>520</v>
      </c>
      <c r="E2" s="168" t="s">
        <v>521</v>
      </c>
      <c r="F2" s="168"/>
      <c r="G2" s="168" t="s">
        <v>522</v>
      </c>
      <c r="H2" s="168"/>
      <c r="I2" s="168"/>
      <c r="J2" s="168"/>
      <c r="K2" s="168"/>
      <c r="L2" s="168"/>
      <c r="M2" s="168"/>
      <c r="N2" s="168"/>
      <c r="O2" s="169" t="s">
        <v>523</v>
      </c>
      <c r="P2" s="169"/>
      <c r="Q2" s="169"/>
      <c r="R2" s="170" t="s">
        <v>524</v>
      </c>
      <c r="S2" s="170"/>
      <c r="T2" s="170"/>
      <c r="U2" s="19" t="s">
        <v>525</v>
      </c>
    </row>
    <row r="3" spans="1:24" s="7" customFormat="1" ht="149.25" customHeight="1">
      <c r="A3" s="17" t="s">
        <v>526</v>
      </c>
      <c r="B3" s="17" t="s">
        <v>138</v>
      </c>
      <c r="C3" s="12" t="s">
        <v>78</v>
      </c>
      <c r="D3" s="17" t="s">
        <v>79</v>
      </c>
      <c r="E3" s="17" t="s">
        <v>80</v>
      </c>
      <c r="F3" s="17" t="s">
        <v>81</v>
      </c>
      <c r="G3" s="12" t="s">
        <v>82</v>
      </c>
      <c r="H3" s="17" t="s">
        <v>83</v>
      </c>
      <c r="I3" s="13" t="s">
        <v>84</v>
      </c>
      <c r="J3" s="17" t="s">
        <v>85</v>
      </c>
      <c r="K3" s="17" t="s">
        <v>86</v>
      </c>
      <c r="L3" s="12" t="s">
        <v>87</v>
      </c>
      <c r="M3" s="12" t="s">
        <v>141</v>
      </c>
      <c r="N3" s="17" t="s">
        <v>88</v>
      </c>
      <c r="O3" s="18" t="s">
        <v>89</v>
      </c>
      <c r="P3" s="18" t="s">
        <v>90</v>
      </c>
      <c r="Q3" s="18" t="s">
        <v>91</v>
      </c>
      <c r="R3" s="14" t="s">
        <v>92</v>
      </c>
      <c r="S3" s="15" t="s">
        <v>93</v>
      </c>
      <c r="T3" s="16" t="s">
        <v>94</v>
      </c>
      <c r="U3" s="17" t="s">
        <v>95</v>
      </c>
    </row>
    <row r="4" spans="1:24" ht="42.75" customHeight="1">
      <c r="A4" s="20" t="s">
        <v>255</v>
      </c>
      <c r="B4" s="24">
        <v>45944</v>
      </c>
      <c r="C4" s="20" t="s">
        <v>438</v>
      </c>
      <c r="D4" s="20" t="s">
        <v>13</v>
      </c>
      <c r="E4" s="20" t="s">
        <v>16</v>
      </c>
      <c r="F4" s="20" t="s">
        <v>72</v>
      </c>
      <c r="G4" s="20" t="s">
        <v>20</v>
      </c>
      <c r="H4" s="20" t="s">
        <v>539</v>
      </c>
      <c r="I4" s="21" t="s">
        <v>540</v>
      </c>
      <c r="J4" s="20" t="s">
        <v>35</v>
      </c>
      <c r="K4" s="20" t="s">
        <v>11</v>
      </c>
      <c r="L4" s="77" t="s">
        <v>35</v>
      </c>
      <c r="M4" s="77" t="s">
        <v>535</v>
      </c>
      <c r="N4" s="22" t="s">
        <v>5</v>
      </c>
      <c r="O4" s="23" t="s">
        <v>25</v>
      </c>
      <c r="P4" s="22">
        <v>200000</v>
      </c>
      <c r="Q4" s="20" t="s">
        <v>4</v>
      </c>
      <c r="R4" s="23" t="s">
        <v>50</v>
      </c>
      <c r="S4" s="24" t="s">
        <v>52</v>
      </c>
      <c r="T4" s="20" t="s">
        <v>537</v>
      </c>
      <c r="U4" s="20" t="s">
        <v>538</v>
      </c>
    </row>
    <row r="5" spans="1:24" s="125" customFormat="1" ht="42.75" customHeight="1">
      <c r="A5" s="120" t="s">
        <v>269</v>
      </c>
      <c r="B5" s="121">
        <v>45971</v>
      </c>
      <c r="C5" s="120"/>
      <c r="D5" s="120" t="s">
        <v>13</v>
      </c>
      <c r="E5" s="120" t="s">
        <v>28</v>
      </c>
      <c r="F5" s="120" t="s">
        <v>59</v>
      </c>
      <c r="G5" s="120" t="s">
        <v>20</v>
      </c>
      <c r="H5" s="120" t="s">
        <v>541</v>
      </c>
      <c r="I5" s="122" t="s">
        <v>542</v>
      </c>
      <c r="J5" s="120" t="s">
        <v>35</v>
      </c>
      <c r="K5" s="120" t="s">
        <v>11</v>
      </c>
      <c r="L5" s="120" t="s">
        <v>35</v>
      </c>
      <c r="M5" s="120" t="s">
        <v>535</v>
      </c>
      <c r="N5" s="123" t="s">
        <v>5</v>
      </c>
      <c r="O5" s="124" t="s">
        <v>25</v>
      </c>
      <c r="P5" s="123">
        <v>200000</v>
      </c>
      <c r="Q5" s="120" t="s">
        <v>4</v>
      </c>
      <c r="R5" s="124" t="s">
        <v>50</v>
      </c>
      <c r="S5" s="121" t="s">
        <v>52</v>
      </c>
      <c r="T5" s="120" t="s">
        <v>543</v>
      </c>
      <c r="U5" s="120" t="s">
        <v>544</v>
      </c>
    </row>
    <row r="6" spans="1:24" ht="42.75" customHeight="1">
      <c r="A6" s="20" t="s">
        <v>269</v>
      </c>
      <c r="B6" s="24">
        <v>45971</v>
      </c>
      <c r="C6" s="20"/>
      <c r="D6" s="20" t="s">
        <v>13</v>
      </c>
      <c r="E6" s="20" t="s">
        <v>28</v>
      </c>
      <c r="F6" s="20" t="s">
        <v>59</v>
      </c>
      <c r="G6" s="20" t="s">
        <v>20</v>
      </c>
      <c r="H6" s="20" t="s">
        <v>545</v>
      </c>
      <c r="I6" s="21" t="s">
        <v>546</v>
      </c>
      <c r="J6" s="20" t="s">
        <v>547</v>
      </c>
      <c r="K6" s="20" t="s">
        <v>11</v>
      </c>
      <c r="L6" s="77" t="s">
        <v>35</v>
      </c>
      <c r="M6" s="77" t="s">
        <v>536</v>
      </c>
      <c r="N6" s="22" t="s">
        <v>5</v>
      </c>
      <c r="O6" s="23" t="s">
        <v>17</v>
      </c>
      <c r="P6" s="22">
        <v>75000</v>
      </c>
      <c r="Q6" s="20" t="s">
        <v>4</v>
      </c>
      <c r="R6" s="23" t="s">
        <v>50</v>
      </c>
      <c r="S6" s="24" t="s">
        <v>52</v>
      </c>
      <c r="T6" s="20" t="s">
        <v>529</v>
      </c>
      <c r="U6" s="20" t="s">
        <v>548</v>
      </c>
    </row>
    <row r="7" spans="1:24" ht="29.25" customHeight="1">
      <c r="A7" s="20" t="s">
        <v>278</v>
      </c>
      <c r="B7" s="20" t="s">
        <v>489</v>
      </c>
      <c r="C7" s="20" t="s">
        <v>435</v>
      </c>
      <c r="D7" s="20" t="s">
        <v>27</v>
      </c>
      <c r="E7" s="20" t="s">
        <v>33</v>
      </c>
      <c r="F7" s="20" t="s">
        <v>37</v>
      </c>
      <c r="G7" s="20" t="s">
        <v>20</v>
      </c>
      <c r="H7" s="20" t="s">
        <v>552</v>
      </c>
      <c r="I7" s="21" t="s">
        <v>553</v>
      </c>
      <c r="J7" s="20" t="s">
        <v>530</v>
      </c>
      <c r="K7" s="20" t="s">
        <v>11</v>
      </c>
      <c r="L7" s="20" t="s">
        <v>40</v>
      </c>
      <c r="M7" s="20"/>
      <c r="N7" s="20" t="s">
        <v>488</v>
      </c>
      <c r="O7" s="20" t="s">
        <v>32</v>
      </c>
      <c r="P7" s="22">
        <v>3400000</v>
      </c>
      <c r="Q7" s="20" t="s">
        <v>7</v>
      </c>
      <c r="R7" s="23" t="s">
        <v>46</v>
      </c>
      <c r="S7" s="24" t="s">
        <v>52</v>
      </c>
      <c r="T7" s="20" t="s">
        <v>554</v>
      </c>
      <c r="U7" s="20"/>
    </row>
    <row r="8" spans="1:24" ht="30" customHeight="1">
      <c r="A8" s="20" t="s">
        <v>278</v>
      </c>
      <c r="B8" s="20" t="s">
        <v>489</v>
      </c>
      <c r="C8" s="20" t="s">
        <v>436</v>
      </c>
      <c r="D8" s="20" t="s">
        <v>27</v>
      </c>
      <c r="E8" s="20" t="s">
        <v>33</v>
      </c>
      <c r="F8" s="20" t="s">
        <v>37</v>
      </c>
      <c r="G8" s="20" t="s">
        <v>20</v>
      </c>
      <c r="H8" s="20" t="s">
        <v>555</v>
      </c>
      <c r="I8" s="21" t="s">
        <v>556</v>
      </c>
      <c r="J8" s="20" t="s">
        <v>530</v>
      </c>
      <c r="K8" s="20" t="s">
        <v>11</v>
      </c>
      <c r="L8" s="20" t="s">
        <v>40</v>
      </c>
      <c r="M8" s="20"/>
      <c r="N8" s="20" t="s">
        <v>488</v>
      </c>
      <c r="O8" s="20" t="s">
        <v>32</v>
      </c>
      <c r="P8" s="22">
        <v>3000000</v>
      </c>
      <c r="Q8" s="20" t="s">
        <v>7</v>
      </c>
      <c r="R8" s="23" t="s">
        <v>46</v>
      </c>
      <c r="S8" s="24" t="s">
        <v>52</v>
      </c>
      <c r="T8" s="20" t="s">
        <v>557</v>
      </c>
      <c r="U8" s="20"/>
    </row>
    <row r="9" spans="1:24" ht="87" customHeight="1">
      <c r="A9" s="20" t="s">
        <v>195</v>
      </c>
      <c r="B9" s="20" t="s">
        <v>489</v>
      </c>
      <c r="C9" s="20" t="s">
        <v>3</v>
      </c>
      <c r="D9" s="20" t="s">
        <v>13</v>
      </c>
      <c r="E9" s="20" t="s">
        <v>324</v>
      </c>
      <c r="F9" s="20" t="s">
        <v>72</v>
      </c>
      <c r="G9" s="20" t="s">
        <v>20</v>
      </c>
      <c r="H9" s="20" t="s">
        <v>559</v>
      </c>
      <c r="I9" s="21" t="s">
        <v>560</v>
      </c>
      <c r="J9" s="20" t="s">
        <v>530</v>
      </c>
      <c r="K9" s="20" t="s">
        <v>11</v>
      </c>
      <c r="L9" s="20" t="s">
        <v>40</v>
      </c>
      <c r="M9" s="20"/>
      <c r="N9" s="22" t="s">
        <v>8</v>
      </c>
      <c r="O9" s="23" t="s">
        <v>17</v>
      </c>
      <c r="P9" s="22">
        <v>150000</v>
      </c>
      <c r="Q9" s="23" t="s">
        <v>532</v>
      </c>
      <c r="R9" s="23" t="s">
        <v>52</v>
      </c>
      <c r="S9" s="24" t="s">
        <v>50</v>
      </c>
      <c r="T9" s="20" t="s">
        <v>558</v>
      </c>
      <c r="U9" s="8"/>
    </row>
    <row r="10" spans="1:24" ht="45">
      <c r="A10" s="20" t="s">
        <v>299</v>
      </c>
      <c r="B10" s="20" t="s">
        <v>489</v>
      </c>
      <c r="C10" s="20" t="s">
        <v>3</v>
      </c>
      <c r="D10" s="20" t="s">
        <v>13</v>
      </c>
      <c r="E10" s="20" t="s">
        <v>28</v>
      </c>
      <c r="F10" s="20" t="s">
        <v>56</v>
      </c>
      <c r="G10" s="20" t="s">
        <v>20</v>
      </c>
      <c r="H10" s="7" t="s">
        <v>561</v>
      </c>
      <c r="I10" s="25" t="s">
        <v>562</v>
      </c>
      <c r="J10" s="20" t="s">
        <v>530</v>
      </c>
      <c r="K10" s="20" t="s">
        <v>19</v>
      </c>
      <c r="L10" s="20" t="s">
        <v>40</v>
      </c>
      <c r="M10" s="20" t="s">
        <v>535</v>
      </c>
      <c r="N10" s="22" t="s">
        <v>5</v>
      </c>
      <c r="O10" s="23" t="s">
        <v>32</v>
      </c>
      <c r="P10" s="22">
        <v>4000000</v>
      </c>
      <c r="Q10" s="23" t="s">
        <v>7</v>
      </c>
      <c r="R10" s="23" t="s">
        <v>54</v>
      </c>
      <c r="S10" s="24" t="s">
        <v>58</v>
      </c>
      <c r="T10" s="20" t="s">
        <v>563</v>
      </c>
      <c r="U10" s="20"/>
    </row>
    <row r="11" spans="1:24" ht="45">
      <c r="A11" s="20" t="s">
        <v>249</v>
      </c>
      <c r="B11" s="20" t="s">
        <v>489</v>
      </c>
      <c r="C11" s="20" t="s">
        <v>440</v>
      </c>
      <c r="D11" s="20" t="s">
        <v>21</v>
      </c>
      <c r="E11" s="20" t="s">
        <v>16</v>
      </c>
      <c r="F11" s="20" t="s">
        <v>53</v>
      </c>
      <c r="G11" s="20" t="s">
        <v>20</v>
      </c>
      <c r="H11" s="20" t="s">
        <v>441</v>
      </c>
      <c r="I11" s="21" t="s">
        <v>564</v>
      </c>
      <c r="J11" s="20" t="s">
        <v>530</v>
      </c>
      <c r="K11" s="20" t="s">
        <v>19</v>
      </c>
      <c r="L11" s="20" t="s">
        <v>40</v>
      </c>
      <c r="M11" s="20" t="s">
        <v>536</v>
      </c>
      <c r="N11" s="20" t="s">
        <v>488</v>
      </c>
      <c r="O11" s="20" t="s">
        <v>29</v>
      </c>
      <c r="P11" s="22">
        <v>500000</v>
      </c>
      <c r="Q11" s="20" t="s">
        <v>532</v>
      </c>
      <c r="R11" s="23" t="s">
        <v>52</v>
      </c>
      <c r="S11" s="24" t="s">
        <v>54</v>
      </c>
      <c r="T11" s="20" t="s">
        <v>534</v>
      </c>
      <c r="U11" s="20"/>
    </row>
    <row r="12" spans="1:24" ht="77.25" customHeight="1">
      <c r="A12" s="20" t="s">
        <v>299</v>
      </c>
      <c r="B12" s="20" t="s">
        <v>489</v>
      </c>
      <c r="C12" s="20" t="s">
        <v>442</v>
      </c>
      <c r="D12" s="20" t="s">
        <v>13</v>
      </c>
      <c r="E12" s="20" t="s">
        <v>31</v>
      </c>
      <c r="F12" s="20" t="s">
        <v>66</v>
      </c>
      <c r="G12" s="20" t="s">
        <v>20</v>
      </c>
      <c r="H12" s="20" t="s">
        <v>565</v>
      </c>
      <c r="I12" s="21" t="s">
        <v>566</v>
      </c>
      <c r="J12" s="20" t="s">
        <v>30</v>
      </c>
      <c r="K12" s="20" t="s">
        <v>19</v>
      </c>
      <c r="L12" s="20" t="s">
        <v>30</v>
      </c>
      <c r="M12" s="20" t="s">
        <v>536</v>
      </c>
      <c r="N12" s="22" t="s">
        <v>8</v>
      </c>
      <c r="O12" s="23" t="s">
        <v>25</v>
      </c>
      <c r="P12" s="22">
        <v>120000</v>
      </c>
      <c r="Q12" s="23" t="s">
        <v>4</v>
      </c>
      <c r="R12" s="23" t="s">
        <v>52</v>
      </c>
      <c r="S12" s="24" t="s">
        <v>54</v>
      </c>
      <c r="T12" s="20" t="s">
        <v>567</v>
      </c>
      <c r="U12" s="20"/>
    </row>
    <row r="13" spans="1:24" ht="45">
      <c r="A13" s="20" t="s">
        <v>200</v>
      </c>
      <c r="B13" s="20" t="s">
        <v>489</v>
      </c>
      <c r="C13" s="20" t="s">
        <v>446</v>
      </c>
      <c r="D13" s="20" t="s">
        <v>27</v>
      </c>
      <c r="E13" s="20" t="s">
        <v>36</v>
      </c>
      <c r="F13" s="20" t="s">
        <v>69</v>
      </c>
      <c r="G13" s="20" t="s">
        <v>20</v>
      </c>
      <c r="H13" s="20" t="s">
        <v>568</v>
      </c>
      <c r="I13" s="46" t="s">
        <v>569</v>
      </c>
      <c r="J13" s="20" t="s">
        <v>551</v>
      </c>
      <c r="K13" s="20" t="s">
        <v>11</v>
      </c>
      <c r="L13" s="20" t="s">
        <v>40</v>
      </c>
      <c r="M13" s="20" t="s">
        <v>536</v>
      </c>
      <c r="N13" s="22" t="s">
        <v>6</v>
      </c>
      <c r="O13" s="23" t="s">
        <v>17</v>
      </c>
      <c r="P13" s="22">
        <v>50000</v>
      </c>
      <c r="Q13" s="23" t="s">
        <v>4</v>
      </c>
      <c r="R13" s="23" t="s">
        <v>49</v>
      </c>
      <c r="S13" s="23" t="s">
        <v>49</v>
      </c>
      <c r="T13" s="20" t="s">
        <v>533</v>
      </c>
      <c r="U13" s="20" t="s">
        <v>570</v>
      </c>
    </row>
    <row r="14" spans="1:24" ht="45">
      <c r="A14" s="20" t="s">
        <v>271</v>
      </c>
      <c r="B14" s="20" t="s">
        <v>489</v>
      </c>
      <c r="C14" s="20" t="s">
        <v>443</v>
      </c>
      <c r="D14" s="20" t="s">
        <v>13</v>
      </c>
      <c r="E14" s="20" t="s">
        <v>39</v>
      </c>
      <c r="F14" s="20" t="s">
        <v>71</v>
      </c>
      <c r="G14" s="20" t="s">
        <v>20</v>
      </c>
      <c r="H14" s="20" t="s">
        <v>574</v>
      </c>
      <c r="I14" s="20" t="s">
        <v>574</v>
      </c>
      <c r="J14" s="20" t="s">
        <v>527</v>
      </c>
      <c r="K14" s="20" t="s">
        <v>19</v>
      </c>
      <c r="L14" s="20" t="s">
        <v>40</v>
      </c>
      <c r="M14" s="20" t="s">
        <v>536</v>
      </c>
      <c r="N14" s="22" t="s">
        <v>8</v>
      </c>
      <c r="O14" s="23" t="s">
        <v>25</v>
      </c>
      <c r="P14" s="22">
        <v>150000</v>
      </c>
      <c r="Q14" s="23" t="s">
        <v>4</v>
      </c>
      <c r="R14" s="23" t="s">
        <v>52</v>
      </c>
      <c r="S14" s="24" t="s">
        <v>52</v>
      </c>
      <c r="T14" s="20" t="s">
        <v>563</v>
      </c>
      <c r="U14" s="20"/>
    </row>
    <row r="15" spans="1:24" ht="30">
      <c r="A15" s="20" t="s">
        <v>283</v>
      </c>
      <c r="B15" s="20" t="s">
        <v>489</v>
      </c>
      <c r="C15" t="s">
        <v>447</v>
      </c>
      <c r="D15" s="20" t="s">
        <v>13</v>
      </c>
      <c r="E15" s="20" t="s">
        <v>33</v>
      </c>
      <c r="F15" s="20" t="s">
        <v>76</v>
      </c>
      <c r="G15" s="20" t="s">
        <v>20</v>
      </c>
      <c r="H15" s="31" t="s">
        <v>437</v>
      </c>
      <c r="I15" s="31" t="s">
        <v>550</v>
      </c>
      <c r="J15" s="20" t="s">
        <v>47</v>
      </c>
      <c r="K15" s="20" t="s">
        <v>19</v>
      </c>
      <c r="L15" s="20" t="s">
        <v>47</v>
      </c>
      <c r="M15" s="20" t="s">
        <v>536</v>
      </c>
      <c r="N15" s="22" t="s">
        <v>8</v>
      </c>
      <c r="O15" s="23" t="s">
        <v>32</v>
      </c>
      <c r="P15" s="22">
        <v>1500000</v>
      </c>
      <c r="Q15" s="23" t="s">
        <v>7</v>
      </c>
      <c r="R15" s="23" t="s">
        <v>52</v>
      </c>
      <c r="S15" s="24" t="s">
        <v>54</v>
      </c>
      <c r="T15" s="20" t="s">
        <v>563</v>
      </c>
      <c r="U15" s="20"/>
    </row>
    <row r="16" spans="1:24" ht="25.35" customHeight="1">
      <c r="A16" s="77" t="s">
        <v>269</v>
      </c>
      <c r="B16" s="24">
        <v>45904</v>
      </c>
      <c r="C16" s="77" t="s">
        <v>438</v>
      </c>
      <c r="D16" s="77" t="s">
        <v>13</v>
      </c>
      <c r="E16" s="77" t="s">
        <v>28</v>
      </c>
      <c r="F16" s="77" t="s">
        <v>59</v>
      </c>
      <c r="G16" s="20" t="s">
        <v>12</v>
      </c>
      <c r="H16" s="77" t="s">
        <v>575</v>
      </c>
      <c r="I16" s="78" t="s">
        <v>576</v>
      </c>
      <c r="J16" s="77" t="s">
        <v>35</v>
      </c>
      <c r="K16" s="77" t="s">
        <v>26</v>
      </c>
      <c r="L16" s="77" t="s">
        <v>35</v>
      </c>
      <c r="M16" s="77" t="s">
        <v>536</v>
      </c>
      <c r="N16" s="77" t="s">
        <v>5</v>
      </c>
      <c r="O16" s="77" t="s">
        <v>32</v>
      </c>
      <c r="P16" s="79">
        <v>500000</v>
      </c>
      <c r="Q16" s="77" t="s">
        <v>7</v>
      </c>
      <c r="R16" s="80" t="s">
        <v>54</v>
      </c>
      <c r="S16" s="81" t="s">
        <v>55</v>
      </c>
      <c r="T16" s="77" t="s">
        <v>571</v>
      </c>
      <c r="U16" s="77" t="s">
        <v>493</v>
      </c>
      <c r="V16" s="87"/>
      <c r="W16" s="87"/>
      <c r="X16" s="87"/>
    </row>
    <row r="17" spans="1:24" s="125" customFormat="1" ht="25.35" customHeight="1">
      <c r="A17" s="120" t="s">
        <v>269</v>
      </c>
      <c r="B17" s="121">
        <v>46014</v>
      </c>
      <c r="C17" s="120" t="s">
        <v>438</v>
      </c>
      <c r="D17" s="120" t="s">
        <v>13</v>
      </c>
      <c r="E17" s="120" t="s">
        <v>28</v>
      </c>
      <c r="F17" s="120" t="s">
        <v>59</v>
      </c>
      <c r="G17" s="120" t="s">
        <v>20</v>
      </c>
      <c r="H17" s="120" t="s">
        <v>577</v>
      </c>
      <c r="I17" s="122" t="s">
        <v>578</v>
      </c>
      <c r="J17" s="120" t="s">
        <v>35</v>
      </c>
      <c r="K17" s="120" t="s">
        <v>26</v>
      </c>
      <c r="L17" s="120" t="s">
        <v>35</v>
      </c>
      <c r="M17" s="120" t="s">
        <v>536</v>
      </c>
      <c r="N17" s="120" t="s">
        <v>5</v>
      </c>
      <c r="O17" s="120" t="s">
        <v>25</v>
      </c>
      <c r="P17" s="123">
        <v>250000</v>
      </c>
      <c r="Q17" s="120" t="s">
        <v>4</v>
      </c>
      <c r="R17" s="124" t="s">
        <v>54</v>
      </c>
      <c r="S17" s="121" t="s">
        <v>579</v>
      </c>
      <c r="T17" s="122">
        <v>3</v>
      </c>
      <c r="U17" s="120" t="s">
        <v>493</v>
      </c>
      <c r="V17" s="126"/>
      <c r="W17" s="126"/>
      <c r="X17" s="126"/>
    </row>
    <row r="18" spans="1:24" ht="30">
      <c r="A18" s="77" t="s">
        <v>269</v>
      </c>
      <c r="B18" s="101">
        <v>45904</v>
      </c>
      <c r="C18" s="77" t="s">
        <v>438</v>
      </c>
      <c r="D18" s="77" t="s">
        <v>13</v>
      </c>
      <c r="E18" s="77" t="s">
        <v>28</v>
      </c>
      <c r="F18" s="77" t="s">
        <v>59</v>
      </c>
      <c r="G18" s="82" t="s">
        <v>12</v>
      </c>
      <c r="H18" s="77" t="s">
        <v>580</v>
      </c>
      <c r="I18" s="78" t="s">
        <v>581</v>
      </c>
      <c r="J18" s="77" t="s">
        <v>35</v>
      </c>
      <c r="K18" s="77" t="s">
        <v>19</v>
      </c>
      <c r="L18" s="77" t="s">
        <v>35</v>
      </c>
      <c r="M18" s="77" t="s">
        <v>536</v>
      </c>
      <c r="N18" s="77" t="s">
        <v>9</v>
      </c>
      <c r="O18" s="77" t="s">
        <v>32</v>
      </c>
      <c r="P18" s="79">
        <v>1500000</v>
      </c>
      <c r="Q18" s="77" t="s">
        <v>7</v>
      </c>
      <c r="R18" s="80" t="s">
        <v>54</v>
      </c>
      <c r="S18" s="81" t="s">
        <v>55</v>
      </c>
      <c r="T18" s="77" t="s">
        <v>571</v>
      </c>
      <c r="U18" s="77" t="s">
        <v>582</v>
      </c>
      <c r="V18" s="87"/>
      <c r="W18" s="87"/>
      <c r="X18" s="87"/>
    </row>
    <row r="19" spans="1:24" ht="45">
      <c r="A19" s="20" t="s">
        <v>265</v>
      </c>
      <c r="B19" s="24">
        <v>45924</v>
      </c>
      <c r="C19" s="110" t="s">
        <v>444</v>
      </c>
      <c r="D19" s="20" t="s">
        <v>13</v>
      </c>
      <c r="E19" s="20" t="s">
        <v>33</v>
      </c>
      <c r="F19" s="20" t="s">
        <v>37</v>
      </c>
      <c r="G19" s="20" t="s">
        <v>20</v>
      </c>
      <c r="H19" s="95" t="s">
        <v>445</v>
      </c>
      <c r="I19" s="38" t="s">
        <v>585</v>
      </c>
      <c r="J19" s="20" t="s">
        <v>527</v>
      </c>
      <c r="K19" s="20" t="s">
        <v>26</v>
      </c>
      <c r="L19" s="20" t="s">
        <v>40</v>
      </c>
      <c r="M19" s="20" t="s">
        <v>536</v>
      </c>
      <c r="N19" s="22" t="s">
        <v>6</v>
      </c>
      <c r="O19" s="23" t="s">
        <v>32</v>
      </c>
      <c r="P19" s="22">
        <v>1072553</v>
      </c>
      <c r="Q19" s="22" t="s">
        <v>7</v>
      </c>
      <c r="R19" s="23" t="s">
        <v>52</v>
      </c>
      <c r="S19" s="24" t="s">
        <v>52</v>
      </c>
      <c r="T19" s="20" t="s">
        <v>583</v>
      </c>
      <c r="U19" s="20"/>
    </row>
    <row r="20" spans="1:24" ht="60">
      <c r="A20" s="20" t="s">
        <v>283</v>
      </c>
      <c r="B20" s="24">
        <v>45929</v>
      </c>
      <c r="C20" s="20" t="s">
        <v>452</v>
      </c>
      <c r="D20" s="20" t="s">
        <v>21</v>
      </c>
      <c r="E20" s="20" t="s">
        <v>31</v>
      </c>
      <c r="F20" s="20" t="s">
        <v>66</v>
      </c>
      <c r="G20" s="20" t="s">
        <v>20</v>
      </c>
      <c r="H20" s="20" t="s">
        <v>453</v>
      </c>
      <c r="I20" s="21" t="s">
        <v>586</v>
      </c>
      <c r="J20" s="20" t="s">
        <v>527</v>
      </c>
      <c r="K20" s="20" t="s">
        <v>19</v>
      </c>
      <c r="L20" s="20" t="s">
        <v>40</v>
      </c>
      <c r="M20" s="20" t="s">
        <v>536</v>
      </c>
      <c r="N20" s="22" t="s">
        <v>8</v>
      </c>
      <c r="O20" s="23" t="s">
        <v>17</v>
      </c>
      <c r="P20" s="22">
        <v>60000</v>
      </c>
      <c r="Q20" s="23" t="s">
        <v>4</v>
      </c>
      <c r="R20" s="23" t="s">
        <v>52</v>
      </c>
      <c r="S20" s="24" t="s">
        <v>54</v>
      </c>
      <c r="T20" s="20" t="s">
        <v>587</v>
      </c>
      <c r="U20" s="20"/>
    </row>
    <row r="21" spans="1:24" ht="60">
      <c r="A21" s="20" t="s">
        <v>263</v>
      </c>
      <c r="B21" s="24">
        <v>45932</v>
      </c>
      <c r="C21" s="20" t="s">
        <v>458</v>
      </c>
      <c r="D21" s="20" t="s">
        <v>13</v>
      </c>
      <c r="E21" s="20" t="s">
        <v>31</v>
      </c>
      <c r="F21" s="20" t="s">
        <v>66</v>
      </c>
      <c r="G21" s="20" t="s">
        <v>20</v>
      </c>
      <c r="H21" s="20" t="s">
        <v>588</v>
      </c>
      <c r="I21" s="21" t="s">
        <v>589</v>
      </c>
      <c r="J21" s="20" t="s">
        <v>584</v>
      </c>
      <c r="K21" s="20" t="s">
        <v>11</v>
      </c>
      <c r="L21" s="20" t="s">
        <v>40</v>
      </c>
      <c r="M21" s="20" t="s">
        <v>536</v>
      </c>
      <c r="N21" s="22" t="s">
        <v>8</v>
      </c>
      <c r="O21" s="23" t="s">
        <v>25</v>
      </c>
      <c r="P21" s="22">
        <v>400000</v>
      </c>
      <c r="Q21" s="23" t="s">
        <v>4</v>
      </c>
      <c r="R21" s="23" t="s">
        <v>52</v>
      </c>
      <c r="S21" s="24" t="s">
        <v>55</v>
      </c>
      <c r="T21" s="20" t="s">
        <v>583</v>
      </c>
      <c r="U21" s="20"/>
    </row>
    <row r="22" spans="1:24" ht="45">
      <c r="A22" s="20" t="s">
        <v>288</v>
      </c>
      <c r="B22" s="24">
        <v>45940</v>
      </c>
      <c r="C22" s="20" t="s">
        <v>455</v>
      </c>
      <c r="D22" s="20" t="s">
        <v>13</v>
      </c>
      <c r="E22" s="20" t="s">
        <v>36</v>
      </c>
      <c r="F22" s="20" t="s">
        <v>43</v>
      </c>
      <c r="G22" s="20" t="s">
        <v>20</v>
      </c>
      <c r="H22" s="20" t="s">
        <v>591</v>
      </c>
      <c r="I22" s="21" t="s">
        <v>592</v>
      </c>
      <c r="J22" s="20" t="s">
        <v>551</v>
      </c>
      <c r="K22" s="20" t="s">
        <v>11</v>
      </c>
      <c r="L22" s="20" t="s">
        <v>40</v>
      </c>
      <c r="M22" s="20" t="s">
        <v>536</v>
      </c>
      <c r="N22" s="22" t="s">
        <v>8</v>
      </c>
      <c r="O22" s="23" t="s">
        <v>25</v>
      </c>
      <c r="P22" s="22">
        <v>200000</v>
      </c>
      <c r="Q22" s="23" t="s">
        <v>4</v>
      </c>
      <c r="R22" s="23" t="s">
        <v>593</v>
      </c>
      <c r="S22" s="24" t="s">
        <v>52</v>
      </c>
      <c r="T22" s="20" t="s">
        <v>583</v>
      </c>
      <c r="U22" s="20"/>
    </row>
    <row r="23" spans="1:24" ht="45">
      <c r="A23" s="20" t="s">
        <v>265</v>
      </c>
      <c r="B23" s="24">
        <v>45943</v>
      </c>
      <c r="C23" s="20" t="s">
        <v>456</v>
      </c>
      <c r="D23" s="20" t="s">
        <v>21</v>
      </c>
      <c r="E23" s="20" t="s">
        <v>28</v>
      </c>
      <c r="F23" s="20" t="s">
        <v>45</v>
      </c>
      <c r="G23" s="20" t="s">
        <v>20</v>
      </c>
      <c r="H23" s="20" t="s">
        <v>457</v>
      </c>
      <c r="I23" s="21" t="s">
        <v>595</v>
      </c>
      <c r="J23" s="20" t="s">
        <v>527</v>
      </c>
      <c r="K23" s="20" t="s">
        <v>26</v>
      </c>
      <c r="L23" s="20" t="s">
        <v>30</v>
      </c>
      <c r="M23" s="20" t="s">
        <v>536</v>
      </c>
      <c r="N23" s="22" t="s">
        <v>10</v>
      </c>
      <c r="O23" s="23" t="s">
        <v>25</v>
      </c>
      <c r="P23" s="30">
        <v>175000</v>
      </c>
      <c r="Q23" s="23" t="s">
        <v>4</v>
      </c>
      <c r="R23" s="23" t="s">
        <v>52</v>
      </c>
      <c r="S23" s="24" t="s">
        <v>52</v>
      </c>
      <c r="T23" s="20" t="s">
        <v>596</v>
      </c>
      <c r="U23" s="20"/>
    </row>
    <row r="24" spans="1:24" ht="165">
      <c r="A24" s="20" t="s">
        <v>257</v>
      </c>
      <c r="B24" s="24">
        <v>45958</v>
      </c>
      <c r="C24" s="20" t="s">
        <v>459</v>
      </c>
      <c r="D24" s="20" t="s">
        <v>21</v>
      </c>
      <c r="E24" s="20" t="s">
        <v>31</v>
      </c>
      <c r="F24" s="20" t="s">
        <v>66</v>
      </c>
      <c r="G24" s="20" t="s">
        <v>20</v>
      </c>
      <c r="H24" s="20" t="s">
        <v>597</v>
      </c>
      <c r="I24" s="21" t="s">
        <v>598</v>
      </c>
      <c r="J24" s="20" t="s">
        <v>528</v>
      </c>
      <c r="K24" s="20" t="s">
        <v>11</v>
      </c>
      <c r="L24" s="20" t="s">
        <v>40</v>
      </c>
      <c r="M24" s="20" t="s">
        <v>536</v>
      </c>
      <c r="N24" s="22" t="s">
        <v>8</v>
      </c>
      <c r="O24" s="23" t="s">
        <v>25</v>
      </c>
      <c r="P24" s="22">
        <v>500000</v>
      </c>
      <c r="Q24" s="23" t="s">
        <v>4</v>
      </c>
      <c r="R24" s="23" t="s">
        <v>52</v>
      </c>
      <c r="S24" s="24" t="s">
        <v>54</v>
      </c>
      <c r="T24" s="20" t="s">
        <v>583</v>
      </c>
      <c r="U24" s="20"/>
    </row>
    <row r="25" spans="1:24" ht="118.5" customHeight="1">
      <c r="A25" s="20" t="s">
        <v>249</v>
      </c>
      <c r="B25" s="24">
        <v>45958</v>
      </c>
      <c r="C25" s="20" t="s">
        <v>460</v>
      </c>
      <c r="D25" s="20" t="s">
        <v>21</v>
      </c>
      <c r="E25" s="20" t="s">
        <v>31</v>
      </c>
      <c r="F25" s="20" t="s">
        <v>66</v>
      </c>
      <c r="G25" s="20" t="s">
        <v>20</v>
      </c>
      <c r="H25" s="20" t="s">
        <v>461</v>
      </c>
      <c r="I25" s="21" t="s">
        <v>599</v>
      </c>
      <c r="J25" s="20" t="s">
        <v>590</v>
      </c>
      <c r="K25" s="20" t="s">
        <v>11</v>
      </c>
      <c r="L25" s="20" t="s">
        <v>40</v>
      </c>
      <c r="M25" s="20" t="s">
        <v>536</v>
      </c>
      <c r="N25" s="22" t="s">
        <v>8</v>
      </c>
      <c r="O25" s="23" t="s">
        <v>25</v>
      </c>
      <c r="P25" s="22">
        <v>400000</v>
      </c>
      <c r="Q25" s="23" t="s">
        <v>4</v>
      </c>
      <c r="R25" s="23" t="s">
        <v>52</v>
      </c>
      <c r="S25" s="24" t="s">
        <v>52</v>
      </c>
      <c r="T25" s="20" t="s">
        <v>583</v>
      </c>
      <c r="U25" s="20"/>
    </row>
    <row r="26" spans="1:24" ht="45">
      <c r="A26" s="20" t="s">
        <v>288</v>
      </c>
      <c r="B26" s="24">
        <v>45959</v>
      </c>
      <c r="C26" s="20" t="s">
        <v>462</v>
      </c>
      <c r="D26" s="20" t="s">
        <v>27</v>
      </c>
      <c r="E26" s="20" t="s">
        <v>36</v>
      </c>
      <c r="F26" s="20" t="s">
        <v>43</v>
      </c>
      <c r="G26" s="20" t="s">
        <v>20</v>
      </c>
      <c r="H26" s="20" t="s">
        <v>463</v>
      </c>
      <c r="I26" s="21" t="s">
        <v>600</v>
      </c>
      <c r="J26" s="20" t="s">
        <v>551</v>
      </c>
      <c r="K26" s="20" t="s">
        <v>11</v>
      </c>
      <c r="L26" s="20" t="s">
        <v>40</v>
      </c>
      <c r="M26" s="20" t="s">
        <v>536</v>
      </c>
      <c r="N26" s="22" t="s">
        <v>8</v>
      </c>
      <c r="O26" s="23" t="s">
        <v>25</v>
      </c>
      <c r="P26" s="22">
        <v>500000</v>
      </c>
      <c r="Q26" s="23" t="s">
        <v>4</v>
      </c>
      <c r="R26" s="23" t="s">
        <v>594</v>
      </c>
      <c r="S26" s="24" t="s">
        <v>52</v>
      </c>
      <c r="T26" s="20" t="s">
        <v>583</v>
      </c>
      <c r="U26" s="20"/>
    </row>
    <row r="27" spans="1:24" ht="30">
      <c r="A27" s="20" t="s">
        <v>281</v>
      </c>
      <c r="B27" s="24">
        <v>45972</v>
      </c>
      <c r="C27" s="20" t="s">
        <v>464</v>
      </c>
      <c r="D27" s="20" t="s">
        <v>13</v>
      </c>
      <c r="E27" s="20" t="s">
        <v>16</v>
      </c>
      <c r="F27" s="20" t="s">
        <v>42</v>
      </c>
      <c r="G27" s="20" t="s">
        <v>20</v>
      </c>
      <c r="H27" s="20" t="s">
        <v>601</v>
      </c>
      <c r="I27" s="21" t="s">
        <v>602</v>
      </c>
      <c r="J27" s="20" t="s">
        <v>603</v>
      </c>
      <c r="K27" s="20" t="s">
        <v>11</v>
      </c>
      <c r="L27" s="20" t="s">
        <v>23</v>
      </c>
      <c r="M27" s="20" t="s">
        <v>535</v>
      </c>
      <c r="N27" s="22" t="s">
        <v>5</v>
      </c>
      <c r="O27" s="23" t="s">
        <v>29</v>
      </c>
      <c r="P27" s="22">
        <v>500000</v>
      </c>
      <c r="Q27" s="23" t="s">
        <v>4</v>
      </c>
      <c r="R27" s="23" t="s">
        <v>54</v>
      </c>
      <c r="S27" s="24" t="s">
        <v>57</v>
      </c>
      <c r="T27" s="20" t="s">
        <v>604</v>
      </c>
      <c r="U27" s="20"/>
    </row>
    <row r="28" spans="1:24">
      <c r="A28" s="20" t="s">
        <v>255</v>
      </c>
      <c r="B28" s="24">
        <v>45975</v>
      </c>
      <c r="C28" s="20" t="s">
        <v>465</v>
      </c>
      <c r="D28" s="20" t="s">
        <v>13</v>
      </c>
      <c r="E28" s="20" t="s">
        <v>28</v>
      </c>
      <c r="F28" s="20" t="s">
        <v>70</v>
      </c>
      <c r="G28" s="20" t="s">
        <v>20</v>
      </c>
      <c r="H28" s="20" t="s">
        <v>605</v>
      </c>
      <c r="I28" s="21" t="s">
        <v>606</v>
      </c>
      <c r="J28" s="20" t="s">
        <v>527</v>
      </c>
      <c r="K28" s="20"/>
      <c r="L28" s="20"/>
      <c r="M28" s="20"/>
      <c r="N28" s="22" t="s">
        <v>5</v>
      </c>
      <c r="O28" s="23" t="s">
        <v>17</v>
      </c>
      <c r="P28" s="22"/>
      <c r="Q28" s="23"/>
      <c r="R28" s="23"/>
      <c r="S28" s="24"/>
      <c r="T28" s="20"/>
      <c r="U28" s="20"/>
    </row>
    <row r="29" spans="1:24" ht="45">
      <c r="A29" s="20" t="s">
        <v>288</v>
      </c>
      <c r="B29" s="24">
        <v>45986</v>
      </c>
      <c r="C29" s="20" t="s">
        <v>469</v>
      </c>
      <c r="D29" s="20" t="s">
        <v>27</v>
      </c>
      <c r="E29" s="20" t="s">
        <v>33</v>
      </c>
      <c r="F29" s="20" t="s">
        <v>75</v>
      </c>
      <c r="G29" s="20" t="s">
        <v>20</v>
      </c>
      <c r="H29" s="20" t="s">
        <v>607</v>
      </c>
      <c r="I29" s="21" t="s">
        <v>608</v>
      </c>
      <c r="J29" s="20" t="s">
        <v>551</v>
      </c>
      <c r="K29" s="20" t="s">
        <v>11</v>
      </c>
      <c r="L29" s="20" t="s">
        <v>40</v>
      </c>
      <c r="M29" s="20" t="s">
        <v>536</v>
      </c>
      <c r="N29" s="22" t="s">
        <v>8</v>
      </c>
      <c r="O29" s="23" t="s">
        <v>25</v>
      </c>
      <c r="P29" s="22">
        <v>270000</v>
      </c>
      <c r="Q29" s="23" t="s">
        <v>4</v>
      </c>
      <c r="R29" s="23" t="s">
        <v>50</v>
      </c>
      <c r="S29" s="24" t="s">
        <v>52</v>
      </c>
      <c r="T29" s="20" t="s">
        <v>583</v>
      </c>
      <c r="U29" s="20"/>
    </row>
    <row r="30" spans="1:24" ht="45">
      <c r="A30" s="20" t="s">
        <v>241</v>
      </c>
      <c r="B30" s="24">
        <v>46000</v>
      </c>
      <c r="C30" s="20" t="s">
        <v>450</v>
      </c>
      <c r="D30" s="20" t="s">
        <v>27</v>
      </c>
      <c r="E30" s="20" t="s">
        <v>28</v>
      </c>
      <c r="F30" s="20" t="s">
        <v>45</v>
      </c>
      <c r="G30" s="20" t="s">
        <v>20</v>
      </c>
      <c r="H30" s="39" t="s">
        <v>451</v>
      </c>
      <c r="I30" s="21" t="s">
        <v>609</v>
      </c>
      <c r="J30" s="20" t="s">
        <v>528</v>
      </c>
      <c r="K30" s="20" t="s">
        <v>11</v>
      </c>
      <c r="L30" s="20" t="s">
        <v>30</v>
      </c>
      <c r="M30" s="20" t="s">
        <v>535</v>
      </c>
      <c r="N30" s="22" t="s">
        <v>5</v>
      </c>
      <c r="O30" s="23" t="s">
        <v>29</v>
      </c>
      <c r="P30" s="22">
        <v>800000</v>
      </c>
      <c r="Q30" s="23" t="s">
        <v>4</v>
      </c>
      <c r="R30" s="23" t="s">
        <v>50</v>
      </c>
      <c r="S30" s="24" t="s">
        <v>52</v>
      </c>
      <c r="T30" s="20" t="s">
        <v>549</v>
      </c>
      <c r="U30" s="20"/>
    </row>
    <row r="31" spans="1:24" ht="45">
      <c r="A31" s="20" t="s">
        <v>288</v>
      </c>
      <c r="B31" s="93">
        <v>46028</v>
      </c>
      <c r="C31" s="7" t="s">
        <v>473</v>
      </c>
      <c r="D31" s="20" t="s">
        <v>13</v>
      </c>
      <c r="E31" s="20" t="s">
        <v>36</v>
      </c>
      <c r="F31" s="20" t="s">
        <v>43</v>
      </c>
      <c r="G31" s="20" t="s">
        <v>20</v>
      </c>
      <c r="H31" s="20" t="s">
        <v>474</v>
      </c>
      <c r="I31" s="21" t="s">
        <v>610</v>
      </c>
      <c r="J31" s="20" t="s">
        <v>551</v>
      </c>
      <c r="K31" s="20" t="s">
        <v>11</v>
      </c>
      <c r="L31" s="20" t="s">
        <v>40</v>
      </c>
      <c r="M31" s="112" t="s">
        <v>536</v>
      </c>
      <c r="N31" s="22" t="s">
        <v>8</v>
      </c>
      <c r="O31" s="23" t="s">
        <v>25</v>
      </c>
      <c r="P31" s="22">
        <v>130000</v>
      </c>
      <c r="Q31" s="20" t="s">
        <v>4</v>
      </c>
      <c r="R31" s="23" t="s">
        <v>611</v>
      </c>
      <c r="S31" s="24" t="s">
        <v>611</v>
      </c>
      <c r="T31" s="20" t="s">
        <v>583</v>
      </c>
      <c r="U31" s="20"/>
    </row>
    <row r="32" spans="1:24" ht="45">
      <c r="A32" s="20" t="s">
        <v>307</v>
      </c>
      <c r="B32" s="93">
        <v>46028</v>
      </c>
      <c r="C32" s="7" t="s">
        <v>471</v>
      </c>
      <c r="D32" s="20" t="s">
        <v>13</v>
      </c>
      <c r="E32" s="20" t="s">
        <v>36</v>
      </c>
      <c r="F32" s="20" t="s">
        <v>43</v>
      </c>
      <c r="G32" s="20" t="s">
        <v>20</v>
      </c>
      <c r="H32" s="20" t="s">
        <v>472</v>
      </c>
      <c r="I32" s="111" t="s">
        <v>612</v>
      </c>
      <c r="J32" s="20" t="s">
        <v>551</v>
      </c>
      <c r="K32" s="20" t="s">
        <v>11</v>
      </c>
      <c r="L32" s="20" t="s">
        <v>40</v>
      </c>
      <c r="M32" s="7" t="s">
        <v>536</v>
      </c>
      <c r="N32" s="22" t="s">
        <v>8</v>
      </c>
      <c r="O32" s="23" t="s">
        <v>25</v>
      </c>
      <c r="P32" s="22">
        <v>180000</v>
      </c>
      <c r="Q32" s="20" t="s">
        <v>4</v>
      </c>
      <c r="R32" s="23" t="s">
        <v>613</v>
      </c>
      <c r="S32" s="24"/>
      <c r="T32" s="20" t="s">
        <v>583</v>
      </c>
      <c r="U32" s="20"/>
    </row>
    <row r="33" spans="1:21" ht="105">
      <c r="A33" s="20" t="s">
        <v>263</v>
      </c>
      <c r="B33" s="93">
        <v>46029</v>
      </c>
      <c r="C33" s="7" t="s">
        <v>470</v>
      </c>
      <c r="D33" s="20" t="s">
        <v>21</v>
      </c>
      <c r="E33" s="20" t="s">
        <v>28</v>
      </c>
      <c r="F33" s="20" t="s">
        <v>45</v>
      </c>
      <c r="G33" s="20" t="s">
        <v>20</v>
      </c>
      <c r="H33" s="20" t="s">
        <v>572</v>
      </c>
      <c r="I33" s="21" t="s">
        <v>573</v>
      </c>
      <c r="J33" s="20" t="s">
        <v>527</v>
      </c>
      <c r="K33" s="20" t="s">
        <v>26</v>
      </c>
      <c r="L33" s="20" t="s">
        <v>23</v>
      </c>
      <c r="M33" s="29" t="s">
        <v>535</v>
      </c>
      <c r="N33" s="22" t="s">
        <v>5</v>
      </c>
      <c r="O33" s="23" t="s">
        <v>34</v>
      </c>
      <c r="P33" s="22">
        <v>8000000</v>
      </c>
      <c r="Q33" s="23" t="s">
        <v>7</v>
      </c>
      <c r="R33" s="23" t="s">
        <v>52</v>
      </c>
      <c r="S33" s="24" t="s">
        <v>614</v>
      </c>
      <c r="T33" s="20" t="s">
        <v>531</v>
      </c>
      <c r="U33" s="20"/>
    </row>
    <row r="34" spans="1:21" ht="45">
      <c r="A34" s="20" t="s">
        <v>263</v>
      </c>
      <c r="B34" s="93">
        <v>46010</v>
      </c>
      <c r="C34" s="7" t="s">
        <v>448</v>
      </c>
      <c r="D34" s="20" t="s">
        <v>21</v>
      </c>
      <c r="E34" s="20" t="s">
        <v>28</v>
      </c>
      <c r="F34" s="20" t="s">
        <v>45</v>
      </c>
      <c r="G34" s="20" t="s">
        <v>20</v>
      </c>
      <c r="H34" s="20" t="s">
        <v>615</v>
      </c>
      <c r="I34" s="21" t="s">
        <v>616</v>
      </c>
      <c r="J34" s="20" t="s">
        <v>617</v>
      </c>
      <c r="K34" s="20" t="s">
        <v>26</v>
      </c>
      <c r="L34" s="20" t="s">
        <v>30</v>
      </c>
      <c r="M34" s="7" t="s">
        <v>536</v>
      </c>
      <c r="N34" s="22" t="s">
        <v>9</v>
      </c>
      <c r="O34" s="23" t="s">
        <v>32</v>
      </c>
      <c r="P34" s="22">
        <v>2500000</v>
      </c>
      <c r="Q34" s="23" t="s">
        <v>7</v>
      </c>
      <c r="R34" s="23" t="s">
        <v>50</v>
      </c>
      <c r="S34" s="24" t="s">
        <v>614</v>
      </c>
      <c r="T34" s="20" t="s">
        <v>618</v>
      </c>
      <c r="U34" s="20"/>
    </row>
    <row r="35" spans="1:21" ht="45">
      <c r="A35" s="20" t="s">
        <v>299</v>
      </c>
      <c r="B35" s="93">
        <v>46031</v>
      </c>
      <c r="C35" s="7" t="s">
        <v>475</v>
      </c>
      <c r="D35" s="20" t="s">
        <v>13</v>
      </c>
      <c r="E35" s="20" t="s">
        <v>38</v>
      </c>
      <c r="F35" s="20" t="s">
        <v>42</v>
      </c>
      <c r="G35" s="20" t="s">
        <v>20</v>
      </c>
      <c r="H35" s="20" t="s">
        <v>619</v>
      </c>
      <c r="I35" s="21" t="s">
        <v>620</v>
      </c>
      <c r="J35" s="20" t="s">
        <v>551</v>
      </c>
      <c r="K35" s="20" t="s">
        <v>11</v>
      </c>
      <c r="L35" s="20" t="s">
        <v>40</v>
      </c>
      <c r="M35" s="7" t="s">
        <v>536</v>
      </c>
      <c r="N35" s="22" t="s">
        <v>8</v>
      </c>
      <c r="O35" s="23" t="s">
        <v>25</v>
      </c>
      <c r="P35" s="22">
        <v>100000</v>
      </c>
      <c r="Q35" s="23" t="s">
        <v>4</v>
      </c>
      <c r="R35" s="23" t="s">
        <v>52</v>
      </c>
      <c r="S35" s="24" t="s">
        <v>54</v>
      </c>
      <c r="T35" s="20" t="s">
        <v>604</v>
      </c>
      <c r="U35" s="20"/>
    </row>
  </sheetData>
  <mergeCells count="6">
    <mergeCell ref="A1:U1"/>
    <mergeCell ref="A2:C2"/>
    <mergeCell ref="E2:F2"/>
    <mergeCell ref="O2:Q2"/>
    <mergeCell ref="R2:T2"/>
    <mergeCell ref="G2:N2"/>
  </mergeCells>
  <phoneticPr fontId="10" type="noConversion"/>
  <pageMargins left="0.7" right="0.7" top="0.75" bottom="0.75" header="0.3" footer="0.3"/>
  <pageSetup paperSize="8" orientation="landscape" blackAndWhite="1" horizontalDpi="1200" verticalDpi="1200" r:id="rId1"/>
  <legacyDrawing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227EF7-3D73-4319-B197-8FED60976428}">
  <sheetPr>
    <tabColor theme="9"/>
  </sheetPr>
  <dimension ref="A1:F414"/>
  <sheetViews>
    <sheetView tabSelected="1" topLeftCell="A397" workbookViewId="0">
      <selection activeCell="D414" sqref="D414"/>
    </sheetView>
  </sheetViews>
  <sheetFormatPr defaultColWidth="8.7109375" defaultRowHeight="15"/>
  <cols>
    <col min="1" max="1" width="11.28515625" bestFit="1" customWidth="1"/>
    <col min="2" max="2" width="14.7109375" bestFit="1" customWidth="1"/>
    <col min="3" max="3" width="9.7109375" bestFit="1" customWidth="1"/>
    <col min="4" max="4" width="38.28515625" bestFit="1" customWidth="1"/>
    <col min="5" max="5" width="11.28515625" bestFit="1" customWidth="1"/>
    <col min="6" max="6" width="36" customWidth="1"/>
  </cols>
  <sheetData>
    <row r="1" spans="1:6">
      <c r="A1" s="32" t="s">
        <v>0</v>
      </c>
      <c r="B1" s="32" t="s">
        <v>621</v>
      </c>
      <c r="C1" s="32" t="s">
        <v>165</v>
      </c>
      <c r="D1" s="32" t="s">
        <v>622</v>
      </c>
      <c r="E1" s="32" t="s">
        <v>623</v>
      </c>
      <c r="F1" s="32" t="s">
        <v>624</v>
      </c>
    </row>
    <row r="2" spans="1:6">
      <c r="A2" s="90">
        <v>45797</v>
      </c>
      <c r="B2" s="90">
        <v>45798</v>
      </c>
      <c r="C2" t="s">
        <v>625</v>
      </c>
      <c r="D2" t="s">
        <v>812</v>
      </c>
      <c r="E2">
        <v>500</v>
      </c>
      <c r="F2" t="s">
        <v>813</v>
      </c>
    </row>
    <row r="3" spans="1:6">
      <c r="A3" s="90">
        <v>45828</v>
      </c>
      <c r="B3" s="90">
        <v>45831</v>
      </c>
      <c r="C3" t="s">
        <v>625</v>
      </c>
      <c r="D3" t="s">
        <v>867</v>
      </c>
      <c r="E3">
        <v>500</v>
      </c>
      <c r="F3" t="s">
        <v>868</v>
      </c>
    </row>
    <row r="4" spans="1:6">
      <c r="A4" s="90">
        <v>46062</v>
      </c>
      <c r="B4" s="90">
        <v>46063</v>
      </c>
      <c r="C4" t="s">
        <v>625</v>
      </c>
      <c r="D4" t="s">
        <v>1112</v>
      </c>
      <c r="E4">
        <v>500</v>
      </c>
      <c r="F4" t="s">
        <v>1113</v>
      </c>
    </row>
    <row r="5" spans="1:6">
      <c r="A5" s="90">
        <v>46000</v>
      </c>
      <c r="B5" s="90">
        <v>46001</v>
      </c>
      <c r="C5" t="s">
        <v>625</v>
      </c>
      <c r="D5" t="s">
        <v>1085</v>
      </c>
      <c r="E5">
        <v>503.4</v>
      </c>
      <c r="F5" s="109" t="s">
        <v>1086</v>
      </c>
    </row>
    <row r="6" spans="1:6">
      <c r="A6" s="108">
        <v>45909</v>
      </c>
      <c r="B6" s="108">
        <v>45910</v>
      </c>
      <c r="C6" s="107" t="s">
        <v>625</v>
      </c>
      <c r="D6" s="107" t="s">
        <v>1014</v>
      </c>
      <c r="E6" s="107">
        <v>505.2</v>
      </c>
      <c r="F6" t="str">
        <f>"74463655252522534955962"</f>
        <v>74463655252522534955962</v>
      </c>
    </row>
    <row r="7" spans="1:6">
      <c r="A7" s="90">
        <v>45775</v>
      </c>
      <c r="B7" s="90">
        <v>45777</v>
      </c>
      <c r="C7" t="s">
        <v>625</v>
      </c>
      <c r="D7" t="s">
        <v>748</v>
      </c>
      <c r="E7">
        <v>507.29</v>
      </c>
      <c r="F7" t="s">
        <v>749</v>
      </c>
    </row>
    <row r="8" spans="1:6">
      <c r="A8" s="90">
        <v>45741</v>
      </c>
      <c r="B8" s="90">
        <v>45742</v>
      </c>
      <c r="C8" t="s">
        <v>625</v>
      </c>
      <c r="D8" t="s">
        <v>651</v>
      </c>
      <c r="E8">
        <v>509.76</v>
      </c>
      <c r="F8" t="s">
        <v>652</v>
      </c>
    </row>
    <row r="9" spans="1:6">
      <c r="A9" s="90">
        <v>46001</v>
      </c>
      <c r="B9" s="90">
        <v>46002</v>
      </c>
      <c r="C9" t="s">
        <v>625</v>
      </c>
      <c r="D9" t="s">
        <v>1012</v>
      </c>
      <c r="E9">
        <v>510</v>
      </c>
      <c r="F9" s="109" t="s">
        <v>1084</v>
      </c>
    </row>
    <row r="10" spans="1:6">
      <c r="A10" s="108">
        <v>45912</v>
      </c>
      <c r="B10" s="108">
        <v>45915</v>
      </c>
      <c r="C10" s="107" t="s">
        <v>625</v>
      </c>
      <c r="D10" s="107" t="s">
        <v>1013</v>
      </c>
      <c r="E10" s="107">
        <v>512.4</v>
      </c>
      <c r="F10" t="str">
        <f>"74119755255536779148615"</f>
        <v>74119755255536779148615</v>
      </c>
    </row>
    <row r="11" spans="1:6">
      <c r="A11" s="90">
        <v>45793</v>
      </c>
      <c r="B11" s="90">
        <v>45796</v>
      </c>
      <c r="C11" t="s">
        <v>625</v>
      </c>
      <c r="D11" t="s">
        <v>651</v>
      </c>
      <c r="E11">
        <v>512.77</v>
      </c>
      <c r="F11" t="s">
        <v>806</v>
      </c>
    </row>
    <row r="12" spans="1:6">
      <c r="A12" s="90">
        <v>45996</v>
      </c>
      <c r="B12" s="90">
        <v>45999</v>
      </c>
      <c r="C12" t="s">
        <v>625</v>
      </c>
      <c r="D12" t="s">
        <v>1051</v>
      </c>
      <c r="E12">
        <v>513.4</v>
      </c>
      <c r="F12" s="109" t="s">
        <v>1083</v>
      </c>
    </row>
    <row r="13" spans="1:6">
      <c r="A13" s="90">
        <v>45743</v>
      </c>
      <c r="B13" s="90">
        <v>45744</v>
      </c>
      <c r="C13" t="s">
        <v>625</v>
      </c>
      <c r="D13" t="s">
        <v>662</v>
      </c>
      <c r="E13">
        <v>517.29</v>
      </c>
      <c r="F13" t="s">
        <v>666</v>
      </c>
    </row>
    <row r="14" spans="1:6">
      <c r="A14" s="90">
        <v>45835</v>
      </c>
      <c r="B14" s="90">
        <v>45838</v>
      </c>
      <c r="C14" t="s">
        <v>625</v>
      </c>
      <c r="D14" t="s">
        <v>884</v>
      </c>
      <c r="E14">
        <v>519.98</v>
      </c>
      <c r="F14" t="s">
        <v>885</v>
      </c>
    </row>
    <row r="15" spans="1:6">
      <c r="A15" s="90">
        <v>45791</v>
      </c>
      <c r="B15" s="90">
        <v>45792</v>
      </c>
      <c r="C15" t="s">
        <v>625</v>
      </c>
      <c r="D15" t="s">
        <v>799</v>
      </c>
      <c r="E15">
        <v>525</v>
      </c>
      <c r="F15" t="s">
        <v>800</v>
      </c>
    </row>
    <row r="16" spans="1:6">
      <c r="A16" s="90">
        <v>45800</v>
      </c>
      <c r="B16" s="90">
        <v>45803</v>
      </c>
      <c r="C16" t="s">
        <v>625</v>
      </c>
      <c r="D16" t="s">
        <v>820</v>
      </c>
      <c r="E16">
        <v>525</v>
      </c>
      <c r="F16" t="s">
        <v>821</v>
      </c>
    </row>
    <row r="17" spans="1:6">
      <c r="A17" s="90">
        <v>45832</v>
      </c>
      <c r="B17" s="90">
        <v>45833</v>
      </c>
      <c r="C17" t="s">
        <v>625</v>
      </c>
      <c r="D17" t="s">
        <v>874</v>
      </c>
      <c r="E17">
        <v>525</v>
      </c>
      <c r="F17" t="s">
        <v>875</v>
      </c>
    </row>
    <row r="18" spans="1:6">
      <c r="A18" s="90">
        <v>45838</v>
      </c>
      <c r="B18" s="90">
        <v>45839</v>
      </c>
      <c r="C18" t="s">
        <v>625</v>
      </c>
      <c r="D18" t="s">
        <v>888</v>
      </c>
      <c r="E18">
        <v>525</v>
      </c>
      <c r="F18" t="s">
        <v>889</v>
      </c>
    </row>
    <row r="19" spans="1:6">
      <c r="A19" s="90">
        <v>45846</v>
      </c>
      <c r="B19" s="90">
        <v>45847</v>
      </c>
      <c r="C19" t="s">
        <v>625</v>
      </c>
      <c r="D19" t="s">
        <v>903</v>
      </c>
      <c r="E19">
        <v>525</v>
      </c>
      <c r="F19" t="s">
        <v>904</v>
      </c>
    </row>
    <row r="20" spans="1:6">
      <c r="A20" s="90">
        <v>45946</v>
      </c>
      <c r="B20" s="90">
        <v>45947</v>
      </c>
      <c r="C20" t="s">
        <v>625</v>
      </c>
      <c r="D20" t="s">
        <v>1033</v>
      </c>
      <c r="E20">
        <v>525</v>
      </c>
      <c r="F20" t="str">
        <f>"74007055290920046010492"</f>
        <v>74007055290920046010492</v>
      </c>
    </row>
    <row r="21" spans="1:6">
      <c r="A21" s="90">
        <v>45931</v>
      </c>
      <c r="B21" s="90">
        <v>45932</v>
      </c>
      <c r="C21" t="s">
        <v>625</v>
      </c>
      <c r="D21" t="s">
        <v>1034</v>
      </c>
      <c r="E21">
        <v>525</v>
      </c>
      <c r="F21" t="str">
        <f>"74007055275920058075986"</f>
        <v>74007055275920058075986</v>
      </c>
    </row>
    <row r="22" spans="1:6">
      <c r="A22" s="90">
        <v>45924</v>
      </c>
      <c r="B22" s="90">
        <v>45925</v>
      </c>
      <c r="C22" t="s">
        <v>625</v>
      </c>
      <c r="D22" t="s">
        <v>1035</v>
      </c>
      <c r="E22">
        <v>525</v>
      </c>
      <c r="F22" t="str">
        <f>"74007055268920047004740"</f>
        <v>74007055268920047004740</v>
      </c>
    </row>
    <row r="23" spans="1:6">
      <c r="A23" s="90">
        <v>45924</v>
      </c>
      <c r="B23" s="90">
        <v>45925</v>
      </c>
      <c r="C23" t="s">
        <v>625</v>
      </c>
      <c r="D23" t="s">
        <v>1036</v>
      </c>
      <c r="E23">
        <v>525</v>
      </c>
      <c r="F23" t="str">
        <f>"74007055268920047002140"</f>
        <v>74007055268920047002140</v>
      </c>
    </row>
    <row r="24" spans="1:6">
      <c r="A24" s="108">
        <v>45967</v>
      </c>
      <c r="B24" s="108">
        <v>45968</v>
      </c>
      <c r="C24" s="107" t="s">
        <v>625</v>
      </c>
      <c r="D24" s="107" t="s">
        <v>1052</v>
      </c>
      <c r="E24" s="107">
        <v>525</v>
      </c>
      <c r="F24" s="107" t="str">
        <f>"74007055311920047428839"</f>
        <v>74007055311920047428839</v>
      </c>
    </row>
    <row r="25" spans="1:6">
      <c r="A25" s="108">
        <v>46029</v>
      </c>
      <c r="B25" s="108">
        <v>46030</v>
      </c>
      <c r="C25" s="107" t="s">
        <v>625</v>
      </c>
      <c r="D25" s="107" t="s">
        <v>1093</v>
      </c>
      <c r="E25" s="107">
        <v>525</v>
      </c>
      <c r="F25" t="s">
        <v>1108</v>
      </c>
    </row>
    <row r="26" spans="1:6">
      <c r="A26" s="90">
        <v>46051</v>
      </c>
      <c r="B26" s="90">
        <v>46052</v>
      </c>
      <c r="C26" t="s">
        <v>625</v>
      </c>
      <c r="D26" t="s">
        <v>1114</v>
      </c>
      <c r="E26">
        <v>525</v>
      </c>
      <c r="F26" t="s">
        <v>1115</v>
      </c>
    </row>
    <row r="27" spans="1:6">
      <c r="A27" s="90">
        <v>45887</v>
      </c>
      <c r="B27" s="90">
        <v>45890</v>
      </c>
      <c r="C27" t="s">
        <v>625</v>
      </c>
      <c r="D27" t="s">
        <v>808</v>
      </c>
      <c r="E27">
        <v>533.08000000000004</v>
      </c>
      <c r="F27" t="s">
        <v>993</v>
      </c>
    </row>
    <row r="28" spans="1:6">
      <c r="A28" s="90">
        <v>45863</v>
      </c>
      <c r="B28" s="90">
        <v>45866</v>
      </c>
      <c r="C28" t="s">
        <v>625</v>
      </c>
      <c r="D28" t="s">
        <v>808</v>
      </c>
      <c r="E28">
        <v>535.30999999999995</v>
      </c>
      <c r="F28" t="s">
        <v>945</v>
      </c>
    </row>
    <row r="29" spans="1:6">
      <c r="A29" s="90">
        <v>45881</v>
      </c>
      <c r="B29" s="90">
        <v>45884</v>
      </c>
      <c r="C29" t="s">
        <v>625</v>
      </c>
      <c r="D29" t="s">
        <v>808</v>
      </c>
      <c r="E29">
        <v>535.53</v>
      </c>
      <c r="F29" t="s">
        <v>978</v>
      </c>
    </row>
    <row r="30" spans="1:6">
      <c r="A30" s="90">
        <v>45860</v>
      </c>
      <c r="B30" s="90">
        <v>45863</v>
      </c>
      <c r="C30" t="s">
        <v>625</v>
      </c>
      <c r="D30" t="s">
        <v>808</v>
      </c>
      <c r="E30">
        <v>535.64</v>
      </c>
      <c r="F30" t="s">
        <v>938</v>
      </c>
    </row>
    <row r="31" spans="1:6">
      <c r="A31" s="90">
        <v>45845</v>
      </c>
      <c r="B31" s="90">
        <v>45846</v>
      </c>
      <c r="C31" t="s">
        <v>625</v>
      </c>
      <c r="D31" t="s">
        <v>901</v>
      </c>
      <c r="E31">
        <v>537</v>
      </c>
      <c r="F31" t="s">
        <v>902</v>
      </c>
    </row>
    <row r="32" spans="1:6">
      <c r="A32" s="90">
        <v>45833</v>
      </c>
      <c r="B32" s="90">
        <v>45834</v>
      </c>
      <c r="C32" t="s">
        <v>625</v>
      </c>
      <c r="D32" t="s">
        <v>880</v>
      </c>
      <c r="E32">
        <v>540</v>
      </c>
      <c r="F32" t="s">
        <v>881</v>
      </c>
    </row>
    <row r="33" spans="1:6">
      <c r="A33" s="90">
        <v>45834</v>
      </c>
      <c r="B33" s="90">
        <v>45835</v>
      </c>
      <c r="C33" t="s">
        <v>625</v>
      </c>
      <c r="D33" t="s">
        <v>880</v>
      </c>
      <c r="E33">
        <v>540</v>
      </c>
      <c r="F33" t="s">
        <v>882</v>
      </c>
    </row>
    <row r="34" spans="1:6">
      <c r="A34" s="90">
        <v>46044</v>
      </c>
      <c r="B34" s="90">
        <v>46045</v>
      </c>
      <c r="C34" t="s">
        <v>625</v>
      </c>
      <c r="D34" t="s">
        <v>1116</v>
      </c>
      <c r="E34">
        <v>545.67999999999995</v>
      </c>
      <c r="F34" t="s">
        <v>1117</v>
      </c>
    </row>
    <row r="35" spans="1:6">
      <c r="A35" s="90">
        <v>46044</v>
      </c>
      <c r="B35" s="90">
        <v>46045</v>
      </c>
      <c r="C35" t="s">
        <v>625</v>
      </c>
      <c r="D35" t="s">
        <v>1118</v>
      </c>
      <c r="E35">
        <v>546.74</v>
      </c>
      <c r="F35" t="s">
        <v>1119</v>
      </c>
    </row>
    <row r="36" spans="1:6">
      <c r="A36" s="108">
        <v>45908</v>
      </c>
      <c r="B36" s="108">
        <v>45909</v>
      </c>
      <c r="C36" s="107" t="s">
        <v>625</v>
      </c>
      <c r="D36" s="107" t="s">
        <v>1012</v>
      </c>
      <c r="E36" s="107">
        <v>547.20000000000005</v>
      </c>
      <c r="F36" t="str">
        <f>"74085325252060510001947"</f>
        <v>74085325252060510001947</v>
      </c>
    </row>
    <row r="37" spans="1:6">
      <c r="A37" s="90">
        <v>45796</v>
      </c>
      <c r="B37" s="90">
        <v>45799</v>
      </c>
      <c r="C37" t="s">
        <v>625</v>
      </c>
      <c r="D37" t="s">
        <v>808</v>
      </c>
      <c r="E37">
        <v>549.83000000000004</v>
      </c>
      <c r="F37" t="s">
        <v>809</v>
      </c>
    </row>
    <row r="38" spans="1:6">
      <c r="A38" s="90">
        <v>45761</v>
      </c>
      <c r="B38" s="90">
        <v>45762</v>
      </c>
      <c r="C38" t="s">
        <v>625</v>
      </c>
      <c r="D38" t="s">
        <v>717</v>
      </c>
      <c r="E38">
        <v>550.51</v>
      </c>
      <c r="F38" t="s">
        <v>718</v>
      </c>
    </row>
    <row r="39" spans="1:6">
      <c r="A39" s="108">
        <v>45897</v>
      </c>
      <c r="B39" s="108">
        <v>45898</v>
      </c>
      <c r="C39" s="107" t="s">
        <v>625</v>
      </c>
      <c r="D39" s="107" t="s">
        <v>1011</v>
      </c>
      <c r="E39" s="107">
        <v>552.39</v>
      </c>
      <c r="F39" t="str">
        <f>"74985405240101531078641"</f>
        <v>74985405240101531078641</v>
      </c>
    </row>
    <row r="40" spans="1:6">
      <c r="A40" s="90">
        <v>45882</v>
      </c>
      <c r="B40" s="90">
        <v>45884</v>
      </c>
      <c r="C40" t="s">
        <v>625</v>
      </c>
      <c r="D40" t="s">
        <v>788</v>
      </c>
      <c r="E40">
        <v>554.20000000000005</v>
      </c>
      <c r="F40" t="s">
        <v>982</v>
      </c>
    </row>
    <row r="41" spans="1:6">
      <c r="A41" s="108">
        <v>46034</v>
      </c>
      <c r="B41" s="108">
        <v>46035</v>
      </c>
      <c r="C41" s="107" t="s">
        <v>625</v>
      </c>
      <c r="D41" s="107" t="s">
        <v>1092</v>
      </c>
      <c r="E41" s="107">
        <v>556.4</v>
      </c>
      <c r="F41" t="s">
        <v>1107</v>
      </c>
    </row>
    <row r="42" spans="1:6">
      <c r="A42" s="90">
        <v>45744</v>
      </c>
      <c r="B42" s="90">
        <v>45747</v>
      </c>
      <c r="C42" t="s">
        <v>625</v>
      </c>
      <c r="D42" t="s">
        <v>662</v>
      </c>
      <c r="E42">
        <v>558.91999999999996</v>
      </c>
      <c r="F42" t="s">
        <v>670</v>
      </c>
    </row>
    <row r="43" spans="1:6">
      <c r="A43" s="90">
        <v>45744</v>
      </c>
      <c r="B43" s="90">
        <v>45747</v>
      </c>
      <c r="C43" t="s">
        <v>625</v>
      </c>
      <c r="D43" t="s">
        <v>662</v>
      </c>
      <c r="E43">
        <v>558.91999999999996</v>
      </c>
      <c r="F43" t="s">
        <v>671</v>
      </c>
    </row>
    <row r="44" spans="1:6">
      <c r="A44" s="90">
        <v>45744</v>
      </c>
      <c r="B44" s="90">
        <v>45744</v>
      </c>
      <c r="C44" t="s">
        <v>625</v>
      </c>
      <c r="D44" t="s">
        <v>668</v>
      </c>
      <c r="E44">
        <v>559.9</v>
      </c>
      <c r="F44" t="s">
        <v>669</v>
      </c>
    </row>
    <row r="45" spans="1:6">
      <c r="A45" s="90">
        <v>45743</v>
      </c>
      <c r="B45" s="90">
        <v>45744</v>
      </c>
      <c r="C45" t="s">
        <v>625</v>
      </c>
      <c r="D45" t="s">
        <v>662</v>
      </c>
      <c r="E45">
        <v>560.41</v>
      </c>
      <c r="F45" t="s">
        <v>663</v>
      </c>
    </row>
    <row r="46" spans="1:6">
      <c r="A46" s="90">
        <v>45743</v>
      </c>
      <c r="B46" s="90">
        <v>45744</v>
      </c>
      <c r="C46" t="s">
        <v>625</v>
      </c>
      <c r="D46" t="s">
        <v>662</v>
      </c>
      <c r="E46">
        <v>560.41</v>
      </c>
      <c r="F46" t="s">
        <v>664</v>
      </c>
    </row>
    <row r="47" spans="1:6">
      <c r="A47" s="90">
        <v>45743</v>
      </c>
      <c r="B47" s="90">
        <v>45744</v>
      </c>
      <c r="C47" t="s">
        <v>625</v>
      </c>
      <c r="D47" t="s">
        <v>662</v>
      </c>
      <c r="E47">
        <v>560.41</v>
      </c>
      <c r="F47" t="s">
        <v>665</v>
      </c>
    </row>
    <row r="48" spans="1:6">
      <c r="A48" s="90">
        <v>45812</v>
      </c>
      <c r="B48" s="90">
        <v>45813</v>
      </c>
      <c r="C48" t="s">
        <v>625</v>
      </c>
      <c r="D48" t="s">
        <v>833</v>
      </c>
      <c r="E48">
        <v>561.96</v>
      </c>
      <c r="F48" t="s">
        <v>834</v>
      </c>
    </row>
    <row r="49" spans="1:6">
      <c r="A49" s="90">
        <v>45762</v>
      </c>
      <c r="B49" s="90">
        <v>45762</v>
      </c>
      <c r="C49" t="s">
        <v>625</v>
      </c>
      <c r="D49" t="s">
        <v>680</v>
      </c>
      <c r="E49">
        <v>561.99</v>
      </c>
      <c r="F49" t="s">
        <v>722</v>
      </c>
    </row>
    <row r="50" spans="1:6">
      <c r="A50" s="90">
        <v>45860</v>
      </c>
      <c r="B50" s="90">
        <v>45861</v>
      </c>
      <c r="C50" t="s">
        <v>625</v>
      </c>
      <c r="D50" t="s">
        <v>936</v>
      </c>
      <c r="E50">
        <v>562.79999999999995</v>
      </c>
      <c r="F50" t="s">
        <v>937</v>
      </c>
    </row>
    <row r="51" spans="1:6">
      <c r="A51" s="90">
        <v>45758</v>
      </c>
      <c r="B51" s="90">
        <v>45761</v>
      </c>
      <c r="C51" t="s">
        <v>625</v>
      </c>
      <c r="D51" t="s">
        <v>715</v>
      </c>
      <c r="E51">
        <v>569.76</v>
      </c>
      <c r="F51" t="s">
        <v>716</v>
      </c>
    </row>
    <row r="52" spans="1:6">
      <c r="A52" s="90">
        <v>45939</v>
      </c>
      <c r="B52" s="90">
        <v>45940</v>
      </c>
      <c r="C52" t="s">
        <v>625</v>
      </c>
      <c r="D52" t="s">
        <v>649</v>
      </c>
      <c r="E52">
        <v>570</v>
      </c>
      <c r="F52" t="str">
        <f>"74208475283100000252960"</f>
        <v>74208475283100000252960</v>
      </c>
    </row>
    <row r="53" spans="1:6">
      <c r="A53" s="90">
        <v>45805</v>
      </c>
      <c r="B53" s="90">
        <v>45806</v>
      </c>
      <c r="C53" t="s">
        <v>625</v>
      </c>
      <c r="D53" t="s">
        <v>680</v>
      </c>
      <c r="E53">
        <v>572.07000000000005</v>
      </c>
      <c r="F53" t="s">
        <v>822</v>
      </c>
    </row>
    <row r="54" spans="1:6">
      <c r="A54" s="90">
        <v>45770</v>
      </c>
      <c r="B54" s="90">
        <v>45771</v>
      </c>
      <c r="C54" t="s">
        <v>625</v>
      </c>
      <c r="D54" t="s">
        <v>732</v>
      </c>
      <c r="E54">
        <v>572.96</v>
      </c>
      <c r="F54" t="s">
        <v>737</v>
      </c>
    </row>
    <row r="55" spans="1:6">
      <c r="A55" s="90">
        <v>45882</v>
      </c>
      <c r="B55" s="90">
        <v>45883</v>
      </c>
      <c r="C55" t="s">
        <v>625</v>
      </c>
      <c r="D55" t="s">
        <v>980</v>
      </c>
      <c r="E55">
        <v>574.45000000000005</v>
      </c>
      <c r="F55" t="s">
        <v>981</v>
      </c>
    </row>
    <row r="56" spans="1:6">
      <c r="A56" s="90">
        <v>45747</v>
      </c>
      <c r="B56" s="90">
        <v>45749</v>
      </c>
      <c r="C56" t="s">
        <v>625</v>
      </c>
      <c r="D56" t="s">
        <v>675</v>
      </c>
      <c r="E56">
        <v>577.45000000000005</v>
      </c>
      <c r="F56" t="s">
        <v>676</v>
      </c>
    </row>
    <row r="57" spans="1:6">
      <c r="A57" s="90">
        <v>45828</v>
      </c>
      <c r="B57" s="90">
        <v>45831</v>
      </c>
      <c r="C57" t="s">
        <v>625</v>
      </c>
      <c r="D57" t="s">
        <v>680</v>
      </c>
      <c r="E57">
        <v>577.95000000000005</v>
      </c>
      <c r="F57" t="s">
        <v>866</v>
      </c>
    </row>
    <row r="58" spans="1:6">
      <c r="A58" s="108">
        <v>45896</v>
      </c>
      <c r="B58" s="108">
        <v>45898</v>
      </c>
      <c r="C58" s="107" t="s">
        <v>625</v>
      </c>
      <c r="D58" s="107" t="s">
        <v>1010</v>
      </c>
      <c r="E58" s="107">
        <v>579.88</v>
      </c>
      <c r="F58" t="str">
        <f>"74163615241761389120949"</f>
        <v>74163615241761389120949</v>
      </c>
    </row>
    <row r="59" spans="1:6">
      <c r="A59" s="90">
        <v>45835</v>
      </c>
      <c r="B59" s="90">
        <v>45838</v>
      </c>
      <c r="C59" t="s">
        <v>625</v>
      </c>
      <c r="D59" t="s">
        <v>880</v>
      </c>
      <c r="E59">
        <v>580</v>
      </c>
      <c r="F59" t="s">
        <v>883</v>
      </c>
    </row>
    <row r="60" spans="1:6">
      <c r="A60" s="90">
        <v>45790</v>
      </c>
      <c r="B60" s="90">
        <v>45791</v>
      </c>
      <c r="C60" t="s">
        <v>625</v>
      </c>
      <c r="D60" t="s">
        <v>680</v>
      </c>
      <c r="E60">
        <v>584.07000000000005</v>
      </c>
      <c r="F60" t="s">
        <v>790</v>
      </c>
    </row>
    <row r="61" spans="1:6">
      <c r="A61" s="90">
        <v>45789</v>
      </c>
      <c r="B61" s="90">
        <v>45790</v>
      </c>
      <c r="C61" t="s">
        <v>625</v>
      </c>
      <c r="D61" t="s">
        <v>680</v>
      </c>
      <c r="E61">
        <v>584.54</v>
      </c>
      <c r="F61" t="s">
        <v>783</v>
      </c>
    </row>
    <row r="62" spans="1:6">
      <c r="A62" s="90">
        <v>46063</v>
      </c>
      <c r="B62" s="90">
        <v>46064</v>
      </c>
      <c r="C62" t="s">
        <v>625</v>
      </c>
      <c r="D62" t="s">
        <v>1120</v>
      </c>
      <c r="E62">
        <v>585.05999999999995</v>
      </c>
      <c r="F62" t="s">
        <v>1121</v>
      </c>
    </row>
    <row r="63" spans="1:6">
      <c r="A63" s="90">
        <v>45791</v>
      </c>
      <c r="B63" s="90">
        <v>45792</v>
      </c>
      <c r="C63" t="s">
        <v>625</v>
      </c>
      <c r="D63" t="s">
        <v>680</v>
      </c>
      <c r="E63">
        <v>586.45000000000005</v>
      </c>
      <c r="F63" t="s">
        <v>797</v>
      </c>
    </row>
    <row r="64" spans="1:6">
      <c r="A64" s="90">
        <v>45791</v>
      </c>
      <c r="B64" s="90">
        <v>45792</v>
      </c>
      <c r="C64" t="s">
        <v>625</v>
      </c>
      <c r="D64" t="s">
        <v>680</v>
      </c>
      <c r="E64">
        <v>586.45000000000005</v>
      </c>
      <c r="F64" t="s">
        <v>798</v>
      </c>
    </row>
    <row r="65" spans="1:6">
      <c r="A65" s="90">
        <v>45790</v>
      </c>
      <c r="B65" s="90">
        <v>45792</v>
      </c>
      <c r="C65" t="s">
        <v>625</v>
      </c>
      <c r="D65" t="s">
        <v>788</v>
      </c>
      <c r="E65">
        <v>592.61</v>
      </c>
      <c r="F65" t="s">
        <v>789</v>
      </c>
    </row>
    <row r="66" spans="1:6">
      <c r="A66" s="90">
        <v>45749</v>
      </c>
      <c r="B66" s="90">
        <v>45750</v>
      </c>
      <c r="C66" t="s">
        <v>625</v>
      </c>
      <c r="D66" t="s">
        <v>662</v>
      </c>
      <c r="E66">
        <v>595.39</v>
      </c>
      <c r="F66" t="s">
        <v>679</v>
      </c>
    </row>
    <row r="67" spans="1:6">
      <c r="A67" s="90">
        <v>45772</v>
      </c>
      <c r="B67" s="90">
        <v>45776</v>
      </c>
      <c r="C67" t="s">
        <v>625</v>
      </c>
      <c r="D67" t="s">
        <v>743</v>
      </c>
      <c r="E67">
        <v>598.79999999999995</v>
      </c>
      <c r="F67" t="s">
        <v>744</v>
      </c>
    </row>
    <row r="68" spans="1:6">
      <c r="A68" s="108">
        <v>45979</v>
      </c>
      <c r="B68" s="108">
        <v>45980</v>
      </c>
      <c r="C68" s="107" t="s">
        <v>625</v>
      </c>
      <c r="D68" s="107" t="s">
        <v>710</v>
      </c>
      <c r="E68" s="107">
        <v>599.07000000000005</v>
      </c>
      <c r="F68" s="107" t="str">
        <f>"74163615323785418875083"</f>
        <v>74163615323785418875083</v>
      </c>
    </row>
    <row r="69" spans="1:6">
      <c r="A69" s="90">
        <v>45770</v>
      </c>
      <c r="B69" s="90">
        <v>45771</v>
      </c>
      <c r="C69" t="s">
        <v>625</v>
      </c>
      <c r="D69" t="s">
        <v>680</v>
      </c>
      <c r="E69">
        <v>599.29</v>
      </c>
      <c r="F69" t="s">
        <v>736</v>
      </c>
    </row>
    <row r="70" spans="1:6">
      <c r="A70" s="108">
        <v>45909</v>
      </c>
      <c r="B70" s="108">
        <v>45910</v>
      </c>
      <c r="C70" s="107" t="s">
        <v>625</v>
      </c>
      <c r="D70" s="107" t="s">
        <v>1009</v>
      </c>
      <c r="E70" s="107">
        <v>600</v>
      </c>
      <c r="F70" t="str">
        <f>"74657375253000460881312"</f>
        <v>74657375253000460881312</v>
      </c>
    </row>
    <row r="71" spans="1:6">
      <c r="A71" s="90">
        <v>45771</v>
      </c>
      <c r="B71" s="90">
        <v>45771</v>
      </c>
      <c r="C71" t="s">
        <v>625</v>
      </c>
      <c r="D71" t="s">
        <v>680</v>
      </c>
      <c r="E71">
        <v>600.45000000000005</v>
      </c>
      <c r="F71" t="s">
        <v>739</v>
      </c>
    </row>
    <row r="72" spans="1:6">
      <c r="A72" s="90">
        <v>46044</v>
      </c>
      <c r="B72" s="90">
        <v>46045</v>
      </c>
      <c r="C72" t="s">
        <v>625</v>
      </c>
      <c r="D72" t="s">
        <v>1122</v>
      </c>
      <c r="E72">
        <v>600.96</v>
      </c>
      <c r="F72" t="s">
        <v>1123</v>
      </c>
    </row>
    <row r="73" spans="1:6">
      <c r="A73" s="90">
        <v>45736</v>
      </c>
      <c r="B73" s="90">
        <v>45740</v>
      </c>
      <c r="C73" t="s">
        <v>625</v>
      </c>
      <c r="D73" t="s">
        <v>626</v>
      </c>
      <c r="E73">
        <v>607.01</v>
      </c>
      <c r="F73" t="s">
        <v>627</v>
      </c>
    </row>
    <row r="74" spans="1:6">
      <c r="A74" s="90">
        <v>45758</v>
      </c>
      <c r="B74" s="90">
        <v>45761</v>
      </c>
      <c r="C74" t="s">
        <v>625</v>
      </c>
      <c r="D74" t="s">
        <v>680</v>
      </c>
      <c r="E74">
        <v>609.6</v>
      </c>
      <c r="F74" t="s">
        <v>714</v>
      </c>
    </row>
    <row r="75" spans="1:6">
      <c r="A75" s="90">
        <v>45783</v>
      </c>
      <c r="B75" s="90">
        <v>45784</v>
      </c>
      <c r="C75" t="s">
        <v>625</v>
      </c>
      <c r="D75" t="s">
        <v>769</v>
      </c>
      <c r="E75">
        <v>611.99</v>
      </c>
      <c r="F75" t="s">
        <v>770</v>
      </c>
    </row>
    <row r="76" spans="1:6">
      <c r="A76" s="90">
        <v>45883</v>
      </c>
      <c r="B76" s="90">
        <v>45884</v>
      </c>
      <c r="C76" t="s">
        <v>625</v>
      </c>
      <c r="D76" t="s">
        <v>985</v>
      </c>
      <c r="E76">
        <v>614.4</v>
      </c>
      <c r="F76" t="s">
        <v>986</v>
      </c>
    </row>
    <row r="77" spans="1:6">
      <c r="A77" s="90">
        <v>45737</v>
      </c>
      <c r="B77" s="90">
        <v>45740</v>
      </c>
      <c r="C77" t="s">
        <v>625</v>
      </c>
      <c r="D77" t="s">
        <v>631</v>
      </c>
      <c r="E77">
        <v>614.98</v>
      </c>
      <c r="F77" t="s">
        <v>632</v>
      </c>
    </row>
    <row r="78" spans="1:6">
      <c r="A78" s="90">
        <v>45751</v>
      </c>
      <c r="B78" s="90">
        <v>45754</v>
      </c>
      <c r="C78" t="s">
        <v>625</v>
      </c>
      <c r="D78" t="s">
        <v>680</v>
      </c>
      <c r="E78">
        <v>615.35</v>
      </c>
      <c r="F78" t="s">
        <v>691</v>
      </c>
    </row>
    <row r="79" spans="1:6">
      <c r="A79" s="90">
        <v>45751</v>
      </c>
      <c r="B79" s="90">
        <v>45754</v>
      </c>
      <c r="C79" t="s">
        <v>625</v>
      </c>
      <c r="D79" t="s">
        <v>680</v>
      </c>
      <c r="E79">
        <v>615.35</v>
      </c>
      <c r="F79" t="s">
        <v>692</v>
      </c>
    </row>
    <row r="80" spans="1:6">
      <c r="A80" s="90">
        <v>45751</v>
      </c>
      <c r="B80" s="90">
        <v>45751</v>
      </c>
      <c r="C80" t="s">
        <v>625</v>
      </c>
      <c r="D80" t="s">
        <v>680</v>
      </c>
      <c r="E80">
        <v>615.35</v>
      </c>
      <c r="F80" t="s">
        <v>693</v>
      </c>
    </row>
    <row r="81" spans="1:6">
      <c r="A81" s="90">
        <v>45751</v>
      </c>
      <c r="B81" s="90">
        <v>45754</v>
      </c>
      <c r="C81" t="s">
        <v>625</v>
      </c>
      <c r="D81" t="s">
        <v>680</v>
      </c>
      <c r="E81">
        <v>615.35</v>
      </c>
      <c r="F81" t="s">
        <v>694</v>
      </c>
    </row>
    <row r="82" spans="1:6">
      <c r="A82" s="90">
        <v>45750</v>
      </c>
      <c r="B82" s="90">
        <v>45750</v>
      </c>
      <c r="C82" t="s">
        <v>625</v>
      </c>
      <c r="D82" t="s">
        <v>680</v>
      </c>
      <c r="E82">
        <v>618.6</v>
      </c>
      <c r="F82" t="s">
        <v>681</v>
      </c>
    </row>
    <row r="83" spans="1:6">
      <c r="A83" s="90">
        <v>45750</v>
      </c>
      <c r="B83" s="90">
        <v>45751</v>
      </c>
      <c r="C83" t="s">
        <v>625</v>
      </c>
      <c r="D83" t="s">
        <v>680</v>
      </c>
      <c r="E83">
        <v>618.6</v>
      </c>
      <c r="F83" t="s">
        <v>682</v>
      </c>
    </row>
    <row r="84" spans="1:6">
      <c r="A84" s="90">
        <v>45750</v>
      </c>
      <c r="B84" s="90">
        <v>45751</v>
      </c>
      <c r="C84" t="s">
        <v>625</v>
      </c>
      <c r="D84" t="s">
        <v>680</v>
      </c>
      <c r="E84">
        <v>618.6</v>
      </c>
      <c r="F84" t="s">
        <v>683</v>
      </c>
    </row>
    <row r="85" spans="1:6">
      <c r="A85" s="90">
        <v>45750</v>
      </c>
      <c r="B85" s="90">
        <v>45751</v>
      </c>
      <c r="C85" t="s">
        <v>625</v>
      </c>
      <c r="D85" t="s">
        <v>680</v>
      </c>
      <c r="E85">
        <v>618.6</v>
      </c>
      <c r="F85" t="s">
        <v>684</v>
      </c>
    </row>
    <row r="86" spans="1:6">
      <c r="A86" s="90">
        <v>45750</v>
      </c>
      <c r="B86" s="90">
        <v>45751</v>
      </c>
      <c r="C86" t="s">
        <v>625</v>
      </c>
      <c r="D86" t="s">
        <v>680</v>
      </c>
      <c r="E86">
        <v>618.6</v>
      </c>
      <c r="F86" t="s">
        <v>685</v>
      </c>
    </row>
    <row r="87" spans="1:6">
      <c r="A87" s="90">
        <v>45750</v>
      </c>
      <c r="B87" s="90">
        <v>45751</v>
      </c>
      <c r="C87" t="s">
        <v>625</v>
      </c>
      <c r="D87" t="s">
        <v>680</v>
      </c>
      <c r="E87">
        <v>618.6</v>
      </c>
      <c r="F87" t="s">
        <v>686</v>
      </c>
    </row>
    <row r="88" spans="1:6">
      <c r="A88" s="108">
        <v>45959</v>
      </c>
      <c r="B88" s="108">
        <v>45960</v>
      </c>
      <c r="C88" s="107" t="s">
        <v>625</v>
      </c>
      <c r="D88" s="107" t="s">
        <v>1051</v>
      </c>
      <c r="E88" s="107">
        <v>619.36</v>
      </c>
      <c r="F88" s="107" t="str">
        <f>"74875305302000705221088"</f>
        <v>74875305302000705221088</v>
      </c>
    </row>
    <row r="89" spans="1:6">
      <c r="A89" s="90">
        <v>45754</v>
      </c>
      <c r="B89" s="90">
        <v>45755</v>
      </c>
      <c r="C89" t="s">
        <v>625</v>
      </c>
      <c r="D89" t="s">
        <v>680</v>
      </c>
      <c r="E89">
        <v>620.9</v>
      </c>
      <c r="F89" t="s">
        <v>695</v>
      </c>
    </row>
    <row r="90" spans="1:6">
      <c r="A90" s="90">
        <v>45848</v>
      </c>
      <c r="B90" s="90">
        <v>45852</v>
      </c>
      <c r="C90" t="s">
        <v>625</v>
      </c>
      <c r="D90" t="s">
        <v>849</v>
      </c>
      <c r="E90">
        <v>621.84</v>
      </c>
      <c r="F90" t="s">
        <v>908</v>
      </c>
    </row>
    <row r="91" spans="1:6">
      <c r="A91" s="90">
        <v>45848</v>
      </c>
      <c r="B91" s="90">
        <v>45852</v>
      </c>
      <c r="C91" t="s">
        <v>625</v>
      </c>
      <c r="D91" t="s">
        <v>849</v>
      </c>
      <c r="E91">
        <v>621.84</v>
      </c>
      <c r="F91" t="s">
        <v>909</v>
      </c>
    </row>
    <row r="92" spans="1:6">
      <c r="A92" s="90">
        <v>45867</v>
      </c>
      <c r="B92" s="90">
        <v>45870</v>
      </c>
      <c r="C92" t="s">
        <v>625</v>
      </c>
      <c r="D92" t="s">
        <v>942</v>
      </c>
      <c r="E92">
        <v>623.34</v>
      </c>
      <c r="F92" t="s">
        <v>954</v>
      </c>
    </row>
    <row r="93" spans="1:6">
      <c r="A93" s="90">
        <v>45867</v>
      </c>
      <c r="B93" s="90">
        <v>45870</v>
      </c>
      <c r="C93" t="s">
        <v>625</v>
      </c>
      <c r="D93" t="s">
        <v>942</v>
      </c>
      <c r="E93">
        <v>623.34</v>
      </c>
      <c r="F93" t="s">
        <v>955</v>
      </c>
    </row>
    <row r="94" spans="1:6">
      <c r="A94" s="90">
        <v>45866</v>
      </c>
      <c r="B94" s="90">
        <v>45869</v>
      </c>
      <c r="C94" t="s">
        <v>625</v>
      </c>
      <c r="D94" t="s">
        <v>849</v>
      </c>
      <c r="E94">
        <v>623.69000000000005</v>
      </c>
      <c r="F94" t="s">
        <v>948</v>
      </c>
    </row>
    <row r="95" spans="1:6">
      <c r="A95" s="90">
        <v>45866</v>
      </c>
      <c r="B95" s="90">
        <v>45869</v>
      </c>
      <c r="C95" t="s">
        <v>625</v>
      </c>
      <c r="D95" t="s">
        <v>849</v>
      </c>
      <c r="E95">
        <v>623.69000000000005</v>
      </c>
      <c r="F95" t="s">
        <v>949</v>
      </c>
    </row>
    <row r="96" spans="1:6">
      <c r="A96" s="90">
        <v>45811</v>
      </c>
      <c r="B96" s="90">
        <v>45813</v>
      </c>
      <c r="C96" t="s">
        <v>625</v>
      </c>
      <c r="D96" t="s">
        <v>830</v>
      </c>
      <c r="E96">
        <v>624</v>
      </c>
      <c r="F96" t="s">
        <v>831</v>
      </c>
    </row>
    <row r="97" spans="1:6">
      <c r="A97" s="90">
        <v>45930</v>
      </c>
      <c r="B97" s="90">
        <v>45931</v>
      </c>
      <c r="C97" t="s">
        <v>625</v>
      </c>
      <c r="D97" t="s">
        <v>1019</v>
      </c>
      <c r="E97">
        <v>624</v>
      </c>
      <c r="F97" t="str">
        <f>"74085325274060520054203"</f>
        <v>74085325274060520054203</v>
      </c>
    </row>
    <row r="98" spans="1:6">
      <c r="A98" s="90">
        <v>45860</v>
      </c>
      <c r="B98" s="90">
        <v>45863</v>
      </c>
      <c r="C98" t="s">
        <v>625</v>
      </c>
      <c r="D98" t="s">
        <v>849</v>
      </c>
      <c r="E98">
        <v>624.04</v>
      </c>
      <c r="F98" t="s">
        <v>935</v>
      </c>
    </row>
    <row r="99" spans="1:6">
      <c r="A99" s="90">
        <v>45855</v>
      </c>
      <c r="B99" s="90">
        <v>45859</v>
      </c>
      <c r="C99" t="s">
        <v>625</v>
      </c>
      <c r="D99" t="s">
        <v>849</v>
      </c>
      <c r="E99">
        <v>624.25</v>
      </c>
      <c r="F99" t="s">
        <v>922</v>
      </c>
    </row>
    <row r="100" spans="1:6">
      <c r="A100" s="90">
        <v>45855</v>
      </c>
      <c r="B100" s="90">
        <v>45859</v>
      </c>
      <c r="C100" t="s">
        <v>625</v>
      </c>
      <c r="D100" t="s">
        <v>849</v>
      </c>
      <c r="E100">
        <v>624.25</v>
      </c>
      <c r="F100" t="s">
        <v>923</v>
      </c>
    </row>
    <row r="101" spans="1:6">
      <c r="A101" s="90">
        <v>45855</v>
      </c>
      <c r="B101" s="90">
        <v>45859</v>
      </c>
      <c r="C101" t="s">
        <v>625</v>
      </c>
      <c r="D101" t="s">
        <v>849</v>
      </c>
      <c r="E101">
        <v>624.25</v>
      </c>
      <c r="F101" t="s">
        <v>924</v>
      </c>
    </row>
    <row r="102" spans="1:6">
      <c r="A102" s="90">
        <v>45855</v>
      </c>
      <c r="B102" s="90">
        <v>45859</v>
      </c>
      <c r="C102" t="s">
        <v>625</v>
      </c>
      <c r="D102" t="s">
        <v>849</v>
      </c>
      <c r="E102">
        <v>624.25</v>
      </c>
      <c r="F102" t="s">
        <v>925</v>
      </c>
    </row>
    <row r="103" spans="1:6">
      <c r="A103" s="90">
        <v>45868</v>
      </c>
      <c r="B103" s="90">
        <v>45873</v>
      </c>
      <c r="C103" t="s">
        <v>625</v>
      </c>
      <c r="D103" t="s">
        <v>942</v>
      </c>
      <c r="E103">
        <v>624.83000000000004</v>
      </c>
      <c r="F103" t="s">
        <v>961</v>
      </c>
    </row>
    <row r="104" spans="1:6">
      <c r="A104" s="90">
        <v>45862</v>
      </c>
      <c r="B104" s="90">
        <v>45866</v>
      </c>
      <c r="C104" t="s">
        <v>625</v>
      </c>
      <c r="D104" t="s">
        <v>942</v>
      </c>
      <c r="E104">
        <v>624.89</v>
      </c>
      <c r="F104" t="s">
        <v>943</v>
      </c>
    </row>
    <row r="105" spans="1:6">
      <c r="A105" s="90">
        <v>45862</v>
      </c>
      <c r="B105" s="90">
        <v>45866</v>
      </c>
      <c r="C105" t="s">
        <v>625</v>
      </c>
      <c r="D105" t="s">
        <v>942</v>
      </c>
      <c r="E105">
        <v>624.89</v>
      </c>
      <c r="F105" t="s">
        <v>944</v>
      </c>
    </row>
    <row r="106" spans="1:6">
      <c r="A106" s="90">
        <v>45791</v>
      </c>
      <c r="B106" s="90">
        <v>45792</v>
      </c>
      <c r="C106" t="s">
        <v>625</v>
      </c>
      <c r="D106" t="s">
        <v>795</v>
      </c>
      <c r="E106">
        <v>625.55999999999995</v>
      </c>
      <c r="F106" t="s">
        <v>796</v>
      </c>
    </row>
    <row r="107" spans="1:6">
      <c r="A107" s="90">
        <v>45861</v>
      </c>
      <c r="B107" s="90">
        <v>45866</v>
      </c>
      <c r="C107" t="s">
        <v>625</v>
      </c>
      <c r="D107" t="s">
        <v>849</v>
      </c>
      <c r="E107">
        <v>625.75</v>
      </c>
      <c r="F107" t="s">
        <v>939</v>
      </c>
    </row>
    <row r="108" spans="1:6">
      <c r="A108" s="90">
        <v>45869</v>
      </c>
      <c r="B108" s="90">
        <v>45873</v>
      </c>
      <c r="C108" t="s">
        <v>625</v>
      </c>
      <c r="D108" t="s">
        <v>849</v>
      </c>
      <c r="E108">
        <v>625.84</v>
      </c>
      <c r="F108" t="s">
        <v>963</v>
      </c>
    </row>
    <row r="109" spans="1:6">
      <c r="A109" s="90">
        <v>45869</v>
      </c>
      <c r="B109" s="90">
        <v>45873</v>
      </c>
      <c r="C109" t="s">
        <v>625</v>
      </c>
      <c r="D109" t="s">
        <v>849</v>
      </c>
      <c r="E109">
        <v>625.84</v>
      </c>
      <c r="F109" t="s">
        <v>964</v>
      </c>
    </row>
    <row r="110" spans="1:6">
      <c r="A110" s="90">
        <v>45806</v>
      </c>
      <c r="B110" s="90">
        <v>45807</v>
      </c>
      <c r="C110" t="s">
        <v>625</v>
      </c>
      <c r="D110" t="s">
        <v>823</v>
      </c>
      <c r="E110">
        <v>627.98</v>
      </c>
      <c r="F110" t="s">
        <v>824</v>
      </c>
    </row>
    <row r="111" spans="1:6">
      <c r="A111" s="90">
        <v>45755</v>
      </c>
      <c r="B111" s="90">
        <v>45756</v>
      </c>
      <c r="C111" t="s">
        <v>625</v>
      </c>
      <c r="D111" t="s">
        <v>680</v>
      </c>
      <c r="E111">
        <v>628</v>
      </c>
      <c r="F111" t="s">
        <v>698</v>
      </c>
    </row>
    <row r="112" spans="1:6">
      <c r="A112" s="90">
        <v>45926</v>
      </c>
      <c r="B112" s="90">
        <v>45929</v>
      </c>
      <c r="C112" t="s">
        <v>625</v>
      </c>
      <c r="D112" t="s">
        <v>1032</v>
      </c>
      <c r="E112">
        <v>630.69000000000005</v>
      </c>
      <c r="F112" t="str">
        <f>"74544475270000103310293"</f>
        <v>74544475270000103310293</v>
      </c>
    </row>
    <row r="113" spans="1:6">
      <c r="A113" s="90">
        <v>45926</v>
      </c>
      <c r="B113" s="90">
        <v>45929</v>
      </c>
      <c r="C113" t="s">
        <v>625</v>
      </c>
      <c r="D113" t="s">
        <v>1032</v>
      </c>
      <c r="E113">
        <v>630.69000000000005</v>
      </c>
      <c r="F113" t="str">
        <f>"74544475270000103310285"</f>
        <v>74544475270000103310285</v>
      </c>
    </row>
    <row r="114" spans="1:6">
      <c r="A114" s="108">
        <v>45889</v>
      </c>
      <c r="B114" s="108">
        <v>45894</v>
      </c>
      <c r="C114" s="107" t="s">
        <v>625</v>
      </c>
      <c r="D114" s="107" t="s">
        <v>942</v>
      </c>
      <c r="E114" s="107">
        <v>632.32000000000005</v>
      </c>
      <c r="F114" t="str">
        <f>"74980005234773202282248"</f>
        <v>74980005234773202282248</v>
      </c>
    </row>
    <row r="115" spans="1:6">
      <c r="A115" s="90">
        <v>45820</v>
      </c>
      <c r="B115" s="90">
        <v>45824</v>
      </c>
      <c r="C115" t="s">
        <v>625</v>
      </c>
      <c r="D115" t="s">
        <v>849</v>
      </c>
      <c r="E115">
        <v>632.64</v>
      </c>
      <c r="F115" t="s">
        <v>850</v>
      </c>
    </row>
    <row r="116" spans="1:6">
      <c r="A116" s="90">
        <v>45826</v>
      </c>
      <c r="B116" s="90">
        <v>45831</v>
      </c>
      <c r="C116" t="s">
        <v>625</v>
      </c>
      <c r="D116" t="s">
        <v>849</v>
      </c>
      <c r="E116">
        <v>634.03</v>
      </c>
      <c r="F116" t="s">
        <v>857</v>
      </c>
    </row>
    <row r="117" spans="1:6">
      <c r="A117" s="90">
        <v>45827</v>
      </c>
      <c r="B117" s="90">
        <v>45831</v>
      </c>
      <c r="C117" t="s">
        <v>625</v>
      </c>
      <c r="D117" t="s">
        <v>849</v>
      </c>
      <c r="E117">
        <v>634.03</v>
      </c>
      <c r="F117" t="s">
        <v>863</v>
      </c>
    </row>
    <row r="118" spans="1:6">
      <c r="A118" s="90">
        <v>45938</v>
      </c>
      <c r="B118" s="90">
        <v>45939</v>
      </c>
      <c r="C118" t="s">
        <v>625</v>
      </c>
      <c r="D118" t="s">
        <v>1031</v>
      </c>
      <c r="E118">
        <v>634.79</v>
      </c>
      <c r="F118" t="str">
        <f>"74208475281100139039512"</f>
        <v>74208475281100139039512</v>
      </c>
    </row>
    <row r="119" spans="1:6">
      <c r="A119" s="90">
        <v>45785</v>
      </c>
      <c r="B119" s="90">
        <v>45786</v>
      </c>
      <c r="C119" t="s">
        <v>625</v>
      </c>
      <c r="D119" t="s">
        <v>680</v>
      </c>
      <c r="E119">
        <v>637.71</v>
      </c>
      <c r="F119" t="s">
        <v>777</v>
      </c>
    </row>
    <row r="120" spans="1:6">
      <c r="A120" s="90">
        <v>45747</v>
      </c>
      <c r="B120" s="90">
        <v>45748</v>
      </c>
      <c r="C120" t="s">
        <v>625</v>
      </c>
      <c r="D120" t="s">
        <v>662</v>
      </c>
      <c r="E120">
        <v>637.78</v>
      </c>
      <c r="F120" t="s">
        <v>674</v>
      </c>
    </row>
    <row r="121" spans="1:6">
      <c r="A121" s="108">
        <v>45908</v>
      </c>
      <c r="B121" s="108">
        <v>45909</v>
      </c>
      <c r="C121" s="107" t="s">
        <v>625</v>
      </c>
      <c r="D121" s="107" t="s">
        <v>649</v>
      </c>
      <c r="E121" s="107">
        <v>643.02</v>
      </c>
      <c r="F121" t="str">
        <f>"74208475252100000112039"</f>
        <v>74208475252100000112039</v>
      </c>
    </row>
    <row r="122" spans="1:6">
      <c r="A122" s="90">
        <v>46043</v>
      </c>
      <c r="B122" s="90">
        <v>46044</v>
      </c>
      <c r="C122" t="s">
        <v>625</v>
      </c>
      <c r="D122" t="s">
        <v>1124</v>
      </c>
      <c r="E122">
        <v>645.48</v>
      </c>
      <c r="F122" t="s">
        <v>1125</v>
      </c>
    </row>
    <row r="123" spans="1:6">
      <c r="A123" s="108">
        <v>45971</v>
      </c>
      <c r="B123" s="108">
        <v>45972</v>
      </c>
      <c r="C123" s="107" t="s">
        <v>625</v>
      </c>
      <c r="D123" s="107" t="s">
        <v>1050</v>
      </c>
      <c r="E123" s="107">
        <v>645.6</v>
      </c>
      <c r="F123" s="107" t="str">
        <f>"74208475314100042426526"</f>
        <v>74208475314100042426526</v>
      </c>
    </row>
    <row r="124" spans="1:6">
      <c r="A124" s="90">
        <v>45790</v>
      </c>
      <c r="B124" s="90">
        <v>45791</v>
      </c>
      <c r="C124" t="s">
        <v>625</v>
      </c>
      <c r="D124" t="s">
        <v>680</v>
      </c>
      <c r="E124">
        <v>646.53</v>
      </c>
      <c r="F124" t="s">
        <v>786</v>
      </c>
    </row>
    <row r="125" spans="1:6">
      <c r="A125" s="90">
        <v>45790</v>
      </c>
      <c r="B125" s="90">
        <v>45791</v>
      </c>
      <c r="C125" t="s">
        <v>625</v>
      </c>
      <c r="D125" t="s">
        <v>680</v>
      </c>
      <c r="E125">
        <v>646.53</v>
      </c>
      <c r="F125" t="s">
        <v>787</v>
      </c>
    </row>
    <row r="126" spans="1:6">
      <c r="A126" s="90">
        <v>45859</v>
      </c>
      <c r="B126" s="90">
        <v>45860</v>
      </c>
      <c r="C126" t="s">
        <v>625</v>
      </c>
      <c r="D126" t="s">
        <v>931</v>
      </c>
      <c r="E126">
        <v>649</v>
      </c>
      <c r="F126" t="s">
        <v>932</v>
      </c>
    </row>
    <row r="127" spans="1:6">
      <c r="A127" s="90">
        <v>45785</v>
      </c>
      <c r="B127" s="90">
        <v>45786</v>
      </c>
      <c r="C127" t="s">
        <v>625</v>
      </c>
      <c r="D127" t="s">
        <v>651</v>
      </c>
      <c r="E127">
        <v>649.29</v>
      </c>
      <c r="F127" t="s">
        <v>776</v>
      </c>
    </row>
    <row r="128" spans="1:6">
      <c r="A128" s="90">
        <v>45946</v>
      </c>
      <c r="B128" s="90">
        <v>45950</v>
      </c>
      <c r="C128" t="s">
        <v>625</v>
      </c>
      <c r="D128" t="s">
        <v>1030</v>
      </c>
      <c r="E128">
        <v>649.57000000000005</v>
      </c>
      <c r="F128" t="str">
        <f>"24240985291600219028997"</f>
        <v>24240985291600219028997</v>
      </c>
    </row>
    <row r="129" spans="1:6">
      <c r="A129" s="90">
        <v>45776</v>
      </c>
      <c r="B129" s="90">
        <v>45777</v>
      </c>
      <c r="C129" t="s">
        <v>625</v>
      </c>
      <c r="D129" t="s">
        <v>680</v>
      </c>
      <c r="E129">
        <v>650.27</v>
      </c>
      <c r="F129" t="s">
        <v>751</v>
      </c>
    </row>
    <row r="130" spans="1:6">
      <c r="A130" s="90">
        <v>45777</v>
      </c>
      <c r="B130" s="90">
        <v>45778</v>
      </c>
      <c r="C130" t="s">
        <v>625</v>
      </c>
      <c r="D130" t="s">
        <v>680</v>
      </c>
      <c r="E130">
        <v>651.09</v>
      </c>
      <c r="F130" t="s">
        <v>757</v>
      </c>
    </row>
    <row r="131" spans="1:6">
      <c r="A131" s="90">
        <v>45784</v>
      </c>
      <c r="B131" s="90">
        <v>45785</v>
      </c>
      <c r="C131" t="s">
        <v>625</v>
      </c>
      <c r="D131" t="s">
        <v>680</v>
      </c>
      <c r="E131">
        <v>651.29</v>
      </c>
      <c r="F131" t="s">
        <v>774</v>
      </c>
    </row>
    <row r="132" spans="1:6">
      <c r="A132" s="90">
        <v>45785</v>
      </c>
      <c r="B132" s="90">
        <v>45786</v>
      </c>
      <c r="C132" t="s">
        <v>625</v>
      </c>
      <c r="D132" t="s">
        <v>680</v>
      </c>
      <c r="E132">
        <v>653.04</v>
      </c>
      <c r="F132" t="s">
        <v>775</v>
      </c>
    </row>
    <row r="133" spans="1:6">
      <c r="A133" s="90">
        <v>45743</v>
      </c>
      <c r="B133" s="90">
        <v>45747</v>
      </c>
      <c r="C133" t="s">
        <v>625</v>
      </c>
      <c r="D133" t="s">
        <v>657</v>
      </c>
      <c r="E133">
        <v>654.45000000000005</v>
      </c>
      <c r="F133" t="s">
        <v>658</v>
      </c>
    </row>
    <row r="134" spans="1:6">
      <c r="A134" s="90">
        <v>45743</v>
      </c>
      <c r="B134" s="90">
        <v>45747</v>
      </c>
      <c r="C134" t="s">
        <v>625</v>
      </c>
      <c r="D134" t="s">
        <v>657</v>
      </c>
      <c r="E134">
        <v>654.45000000000005</v>
      </c>
      <c r="F134" t="s">
        <v>659</v>
      </c>
    </row>
    <row r="135" spans="1:6">
      <c r="A135" s="90">
        <v>45743</v>
      </c>
      <c r="B135" s="90">
        <v>45747</v>
      </c>
      <c r="C135" t="s">
        <v>625</v>
      </c>
      <c r="D135" t="s">
        <v>657</v>
      </c>
      <c r="E135">
        <v>654.45000000000005</v>
      </c>
      <c r="F135" t="s">
        <v>660</v>
      </c>
    </row>
    <row r="136" spans="1:6">
      <c r="A136" s="90">
        <v>45743</v>
      </c>
      <c r="B136" s="90">
        <v>45747</v>
      </c>
      <c r="C136" t="s">
        <v>625</v>
      </c>
      <c r="D136" t="s">
        <v>657</v>
      </c>
      <c r="E136">
        <v>654.45000000000005</v>
      </c>
      <c r="F136" t="s">
        <v>661</v>
      </c>
    </row>
    <row r="137" spans="1:6">
      <c r="A137" s="90">
        <v>45741</v>
      </c>
      <c r="B137" s="90">
        <v>45744</v>
      </c>
      <c r="C137" t="s">
        <v>625</v>
      </c>
      <c r="D137" t="s">
        <v>649</v>
      </c>
      <c r="E137">
        <v>656.92</v>
      </c>
      <c r="F137" t="s">
        <v>650</v>
      </c>
    </row>
    <row r="138" spans="1:6">
      <c r="A138" s="90">
        <v>45789</v>
      </c>
      <c r="B138" s="90">
        <v>45790</v>
      </c>
      <c r="C138" t="s">
        <v>625</v>
      </c>
      <c r="D138" t="s">
        <v>680</v>
      </c>
      <c r="E138">
        <v>659.27</v>
      </c>
      <c r="F138" t="s">
        <v>782</v>
      </c>
    </row>
    <row r="139" spans="1:6">
      <c r="A139" s="90">
        <v>45841</v>
      </c>
      <c r="B139" s="90">
        <v>45842</v>
      </c>
      <c r="C139" t="s">
        <v>625</v>
      </c>
      <c r="D139" t="s">
        <v>892</v>
      </c>
      <c r="E139">
        <v>660</v>
      </c>
      <c r="F139" t="s">
        <v>893</v>
      </c>
    </row>
    <row r="140" spans="1:6">
      <c r="A140" s="90">
        <v>45841</v>
      </c>
      <c r="B140" s="90">
        <v>45842</v>
      </c>
      <c r="C140" t="s">
        <v>625</v>
      </c>
      <c r="D140" t="s">
        <v>892</v>
      </c>
      <c r="E140">
        <v>660</v>
      </c>
      <c r="F140" t="s">
        <v>894</v>
      </c>
    </row>
    <row r="141" spans="1:6">
      <c r="A141" s="90">
        <v>46043</v>
      </c>
      <c r="B141" s="90">
        <v>46044</v>
      </c>
      <c r="C141" t="s">
        <v>625</v>
      </c>
      <c r="D141" t="s">
        <v>1126</v>
      </c>
      <c r="E141">
        <v>661.2</v>
      </c>
      <c r="F141" t="s">
        <v>1127</v>
      </c>
    </row>
    <row r="142" spans="1:6">
      <c r="A142" s="90">
        <v>45943</v>
      </c>
      <c r="B142" s="90">
        <v>45945</v>
      </c>
      <c r="C142" t="s">
        <v>625</v>
      </c>
      <c r="D142" t="s">
        <v>1029</v>
      </c>
      <c r="E142">
        <v>662.16</v>
      </c>
      <c r="F142" t="str">
        <f>"74830505286182317692655"</f>
        <v>74830505286182317692655</v>
      </c>
    </row>
    <row r="143" spans="1:6">
      <c r="A143" s="90">
        <v>45933</v>
      </c>
      <c r="B143" s="90">
        <v>45936</v>
      </c>
      <c r="C143" t="s">
        <v>625</v>
      </c>
      <c r="D143" t="s">
        <v>1029</v>
      </c>
      <c r="E143">
        <v>662.4</v>
      </c>
      <c r="F143" t="str">
        <f>"74830505276182373478959"</f>
        <v>74830505276182373478959</v>
      </c>
    </row>
    <row r="144" spans="1:6">
      <c r="A144" s="90">
        <v>46002</v>
      </c>
      <c r="B144" s="90">
        <v>46003</v>
      </c>
      <c r="C144" t="s">
        <v>625</v>
      </c>
      <c r="D144" t="s">
        <v>1081</v>
      </c>
      <c r="E144">
        <v>664.49</v>
      </c>
      <c r="F144" s="109" t="s">
        <v>1082</v>
      </c>
    </row>
    <row r="145" spans="1:6">
      <c r="A145" s="90">
        <v>45770</v>
      </c>
      <c r="B145" s="90">
        <v>45771</v>
      </c>
      <c r="C145" t="s">
        <v>625</v>
      </c>
      <c r="D145" t="s">
        <v>662</v>
      </c>
      <c r="E145">
        <v>665.99</v>
      </c>
      <c r="F145" t="s">
        <v>735</v>
      </c>
    </row>
    <row r="146" spans="1:6">
      <c r="A146" s="90">
        <v>45758</v>
      </c>
      <c r="B146" s="90">
        <v>45761</v>
      </c>
      <c r="C146" t="s">
        <v>625</v>
      </c>
      <c r="D146" t="s">
        <v>712</v>
      </c>
      <c r="E146">
        <v>668.01</v>
      </c>
      <c r="F146" t="s">
        <v>713</v>
      </c>
    </row>
    <row r="147" spans="1:6">
      <c r="A147" s="90">
        <v>45881</v>
      </c>
      <c r="B147" s="90">
        <v>45883</v>
      </c>
      <c r="C147" t="s">
        <v>625</v>
      </c>
      <c r="D147" t="s">
        <v>976</v>
      </c>
      <c r="E147">
        <v>670.39</v>
      </c>
      <c r="F147" t="s">
        <v>977</v>
      </c>
    </row>
    <row r="148" spans="1:6">
      <c r="A148" s="90">
        <v>46008</v>
      </c>
      <c r="B148" s="90">
        <v>46009</v>
      </c>
      <c r="C148" t="s">
        <v>625</v>
      </c>
      <c r="D148" t="s">
        <v>1079</v>
      </c>
      <c r="E148">
        <v>672</v>
      </c>
      <c r="F148" s="109" t="s">
        <v>1080</v>
      </c>
    </row>
    <row r="149" spans="1:6">
      <c r="A149" s="90">
        <v>45790</v>
      </c>
      <c r="B149" s="90">
        <v>45791</v>
      </c>
      <c r="C149" t="s">
        <v>625</v>
      </c>
      <c r="D149" t="s">
        <v>680</v>
      </c>
      <c r="E149">
        <v>673.63</v>
      </c>
      <c r="F149" t="s">
        <v>785</v>
      </c>
    </row>
    <row r="150" spans="1:6">
      <c r="A150" s="108">
        <v>45975</v>
      </c>
      <c r="B150" s="108">
        <v>45978</v>
      </c>
      <c r="C150" s="107" t="s">
        <v>625</v>
      </c>
      <c r="D150" s="107" t="s">
        <v>1049</v>
      </c>
      <c r="E150" s="107">
        <v>676.99</v>
      </c>
      <c r="F150" s="107" t="str">
        <f>"74244695318545507323755"</f>
        <v>74244695318545507323755</v>
      </c>
    </row>
    <row r="151" spans="1:6">
      <c r="A151" s="90">
        <v>45740</v>
      </c>
      <c r="B151" s="90">
        <v>45741</v>
      </c>
      <c r="C151" t="s">
        <v>625</v>
      </c>
      <c r="D151" t="s">
        <v>643</v>
      </c>
      <c r="E151">
        <v>678</v>
      </c>
      <c r="F151" t="s">
        <v>644</v>
      </c>
    </row>
    <row r="152" spans="1:6">
      <c r="A152" s="90">
        <v>45762</v>
      </c>
      <c r="B152" s="90">
        <v>45764</v>
      </c>
      <c r="C152" t="s">
        <v>625</v>
      </c>
      <c r="D152" t="s">
        <v>657</v>
      </c>
      <c r="E152">
        <v>679.45</v>
      </c>
      <c r="F152" t="s">
        <v>719</v>
      </c>
    </row>
    <row r="153" spans="1:6">
      <c r="A153" s="90">
        <v>45762</v>
      </c>
      <c r="B153" s="90">
        <v>45764</v>
      </c>
      <c r="C153" t="s">
        <v>625</v>
      </c>
      <c r="D153" t="s">
        <v>720</v>
      </c>
      <c r="E153">
        <v>679.45</v>
      </c>
      <c r="F153" t="s">
        <v>721</v>
      </c>
    </row>
    <row r="154" spans="1:6">
      <c r="A154" s="108">
        <v>45979</v>
      </c>
      <c r="B154" s="108">
        <v>45980</v>
      </c>
      <c r="C154" s="107" t="s">
        <v>625</v>
      </c>
      <c r="D154" s="107" t="s">
        <v>1048</v>
      </c>
      <c r="E154" s="107">
        <v>682.04</v>
      </c>
      <c r="F154" s="107" t="str">
        <f>"24493985322168154066163"</f>
        <v>24493985322168154066163</v>
      </c>
    </row>
    <row r="155" spans="1:6">
      <c r="A155" s="90">
        <v>45880</v>
      </c>
      <c r="B155" s="90">
        <v>45881</v>
      </c>
      <c r="C155" t="s">
        <v>625</v>
      </c>
      <c r="D155" t="s">
        <v>858</v>
      </c>
      <c r="E155">
        <v>685.18</v>
      </c>
      <c r="F155" t="s">
        <v>975</v>
      </c>
    </row>
    <row r="156" spans="1:6">
      <c r="A156" s="108">
        <v>45905</v>
      </c>
      <c r="B156" s="108">
        <v>45908</v>
      </c>
      <c r="C156" s="107" t="s">
        <v>625</v>
      </c>
      <c r="D156" s="107" t="s">
        <v>858</v>
      </c>
      <c r="E156" s="107">
        <v>685.28</v>
      </c>
      <c r="F156" t="str">
        <f>"24036035248535712303628"</f>
        <v>24036035248535712303628</v>
      </c>
    </row>
    <row r="157" spans="1:6">
      <c r="A157" s="90">
        <v>45887</v>
      </c>
      <c r="B157" s="90">
        <v>45888</v>
      </c>
      <c r="C157" t="s">
        <v>625</v>
      </c>
      <c r="D157" t="s">
        <v>989</v>
      </c>
      <c r="E157">
        <v>685.32</v>
      </c>
      <c r="F157" t="s">
        <v>991</v>
      </c>
    </row>
    <row r="158" spans="1:6">
      <c r="A158" s="90">
        <v>45887</v>
      </c>
      <c r="B158" s="90">
        <v>45888</v>
      </c>
      <c r="C158" t="s">
        <v>625</v>
      </c>
      <c r="D158" t="s">
        <v>989</v>
      </c>
      <c r="E158">
        <v>685.32</v>
      </c>
      <c r="F158" t="s">
        <v>992</v>
      </c>
    </row>
    <row r="159" spans="1:6">
      <c r="A159" s="108">
        <v>45910</v>
      </c>
      <c r="B159" s="108">
        <v>45911</v>
      </c>
      <c r="C159" s="107" t="s">
        <v>625</v>
      </c>
      <c r="D159" s="107" t="s">
        <v>989</v>
      </c>
      <c r="E159" s="107">
        <v>685.63</v>
      </c>
      <c r="F159" t="str">
        <f>"24755425253272533531377"</f>
        <v>24755425253272533531377</v>
      </c>
    </row>
    <row r="160" spans="1:6">
      <c r="A160" s="108">
        <v>45911</v>
      </c>
      <c r="B160" s="108">
        <v>45912</v>
      </c>
      <c r="C160" s="107" t="s">
        <v>625</v>
      </c>
      <c r="D160" s="107" t="s">
        <v>989</v>
      </c>
      <c r="E160" s="107">
        <v>685.82</v>
      </c>
      <c r="F160" t="str">
        <f>"24755425254272548939663"</f>
        <v>24755425254272548939663</v>
      </c>
    </row>
    <row r="161" spans="1:6">
      <c r="A161" s="90">
        <v>45827</v>
      </c>
      <c r="B161" s="90">
        <v>45828</v>
      </c>
      <c r="C161" t="s">
        <v>625</v>
      </c>
      <c r="D161" t="s">
        <v>858</v>
      </c>
      <c r="E161">
        <v>686.1</v>
      </c>
      <c r="F161" t="s">
        <v>859</v>
      </c>
    </row>
    <row r="162" spans="1:6">
      <c r="A162" s="90">
        <v>45827</v>
      </c>
      <c r="B162" s="90">
        <v>45828</v>
      </c>
      <c r="C162" t="s">
        <v>625</v>
      </c>
      <c r="D162" t="s">
        <v>858</v>
      </c>
      <c r="E162">
        <v>686.1</v>
      </c>
      <c r="F162" t="s">
        <v>860</v>
      </c>
    </row>
    <row r="163" spans="1:6">
      <c r="A163" s="90">
        <v>45827</v>
      </c>
      <c r="B163" s="90">
        <v>45831</v>
      </c>
      <c r="C163" t="s">
        <v>625</v>
      </c>
      <c r="D163" t="s">
        <v>858</v>
      </c>
      <c r="E163">
        <v>686.1</v>
      </c>
      <c r="F163" t="s">
        <v>861</v>
      </c>
    </row>
    <row r="164" spans="1:6">
      <c r="A164" s="90">
        <v>45827</v>
      </c>
      <c r="B164" s="90">
        <v>45831</v>
      </c>
      <c r="C164" t="s">
        <v>625</v>
      </c>
      <c r="D164" t="s">
        <v>858</v>
      </c>
      <c r="E164">
        <v>686.1</v>
      </c>
      <c r="F164" t="s">
        <v>862</v>
      </c>
    </row>
    <row r="165" spans="1:6">
      <c r="A165" s="108">
        <v>45902</v>
      </c>
      <c r="B165" s="108">
        <v>45903</v>
      </c>
      <c r="C165" s="107" t="s">
        <v>625</v>
      </c>
      <c r="D165" s="107" t="s">
        <v>989</v>
      </c>
      <c r="E165" s="107">
        <v>686.84</v>
      </c>
      <c r="F165" t="str">
        <f>"24755425245262459527674"</f>
        <v>24755425245262459527674</v>
      </c>
    </row>
    <row r="166" spans="1:6">
      <c r="A166" s="108">
        <v>45909</v>
      </c>
      <c r="B166" s="108">
        <v>45910</v>
      </c>
      <c r="C166" s="107" t="s">
        <v>625</v>
      </c>
      <c r="D166" s="107" t="s">
        <v>989</v>
      </c>
      <c r="E166" s="107">
        <v>687.45</v>
      </c>
      <c r="F166" t="str">
        <f>"24755425252272523674048"</f>
        <v>24755425252272523674048</v>
      </c>
    </row>
    <row r="167" spans="1:6">
      <c r="A167" s="108">
        <v>45890</v>
      </c>
      <c r="B167" s="108">
        <v>45891</v>
      </c>
      <c r="C167" s="107" t="s">
        <v>625</v>
      </c>
      <c r="D167" s="107" t="s">
        <v>989</v>
      </c>
      <c r="E167" s="107">
        <v>689.19</v>
      </c>
      <c r="F167" t="str">
        <f>"24755425233272338983513"</f>
        <v>24755425233272338983513</v>
      </c>
    </row>
    <row r="168" spans="1:6">
      <c r="A168" s="90">
        <v>45821</v>
      </c>
      <c r="B168" s="90">
        <v>45824</v>
      </c>
      <c r="C168" t="s">
        <v>625</v>
      </c>
      <c r="D168" t="s">
        <v>853</v>
      </c>
      <c r="E168">
        <v>690</v>
      </c>
      <c r="F168" t="s">
        <v>854</v>
      </c>
    </row>
    <row r="169" spans="1:6">
      <c r="A169" s="90">
        <v>45832</v>
      </c>
      <c r="B169" s="90">
        <v>45833</v>
      </c>
      <c r="C169" t="s">
        <v>625</v>
      </c>
      <c r="D169" t="s">
        <v>853</v>
      </c>
      <c r="E169">
        <v>690</v>
      </c>
      <c r="F169" t="s">
        <v>873</v>
      </c>
    </row>
    <row r="170" spans="1:6">
      <c r="A170" s="108">
        <v>45897</v>
      </c>
      <c r="B170" s="108">
        <v>45898</v>
      </c>
      <c r="C170" s="107" t="s">
        <v>625</v>
      </c>
      <c r="D170" s="107" t="s">
        <v>989</v>
      </c>
      <c r="E170" s="107">
        <v>690.73</v>
      </c>
      <c r="F170" t="str">
        <f>"24755425240272407064147"</f>
        <v>24755425240272407064147</v>
      </c>
    </row>
    <row r="171" spans="1:6">
      <c r="A171" s="108">
        <v>45897</v>
      </c>
      <c r="B171" s="108">
        <v>45898</v>
      </c>
      <c r="C171" s="107" t="s">
        <v>625</v>
      </c>
      <c r="D171" s="107" t="s">
        <v>989</v>
      </c>
      <c r="E171" s="107">
        <v>690.73</v>
      </c>
      <c r="F171" t="str">
        <f>"24755425240272407064212"</f>
        <v>24755425240272407064212</v>
      </c>
    </row>
    <row r="172" spans="1:6">
      <c r="A172" s="108">
        <v>45905</v>
      </c>
      <c r="B172" s="108">
        <v>45908</v>
      </c>
      <c r="C172" s="107" t="s">
        <v>625</v>
      </c>
      <c r="D172" s="107" t="s">
        <v>989</v>
      </c>
      <c r="E172" s="107">
        <v>690.78</v>
      </c>
      <c r="F172" t="str">
        <f>"24755425248282482726660"</f>
        <v>24755425248282482726660</v>
      </c>
    </row>
    <row r="173" spans="1:6">
      <c r="A173" s="90">
        <v>45995</v>
      </c>
      <c r="B173" s="90">
        <v>45999</v>
      </c>
      <c r="C173" t="s">
        <v>625</v>
      </c>
      <c r="D173" t="s">
        <v>1077</v>
      </c>
      <c r="E173">
        <v>694.4</v>
      </c>
      <c r="F173" s="109" t="s">
        <v>1078</v>
      </c>
    </row>
    <row r="174" spans="1:6">
      <c r="A174" s="108">
        <v>45903</v>
      </c>
      <c r="B174" s="108">
        <v>45904</v>
      </c>
      <c r="C174" s="107" t="s">
        <v>625</v>
      </c>
      <c r="D174" s="107" t="s">
        <v>989</v>
      </c>
      <c r="E174" s="107">
        <v>694.72</v>
      </c>
      <c r="F174" t="str">
        <f>"24755425246272469555184"</f>
        <v>24755425246272469555184</v>
      </c>
    </row>
    <row r="175" spans="1:6">
      <c r="A175" s="90">
        <v>45831</v>
      </c>
      <c r="B175" s="90">
        <v>45832</v>
      </c>
      <c r="C175" t="s">
        <v>625</v>
      </c>
      <c r="D175" t="s">
        <v>869</v>
      </c>
      <c r="E175">
        <v>697.06</v>
      </c>
      <c r="F175" t="s">
        <v>870</v>
      </c>
    </row>
    <row r="176" spans="1:6">
      <c r="A176" s="90">
        <v>45778</v>
      </c>
      <c r="B176" s="90">
        <v>45779</v>
      </c>
      <c r="C176" t="s">
        <v>625</v>
      </c>
      <c r="D176" t="s">
        <v>760</v>
      </c>
      <c r="E176">
        <v>700</v>
      </c>
      <c r="F176" t="s">
        <v>761</v>
      </c>
    </row>
    <row r="177" spans="1:6">
      <c r="A177" s="90">
        <v>45919</v>
      </c>
      <c r="B177" s="90">
        <v>45922</v>
      </c>
      <c r="C177" t="s">
        <v>625</v>
      </c>
      <c r="D177" t="s">
        <v>989</v>
      </c>
      <c r="E177">
        <v>700.03</v>
      </c>
      <c r="F177" t="str">
        <f>"24755425262282620826969"</f>
        <v>24755425262282620826969</v>
      </c>
    </row>
    <row r="178" spans="1:6">
      <c r="A178" s="90">
        <v>45884</v>
      </c>
      <c r="B178" s="90">
        <v>45887</v>
      </c>
      <c r="C178" t="s">
        <v>625</v>
      </c>
      <c r="D178" t="s">
        <v>989</v>
      </c>
      <c r="E178">
        <v>700.7</v>
      </c>
      <c r="F178" t="s">
        <v>990</v>
      </c>
    </row>
    <row r="179" spans="1:6">
      <c r="A179" s="90">
        <v>46044</v>
      </c>
      <c r="B179" s="90">
        <v>46045</v>
      </c>
      <c r="C179" t="s">
        <v>625</v>
      </c>
      <c r="D179" t="s">
        <v>1128</v>
      </c>
      <c r="E179">
        <v>700.8</v>
      </c>
      <c r="F179" t="s">
        <v>1129</v>
      </c>
    </row>
    <row r="180" spans="1:6">
      <c r="A180" s="108">
        <v>45912</v>
      </c>
      <c r="B180" s="108">
        <v>45915</v>
      </c>
      <c r="C180" s="107" t="s">
        <v>625</v>
      </c>
      <c r="D180" s="107" t="s">
        <v>989</v>
      </c>
      <c r="E180" s="107">
        <v>702.06</v>
      </c>
      <c r="F180" t="str">
        <f>"24755425255282550840385"</f>
        <v>24755425255282550840385</v>
      </c>
    </row>
    <row r="181" spans="1:6">
      <c r="A181" s="108">
        <v>45908</v>
      </c>
      <c r="B181" s="108">
        <v>45909</v>
      </c>
      <c r="C181" s="107" t="s">
        <v>625</v>
      </c>
      <c r="D181" s="107" t="s">
        <v>989</v>
      </c>
      <c r="E181" s="107">
        <v>705.51</v>
      </c>
      <c r="F181" t="str">
        <f>"24755425251172515632890"</f>
        <v>24755425251172515632890</v>
      </c>
    </row>
    <row r="182" spans="1:6">
      <c r="A182" s="108">
        <v>45896</v>
      </c>
      <c r="B182" s="108">
        <v>45897</v>
      </c>
      <c r="C182" s="107" t="s">
        <v>625</v>
      </c>
      <c r="D182" s="107" t="s">
        <v>1008</v>
      </c>
      <c r="E182" s="107">
        <v>706.8</v>
      </c>
      <c r="F182" t="str">
        <f>"74208475239100028319028"</f>
        <v>74208475239100028319028</v>
      </c>
    </row>
    <row r="183" spans="1:6">
      <c r="A183" s="90">
        <v>46064</v>
      </c>
      <c r="B183" s="90">
        <v>46066</v>
      </c>
      <c r="C183" t="s">
        <v>625</v>
      </c>
      <c r="D183" t="s">
        <v>1030</v>
      </c>
      <c r="E183">
        <v>709.74</v>
      </c>
      <c r="F183" t="s">
        <v>1130</v>
      </c>
    </row>
    <row r="184" spans="1:6">
      <c r="A184" s="108">
        <v>46028</v>
      </c>
      <c r="B184" s="108">
        <v>46030</v>
      </c>
      <c r="C184" s="107" t="s">
        <v>625</v>
      </c>
      <c r="D184" s="107" t="s">
        <v>1046</v>
      </c>
      <c r="E184" s="107">
        <v>710.08</v>
      </c>
      <c r="F184" t="s">
        <v>1106</v>
      </c>
    </row>
    <row r="185" spans="1:6">
      <c r="A185" s="90">
        <v>46070</v>
      </c>
      <c r="B185" s="90">
        <v>46072</v>
      </c>
      <c r="C185" t="s">
        <v>625</v>
      </c>
      <c r="D185" t="s">
        <v>1030</v>
      </c>
      <c r="E185">
        <v>710.47</v>
      </c>
      <c r="F185" t="s">
        <v>1131</v>
      </c>
    </row>
    <row r="186" spans="1:6">
      <c r="A186" s="90">
        <v>45756</v>
      </c>
      <c r="B186" s="90">
        <v>45757</v>
      </c>
      <c r="C186" t="s">
        <v>625</v>
      </c>
      <c r="D186" t="s">
        <v>699</v>
      </c>
      <c r="E186">
        <v>711.11</v>
      </c>
      <c r="F186" t="s">
        <v>700</v>
      </c>
    </row>
    <row r="187" spans="1:6">
      <c r="A187" s="90">
        <v>46065</v>
      </c>
      <c r="B187" s="90">
        <v>46069</v>
      </c>
      <c r="C187" t="s">
        <v>625</v>
      </c>
      <c r="D187" t="s">
        <v>1030</v>
      </c>
      <c r="E187">
        <v>711.25</v>
      </c>
      <c r="F187" t="s">
        <v>1132</v>
      </c>
    </row>
    <row r="188" spans="1:6">
      <c r="A188" s="90">
        <v>45880</v>
      </c>
      <c r="B188" s="90">
        <v>45883</v>
      </c>
      <c r="C188" t="s">
        <v>625</v>
      </c>
      <c r="D188" t="s">
        <v>942</v>
      </c>
      <c r="E188">
        <v>711.53</v>
      </c>
      <c r="F188" t="s">
        <v>974</v>
      </c>
    </row>
    <row r="189" spans="1:6">
      <c r="A189" s="108">
        <v>45901</v>
      </c>
      <c r="B189" s="108">
        <v>45902</v>
      </c>
      <c r="C189" s="107" t="s">
        <v>625</v>
      </c>
      <c r="D189" s="107" t="s">
        <v>1007</v>
      </c>
      <c r="E189" s="107">
        <v>715.2</v>
      </c>
      <c r="F189" t="str">
        <f>"74208475244100102582395"</f>
        <v>74208475244100102582395</v>
      </c>
    </row>
    <row r="190" spans="1:6">
      <c r="A190" s="90">
        <v>45738</v>
      </c>
      <c r="B190" s="90">
        <v>45740</v>
      </c>
      <c r="C190" t="s">
        <v>625</v>
      </c>
      <c r="D190" t="s">
        <v>633</v>
      </c>
      <c r="E190">
        <v>716.42</v>
      </c>
      <c r="F190" t="s">
        <v>634</v>
      </c>
    </row>
    <row r="191" spans="1:6">
      <c r="A191" s="90">
        <v>45740</v>
      </c>
      <c r="B191" s="90">
        <v>45741</v>
      </c>
      <c r="C191" t="s">
        <v>625</v>
      </c>
      <c r="D191" t="s">
        <v>641</v>
      </c>
      <c r="E191">
        <v>719</v>
      </c>
      <c r="F191" t="s">
        <v>642</v>
      </c>
    </row>
    <row r="192" spans="1:6">
      <c r="A192" s="90">
        <v>45839</v>
      </c>
      <c r="B192" s="90">
        <v>45840</v>
      </c>
      <c r="C192" t="s">
        <v>625</v>
      </c>
      <c r="D192" t="s">
        <v>890</v>
      </c>
      <c r="E192">
        <v>720</v>
      </c>
      <c r="F192" t="s">
        <v>891</v>
      </c>
    </row>
    <row r="193" spans="1:6">
      <c r="A193" s="90">
        <v>45769</v>
      </c>
      <c r="B193" s="90">
        <v>45770</v>
      </c>
      <c r="C193" t="s">
        <v>625</v>
      </c>
      <c r="D193" t="s">
        <v>730</v>
      </c>
      <c r="E193">
        <v>721.93</v>
      </c>
      <c r="F193" t="s">
        <v>731</v>
      </c>
    </row>
    <row r="194" spans="1:6">
      <c r="A194" s="90">
        <v>45807</v>
      </c>
      <c r="B194" s="90">
        <v>45810</v>
      </c>
      <c r="C194" t="s">
        <v>625</v>
      </c>
      <c r="D194" t="s">
        <v>825</v>
      </c>
      <c r="E194">
        <v>723.95</v>
      </c>
      <c r="F194" t="s">
        <v>826</v>
      </c>
    </row>
    <row r="195" spans="1:6">
      <c r="A195" s="90">
        <v>46007</v>
      </c>
      <c r="B195" s="90">
        <v>46008</v>
      </c>
      <c r="C195" t="s">
        <v>625</v>
      </c>
      <c r="D195" t="s">
        <v>1075</v>
      </c>
      <c r="E195">
        <v>723.98</v>
      </c>
      <c r="F195" s="109" t="s">
        <v>1076</v>
      </c>
    </row>
    <row r="196" spans="1:6">
      <c r="A196" s="108">
        <v>45971</v>
      </c>
      <c r="B196" s="108">
        <v>45973</v>
      </c>
      <c r="C196" s="107" t="s">
        <v>625</v>
      </c>
      <c r="D196" s="107" t="s">
        <v>1046</v>
      </c>
      <c r="E196" s="107">
        <v>727.38</v>
      </c>
      <c r="F196" s="107" t="str">
        <f>"24323035315234123042427"</f>
        <v>24323035315234123042427</v>
      </c>
    </row>
    <row r="197" spans="1:6">
      <c r="A197" s="90">
        <v>46000</v>
      </c>
      <c r="B197" s="90">
        <v>46002</v>
      </c>
      <c r="C197" t="s">
        <v>625</v>
      </c>
      <c r="D197" t="s">
        <v>1030</v>
      </c>
      <c r="E197">
        <v>727.51</v>
      </c>
      <c r="F197" s="109" t="s">
        <v>1074</v>
      </c>
    </row>
    <row r="198" spans="1:6">
      <c r="A198" s="90">
        <v>45868</v>
      </c>
      <c r="B198" s="90">
        <v>45873</v>
      </c>
      <c r="C198" t="s">
        <v>625</v>
      </c>
      <c r="D198" t="s">
        <v>942</v>
      </c>
      <c r="E198">
        <v>728.97</v>
      </c>
      <c r="F198" t="s">
        <v>960</v>
      </c>
    </row>
    <row r="199" spans="1:6">
      <c r="A199" s="108">
        <v>45911</v>
      </c>
      <c r="B199" s="108">
        <v>45912</v>
      </c>
      <c r="C199" s="107" t="s">
        <v>625</v>
      </c>
      <c r="D199" s="107" t="s">
        <v>1002</v>
      </c>
      <c r="E199" s="107">
        <v>738.94</v>
      </c>
      <c r="F199" t="str">
        <f>"24634225254017010770695"</f>
        <v>24634225254017010770695</v>
      </c>
    </row>
    <row r="200" spans="1:6">
      <c r="A200" s="90">
        <v>45758</v>
      </c>
      <c r="B200" s="90">
        <v>45761</v>
      </c>
      <c r="C200" t="s">
        <v>625</v>
      </c>
      <c r="D200" t="s">
        <v>710</v>
      </c>
      <c r="E200">
        <v>739.69</v>
      </c>
      <c r="F200" t="s">
        <v>711</v>
      </c>
    </row>
    <row r="201" spans="1:6">
      <c r="A201" s="90">
        <v>45854</v>
      </c>
      <c r="B201" s="90">
        <v>45855</v>
      </c>
      <c r="C201" t="s">
        <v>625</v>
      </c>
      <c r="D201" t="s">
        <v>728</v>
      </c>
      <c r="E201">
        <v>739.81</v>
      </c>
      <c r="F201" t="s">
        <v>921</v>
      </c>
    </row>
    <row r="202" spans="1:6">
      <c r="A202" s="90">
        <v>45856</v>
      </c>
      <c r="B202" s="90">
        <v>45859</v>
      </c>
      <c r="C202" t="s">
        <v>625</v>
      </c>
      <c r="D202" t="s">
        <v>728</v>
      </c>
      <c r="E202">
        <v>740.64</v>
      </c>
      <c r="F202" t="s">
        <v>926</v>
      </c>
    </row>
    <row r="203" spans="1:6">
      <c r="A203" s="90">
        <v>45941</v>
      </c>
      <c r="B203" s="90">
        <v>45943</v>
      </c>
      <c r="C203" t="s">
        <v>625</v>
      </c>
      <c r="D203" t="s">
        <v>1028</v>
      </c>
      <c r="E203">
        <v>744.44</v>
      </c>
      <c r="F203" t="str">
        <f>"24000775284100020627719"</f>
        <v>24000775284100020627719</v>
      </c>
    </row>
    <row r="204" spans="1:6">
      <c r="A204" s="108">
        <v>45906</v>
      </c>
      <c r="B204" s="108">
        <v>45908</v>
      </c>
      <c r="C204" s="107" t="s">
        <v>625</v>
      </c>
      <c r="D204" s="107" t="s">
        <v>1002</v>
      </c>
      <c r="E204" s="107">
        <v>744.51</v>
      </c>
      <c r="F204" t="str">
        <f>"24634225250017011576038"</f>
        <v>24634225250017011576038</v>
      </c>
    </row>
    <row r="205" spans="1:6">
      <c r="A205" s="90">
        <v>45769</v>
      </c>
      <c r="B205" s="90">
        <v>45770</v>
      </c>
      <c r="C205" t="s">
        <v>625</v>
      </c>
      <c r="D205" t="s">
        <v>728</v>
      </c>
      <c r="E205">
        <v>746.43</v>
      </c>
      <c r="F205" t="s">
        <v>729</v>
      </c>
    </row>
    <row r="206" spans="1:6">
      <c r="A206" s="90">
        <v>45775</v>
      </c>
      <c r="B206" s="90">
        <v>45776</v>
      </c>
      <c r="C206" t="s">
        <v>625</v>
      </c>
      <c r="D206" t="s">
        <v>657</v>
      </c>
      <c r="E206">
        <v>748.2</v>
      </c>
      <c r="F206" t="s">
        <v>747</v>
      </c>
    </row>
    <row r="207" spans="1:6">
      <c r="A207" s="90">
        <v>45845</v>
      </c>
      <c r="B207" s="90">
        <v>45846</v>
      </c>
      <c r="C207" t="s">
        <v>625</v>
      </c>
      <c r="D207" t="s">
        <v>899</v>
      </c>
      <c r="E207">
        <v>749.83</v>
      </c>
      <c r="F207" t="s">
        <v>900</v>
      </c>
    </row>
    <row r="208" spans="1:6">
      <c r="A208" s="90">
        <v>45789</v>
      </c>
      <c r="B208" s="90">
        <v>45790</v>
      </c>
      <c r="C208" t="s">
        <v>625</v>
      </c>
      <c r="D208" t="s">
        <v>720</v>
      </c>
      <c r="E208">
        <v>752.15</v>
      </c>
      <c r="F208" t="s">
        <v>781</v>
      </c>
    </row>
    <row r="209" spans="1:6">
      <c r="A209" s="90">
        <v>45779</v>
      </c>
      <c r="B209" s="90">
        <v>45782</v>
      </c>
      <c r="C209" t="s">
        <v>625</v>
      </c>
      <c r="D209" t="s">
        <v>762</v>
      </c>
      <c r="E209">
        <v>753.4</v>
      </c>
      <c r="F209" t="s">
        <v>763</v>
      </c>
    </row>
    <row r="210" spans="1:6">
      <c r="A210" s="90">
        <v>46050</v>
      </c>
      <c r="B210" s="90">
        <v>46051</v>
      </c>
      <c r="C210" t="s">
        <v>625</v>
      </c>
      <c r="D210" t="s">
        <v>1133</v>
      </c>
      <c r="E210">
        <v>753.66</v>
      </c>
      <c r="F210" t="s">
        <v>1134</v>
      </c>
    </row>
    <row r="211" spans="1:6">
      <c r="A211" s="90">
        <v>45849</v>
      </c>
      <c r="B211" s="90">
        <v>45852</v>
      </c>
      <c r="C211" t="s">
        <v>625</v>
      </c>
      <c r="D211" t="s">
        <v>914</v>
      </c>
      <c r="E211">
        <v>755.71</v>
      </c>
      <c r="F211" t="s">
        <v>915</v>
      </c>
    </row>
    <row r="212" spans="1:6">
      <c r="A212" s="90">
        <v>45798</v>
      </c>
      <c r="B212" s="90">
        <v>45799</v>
      </c>
      <c r="C212" t="s">
        <v>625</v>
      </c>
      <c r="D212" t="s">
        <v>816</v>
      </c>
      <c r="E212">
        <v>759.35</v>
      </c>
      <c r="F212" t="s">
        <v>817</v>
      </c>
    </row>
    <row r="213" spans="1:6">
      <c r="A213" s="90">
        <v>45854</v>
      </c>
      <c r="B213" s="90">
        <v>45855</v>
      </c>
      <c r="C213" t="s">
        <v>625</v>
      </c>
      <c r="D213" t="s">
        <v>914</v>
      </c>
      <c r="E213">
        <v>761.01</v>
      </c>
      <c r="F213" t="s">
        <v>920</v>
      </c>
    </row>
    <row r="214" spans="1:6">
      <c r="A214" s="90">
        <v>45931</v>
      </c>
      <c r="B214" s="90">
        <v>45932</v>
      </c>
      <c r="C214" t="s">
        <v>625</v>
      </c>
      <c r="D214" t="s">
        <v>989</v>
      </c>
      <c r="E214">
        <v>767.71</v>
      </c>
      <c r="F214" t="str">
        <f>"24755425274272747709269"</f>
        <v>24755425274272747709269</v>
      </c>
    </row>
    <row r="215" spans="1:6">
      <c r="A215" s="108">
        <v>45951</v>
      </c>
      <c r="B215" s="108">
        <v>45952</v>
      </c>
      <c r="C215" s="107" t="s">
        <v>625</v>
      </c>
      <c r="D215" s="107" t="s">
        <v>989</v>
      </c>
      <c r="E215" s="107">
        <v>768.46</v>
      </c>
      <c r="F215" s="107" t="str">
        <f>"24755425294272943638177"</f>
        <v>24755425294272943638177</v>
      </c>
    </row>
    <row r="216" spans="1:6">
      <c r="A216" s="90">
        <v>45950</v>
      </c>
      <c r="B216" s="90">
        <v>45951</v>
      </c>
      <c r="C216" t="s">
        <v>625</v>
      </c>
      <c r="D216" t="s">
        <v>989</v>
      </c>
      <c r="E216">
        <v>768.97</v>
      </c>
      <c r="F216" t="str">
        <f>"24755425293172936619526"</f>
        <v>24755425293172936619526</v>
      </c>
    </row>
    <row r="217" spans="1:6">
      <c r="A217" s="90">
        <v>45950</v>
      </c>
      <c r="B217" s="90">
        <v>45951</v>
      </c>
      <c r="C217" t="s">
        <v>625</v>
      </c>
      <c r="D217" t="s">
        <v>989</v>
      </c>
      <c r="E217">
        <v>768.97</v>
      </c>
      <c r="F217" t="str">
        <f>"24755425293172936619534"</f>
        <v>24755425293172936619534</v>
      </c>
    </row>
    <row r="218" spans="1:6">
      <c r="A218" s="108">
        <v>45954</v>
      </c>
      <c r="B218" s="108">
        <v>45957</v>
      </c>
      <c r="C218" s="107" t="s">
        <v>625</v>
      </c>
      <c r="D218" s="107" t="s">
        <v>989</v>
      </c>
      <c r="E218" s="107">
        <v>773.77</v>
      </c>
      <c r="F218" s="107" t="str">
        <f>"24755425297282970107118"</f>
        <v>24755425297282970107118</v>
      </c>
    </row>
    <row r="219" spans="1:6">
      <c r="A219" s="90">
        <v>45940</v>
      </c>
      <c r="B219" s="90">
        <v>45943</v>
      </c>
      <c r="C219" t="s">
        <v>625</v>
      </c>
      <c r="D219" t="s">
        <v>989</v>
      </c>
      <c r="E219">
        <v>775.4</v>
      </c>
      <c r="F219" t="str">
        <f>"24755425283282830256028"</f>
        <v>24755425283282830256028</v>
      </c>
    </row>
    <row r="220" spans="1:6">
      <c r="A220" s="90">
        <v>45926</v>
      </c>
      <c r="B220" s="90">
        <v>45929</v>
      </c>
      <c r="C220" t="s">
        <v>625</v>
      </c>
      <c r="D220" t="s">
        <v>1027</v>
      </c>
      <c r="E220">
        <v>776.71</v>
      </c>
      <c r="F220" t="str">
        <f>"74629215271800000531215"</f>
        <v>74629215271800000531215</v>
      </c>
    </row>
    <row r="221" spans="1:6">
      <c r="A221" s="90">
        <v>45946</v>
      </c>
      <c r="B221" s="90">
        <v>45947</v>
      </c>
      <c r="C221" t="s">
        <v>625</v>
      </c>
      <c r="D221" t="s">
        <v>989</v>
      </c>
      <c r="E221">
        <v>777.27</v>
      </c>
      <c r="F221" t="str">
        <f>"24755425289282891608186"</f>
        <v>24755425289282891608186</v>
      </c>
    </row>
    <row r="222" spans="1:6">
      <c r="A222" s="90">
        <v>45757</v>
      </c>
      <c r="B222" s="90">
        <v>45758</v>
      </c>
      <c r="C222" t="s">
        <v>625</v>
      </c>
      <c r="D222" t="s">
        <v>707</v>
      </c>
      <c r="E222">
        <v>777.29</v>
      </c>
      <c r="F222" t="s">
        <v>708</v>
      </c>
    </row>
    <row r="223" spans="1:6">
      <c r="A223" s="90">
        <v>45882</v>
      </c>
      <c r="B223" s="90">
        <v>45887</v>
      </c>
      <c r="C223" t="s">
        <v>625</v>
      </c>
      <c r="D223" t="s">
        <v>849</v>
      </c>
      <c r="E223">
        <v>777.34</v>
      </c>
      <c r="F223" t="s">
        <v>979</v>
      </c>
    </row>
    <row r="224" spans="1:6">
      <c r="A224" s="90">
        <v>45849</v>
      </c>
      <c r="B224" s="90">
        <v>45852</v>
      </c>
      <c r="C224" t="s">
        <v>625</v>
      </c>
      <c r="D224" t="s">
        <v>912</v>
      </c>
      <c r="E224">
        <v>777.6</v>
      </c>
      <c r="F224" t="s">
        <v>913</v>
      </c>
    </row>
    <row r="225" spans="1:6">
      <c r="A225" s="90">
        <v>45852</v>
      </c>
      <c r="B225" s="90">
        <v>45853</v>
      </c>
      <c r="C225" t="s">
        <v>625</v>
      </c>
      <c r="D225" t="s">
        <v>912</v>
      </c>
      <c r="E225">
        <v>777.6</v>
      </c>
      <c r="F225" t="s">
        <v>916</v>
      </c>
    </row>
    <row r="226" spans="1:6">
      <c r="A226" s="90">
        <v>45747</v>
      </c>
      <c r="B226" s="90">
        <v>45749</v>
      </c>
      <c r="C226" t="s">
        <v>625</v>
      </c>
      <c r="D226" t="s">
        <v>672</v>
      </c>
      <c r="E226">
        <v>778.24</v>
      </c>
      <c r="F226" t="s">
        <v>673</v>
      </c>
    </row>
    <row r="227" spans="1:6">
      <c r="A227" s="108">
        <v>45897</v>
      </c>
      <c r="B227" s="108">
        <v>45901</v>
      </c>
      <c r="C227" s="107" t="s">
        <v>625</v>
      </c>
      <c r="D227" s="107" t="s">
        <v>942</v>
      </c>
      <c r="E227" s="107">
        <v>779.12</v>
      </c>
      <c r="F227" t="str">
        <f>"74980005242254001470532"</f>
        <v>74980005242254001470532</v>
      </c>
    </row>
    <row r="228" spans="1:6">
      <c r="A228" s="90">
        <v>45845</v>
      </c>
      <c r="B228" s="90">
        <v>45846</v>
      </c>
      <c r="C228" t="s">
        <v>625</v>
      </c>
      <c r="D228" t="s">
        <v>897</v>
      </c>
      <c r="E228">
        <v>780</v>
      </c>
      <c r="F228" t="s">
        <v>898</v>
      </c>
    </row>
    <row r="229" spans="1:6">
      <c r="A229" s="90">
        <v>45950</v>
      </c>
      <c r="B229" s="90">
        <v>45951</v>
      </c>
      <c r="C229" t="s">
        <v>625</v>
      </c>
      <c r="D229" t="s">
        <v>989</v>
      </c>
      <c r="E229">
        <v>784.36</v>
      </c>
      <c r="F229" t="str">
        <f>"24755425293172936619518"</f>
        <v>24755425293172936619518</v>
      </c>
    </row>
    <row r="230" spans="1:6">
      <c r="A230" s="90">
        <v>45793</v>
      </c>
      <c r="B230" s="90">
        <v>45793</v>
      </c>
      <c r="C230" t="s">
        <v>625</v>
      </c>
      <c r="D230" t="s">
        <v>804</v>
      </c>
      <c r="E230">
        <v>786</v>
      </c>
      <c r="F230" t="s">
        <v>805</v>
      </c>
    </row>
    <row r="231" spans="1:6">
      <c r="A231" s="90">
        <v>46058</v>
      </c>
      <c r="B231" s="90">
        <v>46059</v>
      </c>
      <c r="C231" t="s">
        <v>625</v>
      </c>
      <c r="D231" t="s">
        <v>1135</v>
      </c>
      <c r="E231">
        <v>786.6</v>
      </c>
      <c r="F231" t="s">
        <v>1136</v>
      </c>
    </row>
    <row r="232" spans="1:6">
      <c r="A232" s="108">
        <v>45954</v>
      </c>
      <c r="B232" s="108">
        <v>45957</v>
      </c>
      <c r="C232" s="107" t="s">
        <v>625</v>
      </c>
      <c r="D232" s="107" t="s">
        <v>989</v>
      </c>
      <c r="E232" s="107">
        <v>789.25</v>
      </c>
      <c r="F232" s="107" t="str">
        <f>"24755425297282970107134"</f>
        <v>24755425297282970107134</v>
      </c>
    </row>
    <row r="233" spans="1:6">
      <c r="A233" s="108">
        <v>45958</v>
      </c>
      <c r="B233" s="108">
        <v>45959</v>
      </c>
      <c r="C233" s="107" t="s">
        <v>625</v>
      </c>
      <c r="D233" s="107" t="s">
        <v>989</v>
      </c>
      <c r="E233" s="107">
        <v>790.49</v>
      </c>
      <c r="F233" s="107" t="str">
        <f>"24755425301273010913320"</f>
        <v>24755425301273010913320</v>
      </c>
    </row>
    <row r="234" spans="1:6">
      <c r="A234" s="90">
        <v>45862</v>
      </c>
      <c r="B234" s="90">
        <v>45863</v>
      </c>
      <c r="C234" t="s">
        <v>625</v>
      </c>
      <c r="D234" t="s">
        <v>940</v>
      </c>
      <c r="E234">
        <v>793.1</v>
      </c>
      <c r="F234" t="s">
        <v>941</v>
      </c>
    </row>
    <row r="235" spans="1:6">
      <c r="A235" s="90">
        <v>45993</v>
      </c>
      <c r="B235" s="90">
        <v>45994</v>
      </c>
      <c r="C235" t="s">
        <v>625</v>
      </c>
      <c r="D235" t="s">
        <v>1072</v>
      </c>
      <c r="E235">
        <v>794.88</v>
      </c>
      <c r="F235" s="109" t="s">
        <v>1073</v>
      </c>
    </row>
    <row r="236" spans="1:6">
      <c r="A236" s="90">
        <v>45791</v>
      </c>
      <c r="B236" s="90">
        <v>45792</v>
      </c>
      <c r="C236" t="s">
        <v>625</v>
      </c>
      <c r="D236" t="s">
        <v>793</v>
      </c>
      <c r="E236">
        <v>798.71</v>
      </c>
      <c r="F236" t="s">
        <v>794</v>
      </c>
    </row>
    <row r="237" spans="1:6">
      <c r="A237" s="90">
        <v>45796</v>
      </c>
      <c r="B237" s="90">
        <v>45797</v>
      </c>
      <c r="C237" t="s">
        <v>625</v>
      </c>
      <c r="D237" t="s">
        <v>730</v>
      </c>
      <c r="E237">
        <v>799.81</v>
      </c>
      <c r="F237" t="s">
        <v>807</v>
      </c>
    </row>
    <row r="238" spans="1:6">
      <c r="A238" s="90">
        <v>45797</v>
      </c>
      <c r="B238" s="90">
        <v>45798</v>
      </c>
      <c r="C238" t="s">
        <v>625</v>
      </c>
      <c r="D238" t="s">
        <v>730</v>
      </c>
      <c r="E238">
        <v>799.81</v>
      </c>
      <c r="F238" t="s">
        <v>811</v>
      </c>
    </row>
    <row r="239" spans="1:6">
      <c r="A239" s="108">
        <v>45965</v>
      </c>
      <c r="B239" s="108">
        <v>45966</v>
      </c>
      <c r="C239" s="107" t="s">
        <v>625</v>
      </c>
      <c r="D239" s="107" t="s">
        <v>989</v>
      </c>
      <c r="E239" s="107">
        <v>801.23</v>
      </c>
      <c r="F239" s="107" t="str">
        <f>"24755425308273088466410"</f>
        <v>24755425308273088466410</v>
      </c>
    </row>
    <row r="240" spans="1:6">
      <c r="A240" s="90">
        <v>45792</v>
      </c>
      <c r="B240" s="90">
        <v>45793</v>
      </c>
      <c r="C240" t="s">
        <v>625</v>
      </c>
      <c r="D240" t="s">
        <v>730</v>
      </c>
      <c r="E240">
        <v>802.94</v>
      </c>
      <c r="F240" t="s">
        <v>801</v>
      </c>
    </row>
    <row r="241" spans="1:6">
      <c r="A241" s="108">
        <v>45952</v>
      </c>
      <c r="B241" s="108">
        <v>45953</v>
      </c>
      <c r="C241" s="107" t="s">
        <v>625</v>
      </c>
      <c r="D241" s="107" t="s">
        <v>1025</v>
      </c>
      <c r="E241" s="107">
        <v>805.38</v>
      </c>
      <c r="F241" s="107" t="str">
        <f>"24431065296312552594313"</f>
        <v>24431065296312552594313</v>
      </c>
    </row>
    <row r="242" spans="1:6">
      <c r="A242" s="90">
        <v>45919</v>
      </c>
      <c r="B242" s="90">
        <v>45922</v>
      </c>
      <c r="C242" t="s">
        <v>625</v>
      </c>
      <c r="D242" t="s">
        <v>1026</v>
      </c>
      <c r="E242">
        <v>806.89</v>
      </c>
      <c r="F242" t="str">
        <f>"74163615262767744892704"</f>
        <v>74163615262767744892704</v>
      </c>
    </row>
    <row r="243" spans="1:6">
      <c r="A243" s="90">
        <v>45946</v>
      </c>
      <c r="B243" s="90">
        <v>45947</v>
      </c>
      <c r="C243" t="s">
        <v>625</v>
      </c>
      <c r="D243" t="s">
        <v>1025</v>
      </c>
      <c r="E243">
        <v>808.11</v>
      </c>
      <c r="F243" t="str">
        <f>"24431065290308990548073"</f>
        <v>24431065290308990548073</v>
      </c>
    </row>
    <row r="244" spans="1:6">
      <c r="A244" s="90">
        <v>45783</v>
      </c>
      <c r="B244" s="90">
        <v>45784</v>
      </c>
      <c r="C244" t="s">
        <v>625</v>
      </c>
      <c r="D244" t="s">
        <v>730</v>
      </c>
      <c r="E244">
        <v>810.5</v>
      </c>
      <c r="F244" t="s">
        <v>768</v>
      </c>
    </row>
    <row r="245" spans="1:6">
      <c r="A245" s="108">
        <v>46030</v>
      </c>
      <c r="B245" s="108">
        <v>46031</v>
      </c>
      <c r="C245" s="107" t="s">
        <v>625</v>
      </c>
      <c r="D245" s="107" t="s">
        <v>1091</v>
      </c>
      <c r="E245" s="107">
        <v>811.8</v>
      </c>
      <c r="F245" t="s">
        <v>1105</v>
      </c>
    </row>
    <row r="246" spans="1:6">
      <c r="A246" s="90">
        <v>45776</v>
      </c>
      <c r="B246" s="90">
        <v>45776</v>
      </c>
      <c r="C246" t="s">
        <v>625</v>
      </c>
      <c r="D246" t="s">
        <v>741</v>
      </c>
      <c r="E246">
        <v>814.54</v>
      </c>
      <c r="F246" t="s">
        <v>750</v>
      </c>
    </row>
    <row r="247" spans="1:6">
      <c r="A247" s="90">
        <v>46048</v>
      </c>
      <c r="B247" s="90">
        <v>46049</v>
      </c>
      <c r="C247" t="s">
        <v>625</v>
      </c>
      <c r="D247" t="s">
        <v>1137</v>
      </c>
      <c r="E247">
        <v>816</v>
      </c>
      <c r="F247" t="s">
        <v>1138</v>
      </c>
    </row>
    <row r="248" spans="1:6">
      <c r="A248" s="90">
        <v>45772</v>
      </c>
      <c r="B248" s="90">
        <v>45772</v>
      </c>
      <c r="C248" t="s">
        <v>625</v>
      </c>
      <c r="D248" t="s">
        <v>741</v>
      </c>
      <c r="E248">
        <v>817.06</v>
      </c>
      <c r="F248" t="s">
        <v>742</v>
      </c>
    </row>
    <row r="249" spans="1:6">
      <c r="A249" s="90">
        <v>46043</v>
      </c>
      <c r="B249" s="90">
        <v>46044</v>
      </c>
      <c r="C249" t="s">
        <v>625</v>
      </c>
      <c r="D249" t="s">
        <v>1139</v>
      </c>
      <c r="E249">
        <v>820.29</v>
      </c>
      <c r="F249" t="s">
        <v>1140</v>
      </c>
    </row>
    <row r="250" spans="1:6">
      <c r="A250" s="108">
        <v>45919</v>
      </c>
      <c r="B250" s="108">
        <v>45919</v>
      </c>
      <c r="C250" s="107" t="s">
        <v>625</v>
      </c>
      <c r="D250" s="107" t="s">
        <v>1006</v>
      </c>
      <c r="E250" s="107">
        <v>824.21</v>
      </c>
      <c r="F250" t="str">
        <f>"24011345262100068182895"</f>
        <v>24011345262100068182895</v>
      </c>
    </row>
    <row r="251" spans="1:6">
      <c r="A251" s="90">
        <v>45919</v>
      </c>
      <c r="B251" s="90">
        <v>45922</v>
      </c>
      <c r="C251" t="s">
        <v>625</v>
      </c>
      <c r="D251" t="s">
        <v>1006</v>
      </c>
      <c r="E251">
        <v>824.21</v>
      </c>
      <c r="F251" t="str">
        <f>"24011345262100126025086"</f>
        <v>24011345262100126025086</v>
      </c>
    </row>
    <row r="252" spans="1:6">
      <c r="A252" s="90">
        <v>46050</v>
      </c>
      <c r="B252" s="90">
        <v>46051</v>
      </c>
      <c r="C252" t="s">
        <v>625</v>
      </c>
      <c r="D252" t="s">
        <v>1141</v>
      </c>
      <c r="E252">
        <v>825.26</v>
      </c>
      <c r="F252" t="s">
        <v>1142</v>
      </c>
    </row>
    <row r="253" spans="1:6">
      <c r="A253" s="90">
        <v>45866</v>
      </c>
      <c r="B253" s="90">
        <v>45867</v>
      </c>
      <c r="C253" t="s">
        <v>625</v>
      </c>
      <c r="D253" t="s">
        <v>946</v>
      </c>
      <c r="E253">
        <v>828</v>
      </c>
      <c r="F253" t="s">
        <v>947</v>
      </c>
    </row>
    <row r="254" spans="1:6">
      <c r="A254" s="90">
        <v>45751</v>
      </c>
      <c r="B254" s="90">
        <v>45754</v>
      </c>
      <c r="C254" t="s">
        <v>625</v>
      </c>
      <c r="D254" t="s">
        <v>689</v>
      </c>
      <c r="E254">
        <v>834</v>
      </c>
      <c r="F254" t="s">
        <v>690</v>
      </c>
    </row>
    <row r="255" spans="1:6">
      <c r="A255" s="108">
        <v>46010</v>
      </c>
      <c r="B255" s="108">
        <v>46013</v>
      </c>
      <c r="C255" s="107" t="s">
        <v>625</v>
      </c>
      <c r="D255" s="107" t="s">
        <v>1046</v>
      </c>
      <c r="E255" s="107">
        <v>868.33</v>
      </c>
      <c r="F255" t="s">
        <v>1104</v>
      </c>
    </row>
    <row r="256" spans="1:6">
      <c r="A256" s="108">
        <v>46036</v>
      </c>
      <c r="B256" s="108">
        <v>46037</v>
      </c>
      <c r="C256" s="107" t="s">
        <v>625</v>
      </c>
      <c r="D256" s="107" t="s">
        <v>1090</v>
      </c>
      <c r="E256" s="107">
        <v>870</v>
      </c>
      <c r="F256" t="s">
        <v>1102</v>
      </c>
    </row>
    <row r="257" spans="1:6">
      <c r="A257" s="108">
        <v>46036</v>
      </c>
      <c r="B257" s="108">
        <v>46037</v>
      </c>
      <c r="C257" s="107" t="s">
        <v>625</v>
      </c>
      <c r="D257" s="107" t="s">
        <v>1090</v>
      </c>
      <c r="E257" s="107">
        <v>870</v>
      </c>
      <c r="F257" t="s">
        <v>1103</v>
      </c>
    </row>
    <row r="258" spans="1:6">
      <c r="A258" s="90">
        <v>45797</v>
      </c>
      <c r="B258" s="90">
        <v>45798</v>
      </c>
      <c r="C258" t="s">
        <v>625</v>
      </c>
      <c r="D258" t="s">
        <v>730</v>
      </c>
      <c r="E258">
        <v>871.31</v>
      </c>
      <c r="F258" t="s">
        <v>810</v>
      </c>
    </row>
    <row r="259" spans="1:6">
      <c r="A259" s="108">
        <v>45915</v>
      </c>
      <c r="B259" s="108">
        <v>45917</v>
      </c>
      <c r="C259" s="107" t="s">
        <v>625</v>
      </c>
      <c r="D259" s="107" t="s">
        <v>1005</v>
      </c>
      <c r="E259" s="107">
        <v>871.81</v>
      </c>
      <c r="F259" t="str">
        <f>"24071055259939194441296"</f>
        <v>24071055259939194441296</v>
      </c>
    </row>
    <row r="260" spans="1:6">
      <c r="A260" s="90">
        <v>46056</v>
      </c>
      <c r="B260" s="90">
        <v>46057</v>
      </c>
      <c r="C260" t="s">
        <v>625</v>
      </c>
      <c r="D260" t="s">
        <v>1143</v>
      </c>
      <c r="E260">
        <v>876</v>
      </c>
      <c r="F260" t="s">
        <v>1144</v>
      </c>
    </row>
    <row r="261" spans="1:6">
      <c r="A261" s="108">
        <v>45916</v>
      </c>
      <c r="B261" s="108">
        <v>45917</v>
      </c>
      <c r="C261" s="107" t="s">
        <v>625</v>
      </c>
      <c r="D261" s="107" t="s">
        <v>1004</v>
      </c>
      <c r="E261" s="107">
        <v>876.89</v>
      </c>
      <c r="F261" t="str">
        <f>"74007055260910016348838"</f>
        <v>74007055260910016348838</v>
      </c>
    </row>
    <row r="262" spans="1:6">
      <c r="A262" s="90">
        <v>45925</v>
      </c>
      <c r="B262" s="90">
        <v>45926</v>
      </c>
      <c r="C262" t="s">
        <v>625</v>
      </c>
      <c r="D262" t="s">
        <v>1022</v>
      </c>
      <c r="E262">
        <v>885.66</v>
      </c>
      <c r="F262" t="str">
        <f>"24634225268017010543740"</f>
        <v>24634225268017010543740</v>
      </c>
    </row>
    <row r="263" spans="1:6">
      <c r="A263" s="90">
        <v>45938</v>
      </c>
      <c r="B263" s="90">
        <v>45939</v>
      </c>
      <c r="C263" t="s">
        <v>625</v>
      </c>
      <c r="D263" t="s">
        <v>1024</v>
      </c>
      <c r="E263">
        <v>886.56</v>
      </c>
      <c r="F263" t="str">
        <f>"74163615281773407548606"</f>
        <v>74163615281773407548606</v>
      </c>
    </row>
    <row r="264" spans="1:6">
      <c r="A264" s="90">
        <v>45988</v>
      </c>
      <c r="B264" s="90">
        <v>45989</v>
      </c>
      <c r="C264" t="s">
        <v>625</v>
      </c>
      <c r="D264" t="s">
        <v>1070</v>
      </c>
      <c r="E264">
        <v>886.92</v>
      </c>
      <c r="F264" s="109" t="s">
        <v>1071</v>
      </c>
    </row>
    <row r="265" spans="1:6">
      <c r="A265" s="90">
        <v>45737</v>
      </c>
      <c r="B265" s="90">
        <v>45740</v>
      </c>
      <c r="C265" t="s">
        <v>625</v>
      </c>
      <c r="D265" t="s">
        <v>628</v>
      </c>
      <c r="E265">
        <v>889.49</v>
      </c>
      <c r="F265" t="s">
        <v>629</v>
      </c>
    </row>
    <row r="266" spans="1:6">
      <c r="A266" s="90">
        <v>45737</v>
      </c>
      <c r="B266" s="90">
        <v>45740</v>
      </c>
      <c r="C266" t="s">
        <v>625</v>
      </c>
      <c r="D266" t="s">
        <v>628</v>
      </c>
      <c r="E266">
        <v>889.49</v>
      </c>
      <c r="F266" t="s">
        <v>630</v>
      </c>
    </row>
    <row r="267" spans="1:6">
      <c r="A267" s="90">
        <v>45929</v>
      </c>
      <c r="B267" s="90">
        <v>45930</v>
      </c>
      <c r="C267" t="s">
        <v>625</v>
      </c>
      <c r="D267" t="s">
        <v>1023</v>
      </c>
      <c r="E267">
        <v>891.6</v>
      </c>
      <c r="F267" t="str">
        <f>"74163615273770793395261"</f>
        <v>74163615273770793395261</v>
      </c>
    </row>
    <row r="268" spans="1:6">
      <c r="A268" s="90">
        <v>45777</v>
      </c>
      <c r="B268" s="90">
        <v>45777</v>
      </c>
      <c r="C268" t="s">
        <v>625</v>
      </c>
      <c r="D268" t="s">
        <v>755</v>
      </c>
      <c r="E268">
        <v>892.23</v>
      </c>
      <c r="F268" t="s">
        <v>756</v>
      </c>
    </row>
    <row r="269" spans="1:6">
      <c r="A269" s="90">
        <v>45940</v>
      </c>
      <c r="B269" s="90">
        <v>45943</v>
      </c>
      <c r="C269" t="s">
        <v>625</v>
      </c>
      <c r="D269" t="s">
        <v>1002</v>
      </c>
      <c r="E269">
        <v>893.34</v>
      </c>
      <c r="F269" t="str">
        <f>"24634225283017010793411"</f>
        <v>24634225283017010793411</v>
      </c>
    </row>
    <row r="270" spans="1:6">
      <c r="A270" s="108">
        <v>45910</v>
      </c>
      <c r="B270" s="108">
        <v>45911</v>
      </c>
      <c r="C270" s="107" t="s">
        <v>625</v>
      </c>
      <c r="D270" s="107" t="s">
        <v>1003</v>
      </c>
      <c r="E270" s="107">
        <v>896.07</v>
      </c>
      <c r="F270" t="str">
        <f>"74260785253140264814215"</f>
        <v>74260785253140264814215</v>
      </c>
    </row>
    <row r="271" spans="1:6">
      <c r="A271" s="108">
        <v>45958</v>
      </c>
      <c r="B271" s="108">
        <v>45959</v>
      </c>
      <c r="C271" s="107" t="s">
        <v>625</v>
      </c>
      <c r="D271" s="107" t="s">
        <v>1022</v>
      </c>
      <c r="E271" s="107">
        <v>898.99</v>
      </c>
      <c r="F271" s="107" t="str">
        <f>"24634225301017010561832"</f>
        <v>24634225301017010561832</v>
      </c>
    </row>
    <row r="272" spans="1:6">
      <c r="A272" s="90">
        <v>45883</v>
      </c>
      <c r="B272" s="90">
        <v>45884</v>
      </c>
      <c r="C272" t="s">
        <v>625</v>
      </c>
      <c r="D272" t="s">
        <v>983</v>
      </c>
      <c r="E272">
        <v>899.85</v>
      </c>
      <c r="F272" t="s">
        <v>984</v>
      </c>
    </row>
    <row r="273" spans="1:6">
      <c r="A273" s="108">
        <v>45978</v>
      </c>
      <c r="B273" s="108">
        <v>45979</v>
      </c>
      <c r="C273" s="107" t="s">
        <v>625</v>
      </c>
      <c r="D273" s="107" t="s">
        <v>1047</v>
      </c>
      <c r="E273" s="107">
        <v>900</v>
      </c>
      <c r="F273" s="107" t="str">
        <f>"74208475321100045097028"</f>
        <v>74208475321100045097028</v>
      </c>
    </row>
    <row r="274" spans="1:6">
      <c r="A274" s="90">
        <v>45875</v>
      </c>
      <c r="B274" s="90">
        <v>45876</v>
      </c>
      <c r="C274" t="s">
        <v>625</v>
      </c>
      <c r="D274" t="s">
        <v>967</v>
      </c>
      <c r="E274">
        <v>904.06</v>
      </c>
      <c r="F274" t="s">
        <v>968</v>
      </c>
    </row>
    <row r="275" spans="1:6">
      <c r="A275" s="90">
        <v>45811</v>
      </c>
      <c r="B275" s="90">
        <v>45812</v>
      </c>
      <c r="C275" t="s">
        <v>625</v>
      </c>
      <c r="D275" t="s">
        <v>647</v>
      </c>
      <c r="E275">
        <v>906</v>
      </c>
      <c r="F275" t="s">
        <v>829</v>
      </c>
    </row>
    <row r="276" spans="1:6">
      <c r="A276" s="90">
        <v>45812</v>
      </c>
      <c r="B276" s="90">
        <v>45813</v>
      </c>
      <c r="C276" t="s">
        <v>625</v>
      </c>
      <c r="D276" t="s">
        <v>647</v>
      </c>
      <c r="E276">
        <v>906</v>
      </c>
      <c r="F276" t="s">
        <v>832</v>
      </c>
    </row>
    <row r="277" spans="1:6">
      <c r="A277" s="90">
        <v>45832</v>
      </c>
      <c r="B277" s="90">
        <v>45833</v>
      </c>
      <c r="C277" t="s">
        <v>625</v>
      </c>
      <c r="D277" t="s">
        <v>871</v>
      </c>
      <c r="E277">
        <v>909.2</v>
      </c>
      <c r="F277" t="s">
        <v>872</v>
      </c>
    </row>
    <row r="278" spans="1:6">
      <c r="A278" s="108">
        <v>45898</v>
      </c>
      <c r="B278" s="108">
        <v>45901</v>
      </c>
      <c r="C278" s="107" t="s">
        <v>625</v>
      </c>
      <c r="D278" s="107" t="s">
        <v>1002</v>
      </c>
      <c r="E278" s="107">
        <v>920.98</v>
      </c>
      <c r="F278" t="str">
        <f>"24634225241017010832020"</f>
        <v>24634225241017010832020</v>
      </c>
    </row>
    <row r="279" spans="1:6">
      <c r="A279" s="108">
        <v>45972</v>
      </c>
      <c r="B279" s="108">
        <v>45974</v>
      </c>
      <c r="C279" s="107" t="s">
        <v>625</v>
      </c>
      <c r="D279" s="107" t="s">
        <v>1046</v>
      </c>
      <c r="E279" s="107">
        <v>921.65</v>
      </c>
      <c r="F279" s="107" t="str">
        <f>"24323035316234548046697"</f>
        <v>24323035316234548046697</v>
      </c>
    </row>
    <row r="280" spans="1:6">
      <c r="A280" s="108">
        <v>45971</v>
      </c>
      <c r="B280" s="108">
        <v>45973</v>
      </c>
      <c r="C280" s="107" t="s">
        <v>625</v>
      </c>
      <c r="D280" s="107" t="s">
        <v>1046</v>
      </c>
      <c r="E280" s="107">
        <v>923.97</v>
      </c>
      <c r="F280" s="107" t="str">
        <f>"24323035315234123042401"</f>
        <v>24323035315234123042401</v>
      </c>
    </row>
    <row r="281" spans="1:6">
      <c r="A281" s="90">
        <v>45860</v>
      </c>
      <c r="B281" s="90">
        <v>45861</v>
      </c>
      <c r="C281" t="s">
        <v>625</v>
      </c>
      <c r="D281" t="s">
        <v>933</v>
      </c>
      <c r="E281">
        <v>926.46</v>
      </c>
      <c r="F281" t="s">
        <v>934</v>
      </c>
    </row>
    <row r="282" spans="1:6">
      <c r="A282" s="90">
        <v>45930</v>
      </c>
      <c r="B282" s="90">
        <v>45931</v>
      </c>
      <c r="C282" t="s">
        <v>625</v>
      </c>
      <c r="D282" t="s">
        <v>1022</v>
      </c>
      <c r="E282">
        <v>927.68</v>
      </c>
      <c r="F282" t="str">
        <f>"24634225273017010626324"</f>
        <v>24634225273017010626324</v>
      </c>
    </row>
    <row r="283" spans="1:6">
      <c r="A283" s="90">
        <v>45867</v>
      </c>
      <c r="B283" s="90">
        <v>45868</v>
      </c>
      <c r="C283" t="s">
        <v>625</v>
      </c>
      <c r="D283" t="s">
        <v>952</v>
      </c>
      <c r="E283">
        <v>931</v>
      </c>
      <c r="F283" t="s">
        <v>953</v>
      </c>
    </row>
    <row r="284" spans="1:6">
      <c r="A284" s="90">
        <v>45757</v>
      </c>
      <c r="B284" s="90">
        <v>45758</v>
      </c>
      <c r="C284" t="s">
        <v>625</v>
      </c>
      <c r="D284" t="s">
        <v>705</v>
      </c>
      <c r="E284">
        <v>936.43</v>
      </c>
      <c r="F284" t="s">
        <v>706</v>
      </c>
    </row>
    <row r="285" spans="1:6">
      <c r="A285" s="90">
        <v>46049</v>
      </c>
      <c r="B285" s="90">
        <v>46051</v>
      </c>
      <c r="C285" t="s">
        <v>625</v>
      </c>
      <c r="D285" t="s">
        <v>1046</v>
      </c>
      <c r="E285">
        <v>943.25</v>
      </c>
      <c r="F285" t="s">
        <v>1145</v>
      </c>
    </row>
    <row r="286" spans="1:6">
      <c r="A286" s="90">
        <v>45810</v>
      </c>
      <c r="B286" s="90">
        <v>45811</v>
      </c>
      <c r="C286" t="s">
        <v>625</v>
      </c>
      <c r="D286" t="s">
        <v>745</v>
      </c>
      <c r="E286">
        <v>945.11</v>
      </c>
      <c r="F286" t="s">
        <v>828</v>
      </c>
    </row>
    <row r="287" spans="1:6">
      <c r="A287" s="108">
        <v>45889</v>
      </c>
      <c r="B287" s="108">
        <v>45894</v>
      </c>
      <c r="C287" s="107" t="s">
        <v>625</v>
      </c>
      <c r="D287" s="107" t="s">
        <v>942</v>
      </c>
      <c r="E287" s="107">
        <v>945.63</v>
      </c>
      <c r="F287" t="str">
        <f>"74980005234773202282222"</f>
        <v>74980005234773202282222</v>
      </c>
    </row>
    <row r="288" spans="1:6">
      <c r="A288" s="90">
        <v>45771</v>
      </c>
      <c r="B288" s="90">
        <v>45772</v>
      </c>
      <c r="C288" t="s">
        <v>625</v>
      </c>
      <c r="D288" t="s">
        <v>723</v>
      </c>
      <c r="E288">
        <v>946.51</v>
      </c>
      <c r="F288" t="s">
        <v>738</v>
      </c>
    </row>
    <row r="289" spans="1:6">
      <c r="A289" s="90">
        <v>45742</v>
      </c>
      <c r="B289" s="90">
        <v>45743</v>
      </c>
      <c r="C289" t="s">
        <v>625</v>
      </c>
      <c r="D289" t="s">
        <v>655</v>
      </c>
      <c r="E289">
        <v>954</v>
      </c>
      <c r="F289" t="s">
        <v>656</v>
      </c>
    </row>
    <row r="290" spans="1:6">
      <c r="A290" s="90">
        <v>45793</v>
      </c>
      <c r="B290" s="90">
        <v>45796</v>
      </c>
      <c r="C290" t="s">
        <v>625</v>
      </c>
      <c r="D290" t="s">
        <v>802</v>
      </c>
      <c r="E290">
        <v>958.74</v>
      </c>
      <c r="F290" t="s">
        <v>803</v>
      </c>
    </row>
    <row r="291" spans="1:6">
      <c r="A291" s="108">
        <v>46034</v>
      </c>
      <c r="B291" s="108">
        <v>46036</v>
      </c>
      <c r="C291" s="107" t="s">
        <v>625</v>
      </c>
      <c r="D291" s="107" t="s">
        <v>1046</v>
      </c>
      <c r="E291" s="107">
        <v>961.14</v>
      </c>
      <c r="F291" t="s">
        <v>1101</v>
      </c>
    </row>
    <row r="292" spans="1:6">
      <c r="A292" s="108">
        <v>46036</v>
      </c>
      <c r="B292" s="108">
        <v>46037</v>
      </c>
      <c r="C292" s="107" t="s">
        <v>625</v>
      </c>
      <c r="D292" s="107" t="s">
        <v>1088</v>
      </c>
      <c r="E292" s="107">
        <v>962.3</v>
      </c>
      <c r="F292" t="s">
        <v>1098</v>
      </c>
    </row>
    <row r="293" spans="1:6">
      <c r="A293" s="108">
        <v>46036</v>
      </c>
      <c r="B293" s="108">
        <v>46037</v>
      </c>
      <c r="C293" s="107" t="s">
        <v>625</v>
      </c>
      <c r="D293" s="107" t="s">
        <v>1088</v>
      </c>
      <c r="E293" s="107">
        <v>962.3</v>
      </c>
      <c r="F293" t="s">
        <v>1099</v>
      </c>
    </row>
    <row r="294" spans="1:6">
      <c r="A294" s="108">
        <v>46036</v>
      </c>
      <c r="B294" s="108">
        <v>46037</v>
      </c>
      <c r="C294" s="107" t="s">
        <v>625</v>
      </c>
      <c r="D294" s="107" t="s">
        <v>1088</v>
      </c>
      <c r="E294" s="107">
        <v>962.3</v>
      </c>
      <c r="F294" t="s">
        <v>1100</v>
      </c>
    </row>
    <row r="295" spans="1:6">
      <c r="A295" s="108">
        <v>45971</v>
      </c>
      <c r="B295" s="108">
        <v>45973</v>
      </c>
      <c r="C295" s="107" t="s">
        <v>625</v>
      </c>
      <c r="D295" s="107" t="s">
        <v>1046</v>
      </c>
      <c r="E295" s="107">
        <v>963.29</v>
      </c>
      <c r="F295" s="107" t="str">
        <f>"24323035315234123042419"</f>
        <v>24323035315234123042419</v>
      </c>
    </row>
    <row r="296" spans="1:6">
      <c r="A296" s="90">
        <v>45876</v>
      </c>
      <c r="B296" s="90">
        <v>45877</v>
      </c>
      <c r="C296" t="s">
        <v>625</v>
      </c>
      <c r="D296" t="s">
        <v>969</v>
      </c>
      <c r="E296">
        <v>964.8</v>
      </c>
      <c r="F296" t="s">
        <v>970</v>
      </c>
    </row>
    <row r="297" spans="1:6">
      <c r="A297" s="108">
        <v>45959</v>
      </c>
      <c r="B297" s="108">
        <v>45960</v>
      </c>
      <c r="C297" s="107" t="s">
        <v>625</v>
      </c>
      <c r="D297" s="107" t="s">
        <v>1045</v>
      </c>
      <c r="E297" s="107">
        <v>974.88</v>
      </c>
      <c r="F297" s="107" t="str">
        <f>"74163615303779616059552"</f>
        <v>74163615303779616059552</v>
      </c>
    </row>
    <row r="298" spans="1:6">
      <c r="A298" s="90">
        <v>45995</v>
      </c>
      <c r="B298" s="90">
        <v>45999</v>
      </c>
      <c r="C298" t="s">
        <v>625</v>
      </c>
      <c r="D298" t="s">
        <v>1046</v>
      </c>
      <c r="E298">
        <v>975.28</v>
      </c>
      <c r="F298" s="109" t="s">
        <v>1069</v>
      </c>
    </row>
    <row r="299" spans="1:6">
      <c r="A299" s="108">
        <v>45902</v>
      </c>
      <c r="B299" s="108">
        <v>45903</v>
      </c>
      <c r="C299" s="107" t="s">
        <v>625</v>
      </c>
      <c r="D299" s="107" t="s">
        <v>1001</v>
      </c>
      <c r="E299" s="107">
        <v>981.24</v>
      </c>
      <c r="F299" t="str">
        <f>"74657375246000589200055"</f>
        <v>74657375246000589200055</v>
      </c>
    </row>
    <row r="300" spans="1:6">
      <c r="A300" s="108">
        <v>45918</v>
      </c>
      <c r="B300" s="108">
        <v>45918</v>
      </c>
      <c r="C300" s="107" t="s">
        <v>625</v>
      </c>
      <c r="D300" s="107" t="s">
        <v>1000</v>
      </c>
      <c r="E300" s="107">
        <v>985.29</v>
      </c>
      <c r="F300" t="str">
        <f>"74609055261100054180555"</f>
        <v>74609055261100054180555</v>
      </c>
    </row>
    <row r="301" spans="1:6">
      <c r="A301" s="90">
        <v>45813</v>
      </c>
      <c r="B301" s="90">
        <v>45813</v>
      </c>
      <c r="C301" t="s">
        <v>625</v>
      </c>
      <c r="D301" t="s">
        <v>840</v>
      </c>
      <c r="E301">
        <v>991.52</v>
      </c>
      <c r="F301" t="s">
        <v>841</v>
      </c>
    </row>
    <row r="302" spans="1:6">
      <c r="A302" s="90">
        <v>45751</v>
      </c>
      <c r="B302" s="90">
        <v>45754</v>
      </c>
      <c r="C302" t="s">
        <v>625</v>
      </c>
      <c r="D302" t="s">
        <v>687</v>
      </c>
      <c r="E302">
        <v>998.44</v>
      </c>
      <c r="F302" t="s">
        <v>688</v>
      </c>
    </row>
    <row r="303" spans="1:6">
      <c r="A303" s="90">
        <v>45817</v>
      </c>
      <c r="B303" s="90">
        <v>45818</v>
      </c>
      <c r="C303" t="s">
        <v>625</v>
      </c>
      <c r="D303" t="s">
        <v>847</v>
      </c>
      <c r="E303">
        <v>1000</v>
      </c>
      <c r="F303" t="s">
        <v>848</v>
      </c>
    </row>
    <row r="304" spans="1:6">
      <c r="A304" s="90">
        <v>46000</v>
      </c>
      <c r="B304" s="90">
        <v>46001</v>
      </c>
      <c r="C304" t="s">
        <v>625</v>
      </c>
      <c r="D304" t="s">
        <v>1067</v>
      </c>
      <c r="E304">
        <v>1014.02</v>
      </c>
      <c r="F304" s="109" t="s">
        <v>1068</v>
      </c>
    </row>
    <row r="305" spans="1:6">
      <c r="A305" s="90">
        <v>45740</v>
      </c>
      <c r="B305" s="90">
        <v>45741</v>
      </c>
      <c r="C305" t="s">
        <v>625</v>
      </c>
      <c r="D305" t="s">
        <v>639</v>
      </c>
      <c r="E305">
        <v>1034.77</v>
      </c>
      <c r="F305" t="s">
        <v>640</v>
      </c>
    </row>
    <row r="306" spans="1:6">
      <c r="A306" s="90">
        <v>45944</v>
      </c>
      <c r="B306" s="90">
        <v>45945</v>
      </c>
      <c r="C306" t="s">
        <v>625</v>
      </c>
      <c r="D306" t="s">
        <v>1021</v>
      </c>
      <c r="E306">
        <v>1035</v>
      </c>
      <c r="F306" t="str">
        <f>"74208475287100046014925"</f>
        <v>74208475287100046014925</v>
      </c>
    </row>
    <row r="307" spans="1:6">
      <c r="A307" s="108">
        <v>46038</v>
      </c>
      <c r="B307" s="108">
        <v>46041</v>
      </c>
      <c r="C307" s="107" t="s">
        <v>625</v>
      </c>
      <c r="D307" s="107" t="s">
        <v>1089</v>
      </c>
      <c r="E307" s="107">
        <v>1066.5899999999999</v>
      </c>
      <c r="F307" t="s">
        <v>1097</v>
      </c>
    </row>
    <row r="308" spans="1:6">
      <c r="A308" s="90">
        <v>45741</v>
      </c>
      <c r="B308" s="90">
        <v>45742</v>
      </c>
      <c r="C308" t="s">
        <v>625</v>
      </c>
      <c r="D308" t="s">
        <v>647</v>
      </c>
      <c r="E308">
        <v>1068</v>
      </c>
      <c r="F308" t="s">
        <v>648</v>
      </c>
    </row>
    <row r="309" spans="1:6">
      <c r="A309" s="90">
        <v>45869</v>
      </c>
      <c r="B309" s="90">
        <v>45870</v>
      </c>
      <c r="C309" t="s">
        <v>625</v>
      </c>
      <c r="D309" t="s">
        <v>958</v>
      </c>
      <c r="E309">
        <v>1069.3</v>
      </c>
      <c r="F309" t="s">
        <v>962</v>
      </c>
    </row>
    <row r="310" spans="1:6">
      <c r="A310" s="90">
        <v>45772</v>
      </c>
      <c r="B310" s="90">
        <v>45775</v>
      </c>
      <c r="C310" t="s">
        <v>625</v>
      </c>
      <c r="D310" t="s">
        <v>705</v>
      </c>
      <c r="E310">
        <v>1072.21</v>
      </c>
      <c r="F310" t="s">
        <v>740</v>
      </c>
    </row>
    <row r="311" spans="1:6">
      <c r="A311" s="108">
        <v>45904</v>
      </c>
      <c r="B311" s="108">
        <v>45905</v>
      </c>
      <c r="C311" s="107" t="s">
        <v>625</v>
      </c>
      <c r="D311" s="107" t="s">
        <v>999</v>
      </c>
      <c r="E311" s="107">
        <v>1080</v>
      </c>
      <c r="F311" t="str">
        <f>"74463655247522483750396"</f>
        <v>74463655247522483750396</v>
      </c>
    </row>
    <row r="312" spans="1:6">
      <c r="A312" s="90">
        <v>45940</v>
      </c>
      <c r="B312" s="90">
        <v>45943</v>
      </c>
      <c r="C312" t="s">
        <v>625</v>
      </c>
      <c r="D312" t="s">
        <v>1020</v>
      </c>
      <c r="E312">
        <v>1088.18</v>
      </c>
      <c r="F312" t="str">
        <f>"74938085284863156222409"</f>
        <v>74938085284863156222409</v>
      </c>
    </row>
    <row r="313" spans="1:6">
      <c r="A313" s="90">
        <v>45940</v>
      </c>
      <c r="B313" s="90">
        <v>45943</v>
      </c>
      <c r="C313" t="s">
        <v>625</v>
      </c>
      <c r="D313" t="s">
        <v>1020</v>
      </c>
      <c r="E313">
        <v>1088.18</v>
      </c>
      <c r="F313" t="str">
        <f>"74938085284863156222433"</f>
        <v>74938085284863156222433</v>
      </c>
    </row>
    <row r="314" spans="1:6">
      <c r="A314" s="90">
        <v>45940</v>
      </c>
      <c r="B314" s="90">
        <v>45943</v>
      </c>
      <c r="C314" t="s">
        <v>625</v>
      </c>
      <c r="D314" t="s">
        <v>1020</v>
      </c>
      <c r="E314">
        <v>1088.18</v>
      </c>
      <c r="F314" t="str">
        <f>"74938085284863156222391"</f>
        <v>74938085284863156222391</v>
      </c>
    </row>
    <row r="315" spans="1:6">
      <c r="A315" s="90">
        <v>45940</v>
      </c>
      <c r="B315" s="90">
        <v>45943</v>
      </c>
      <c r="C315" t="s">
        <v>625</v>
      </c>
      <c r="D315" t="s">
        <v>1020</v>
      </c>
      <c r="E315">
        <v>1088.18</v>
      </c>
      <c r="F315" t="str">
        <f>"74938085284863156222425"</f>
        <v>74938085284863156222425</v>
      </c>
    </row>
    <row r="316" spans="1:6">
      <c r="A316" s="90">
        <v>45764</v>
      </c>
      <c r="B316" s="90">
        <v>45765</v>
      </c>
      <c r="C316" t="s">
        <v>625</v>
      </c>
      <c r="D316" t="s">
        <v>725</v>
      </c>
      <c r="E316">
        <v>1107.3</v>
      </c>
      <c r="F316" t="s">
        <v>727</v>
      </c>
    </row>
    <row r="317" spans="1:6">
      <c r="A317" s="90">
        <v>45763</v>
      </c>
      <c r="B317" s="90">
        <v>45764</v>
      </c>
      <c r="C317" t="s">
        <v>625</v>
      </c>
      <c r="D317" t="s">
        <v>725</v>
      </c>
      <c r="E317">
        <v>1107.51</v>
      </c>
      <c r="F317" t="s">
        <v>726</v>
      </c>
    </row>
    <row r="318" spans="1:6">
      <c r="A318" s="90">
        <v>45770</v>
      </c>
      <c r="B318" s="90">
        <v>45771</v>
      </c>
      <c r="C318" t="s">
        <v>625</v>
      </c>
      <c r="D318" t="s">
        <v>725</v>
      </c>
      <c r="E318">
        <v>1108.48</v>
      </c>
      <c r="F318" t="s">
        <v>734</v>
      </c>
    </row>
    <row r="319" spans="1:6">
      <c r="A319" s="90">
        <v>45744</v>
      </c>
      <c r="B319" s="90">
        <v>45747</v>
      </c>
      <c r="C319" t="s">
        <v>625</v>
      </c>
      <c r="D319" t="s">
        <v>662</v>
      </c>
      <c r="E319">
        <v>1117.82</v>
      </c>
      <c r="F319" t="s">
        <v>667</v>
      </c>
    </row>
    <row r="320" spans="1:6">
      <c r="A320" s="90">
        <v>45814</v>
      </c>
      <c r="B320" s="90">
        <v>45817</v>
      </c>
      <c r="C320" t="s">
        <v>625</v>
      </c>
      <c r="D320" t="s">
        <v>845</v>
      </c>
      <c r="E320">
        <v>1130.6300000000001</v>
      </c>
      <c r="F320" t="s">
        <v>846</v>
      </c>
    </row>
    <row r="321" spans="1:6">
      <c r="A321" s="90">
        <v>45740</v>
      </c>
      <c r="B321" s="90">
        <v>45741</v>
      </c>
      <c r="C321" t="s">
        <v>625</v>
      </c>
      <c r="D321" t="s">
        <v>637</v>
      </c>
      <c r="E321">
        <v>1132.95</v>
      </c>
      <c r="F321" t="s">
        <v>638</v>
      </c>
    </row>
    <row r="322" spans="1:6">
      <c r="A322" s="90">
        <v>45777</v>
      </c>
      <c r="B322" s="90">
        <v>45778</v>
      </c>
      <c r="C322" t="s">
        <v>625</v>
      </c>
      <c r="D322" t="s">
        <v>723</v>
      </c>
      <c r="E322">
        <v>1139.8399999999999</v>
      </c>
      <c r="F322" t="s">
        <v>754</v>
      </c>
    </row>
    <row r="323" spans="1:6">
      <c r="A323" s="90">
        <v>45786</v>
      </c>
      <c r="B323" s="90">
        <v>45789</v>
      </c>
      <c r="C323" t="s">
        <v>625</v>
      </c>
      <c r="D323" t="s">
        <v>723</v>
      </c>
      <c r="E323">
        <v>1139.8399999999999</v>
      </c>
      <c r="F323" t="s">
        <v>778</v>
      </c>
    </row>
    <row r="324" spans="1:6">
      <c r="A324" s="90">
        <v>45867</v>
      </c>
      <c r="B324" s="90">
        <v>45868</v>
      </c>
      <c r="C324" t="s">
        <v>625</v>
      </c>
      <c r="D324" t="s">
        <v>950</v>
      </c>
      <c r="E324">
        <v>1140.01</v>
      </c>
      <c r="F324" t="s">
        <v>951</v>
      </c>
    </row>
    <row r="325" spans="1:6">
      <c r="A325" s="90">
        <v>45770</v>
      </c>
      <c r="B325" s="90">
        <v>45771</v>
      </c>
      <c r="C325" t="s">
        <v>625</v>
      </c>
      <c r="D325" t="s">
        <v>732</v>
      </c>
      <c r="E325">
        <v>1145.93</v>
      </c>
      <c r="F325" t="s">
        <v>733</v>
      </c>
    </row>
    <row r="326" spans="1:6">
      <c r="A326" s="90">
        <v>46050</v>
      </c>
      <c r="B326" s="90">
        <v>46051</v>
      </c>
      <c r="C326" t="s">
        <v>625</v>
      </c>
      <c r="D326" t="s">
        <v>1146</v>
      </c>
      <c r="E326">
        <v>1153.1500000000001</v>
      </c>
      <c r="F326" t="s">
        <v>1147</v>
      </c>
    </row>
    <row r="327" spans="1:6">
      <c r="A327" s="90">
        <v>45999</v>
      </c>
      <c r="B327" s="90">
        <v>46000</v>
      </c>
      <c r="C327" t="s">
        <v>625</v>
      </c>
      <c r="D327" t="s">
        <v>1065</v>
      </c>
      <c r="E327">
        <v>1157.33</v>
      </c>
      <c r="F327" s="109" t="s">
        <v>1066</v>
      </c>
    </row>
    <row r="328" spans="1:6">
      <c r="A328" s="90">
        <v>45784</v>
      </c>
      <c r="B328" s="90">
        <v>45785</v>
      </c>
      <c r="C328" t="s">
        <v>625</v>
      </c>
      <c r="D328" t="s">
        <v>705</v>
      </c>
      <c r="E328">
        <v>1158.22</v>
      </c>
      <c r="F328" t="s">
        <v>773</v>
      </c>
    </row>
    <row r="329" spans="1:6">
      <c r="A329" s="90">
        <v>45798</v>
      </c>
      <c r="B329" s="90">
        <v>45799</v>
      </c>
      <c r="C329" t="s">
        <v>625</v>
      </c>
      <c r="D329" t="s">
        <v>701</v>
      </c>
      <c r="E329">
        <v>1158.79</v>
      </c>
      <c r="F329" t="s">
        <v>815</v>
      </c>
    </row>
    <row r="330" spans="1:6">
      <c r="A330" s="90">
        <v>45763</v>
      </c>
      <c r="B330" s="90">
        <v>45764</v>
      </c>
      <c r="C330" t="s">
        <v>625</v>
      </c>
      <c r="D330" t="s">
        <v>723</v>
      </c>
      <c r="E330">
        <v>1158.8699999999999</v>
      </c>
      <c r="F330" t="s">
        <v>724</v>
      </c>
    </row>
    <row r="331" spans="1:6">
      <c r="A331" s="108">
        <v>45902</v>
      </c>
      <c r="B331" s="108">
        <v>45903</v>
      </c>
      <c r="C331" s="107" t="s">
        <v>625</v>
      </c>
      <c r="D331" s="107" t="s">
        <v>701</v>
      </c>
      <c r="E331" s="107">
        <v>1161.7</v>
      </c>
      <c r="F331" t="str">
        <f>"74083425245100086804660"</f>
        <v>74083425245100086804660</v>
      </c>
    </row>
    <row r="332" spans="1:6">
      <c r="A332" s="90">
        <v>45813</v>
      </c>
      <c r="B332" s="90">
        <v>45814</v>
      </c>
      <c r="C332" t="s">
        <v>625</v>
      </c>
      <c r="D332" t="s">
        <v>701</v>
      </c>
      <c r="E332">
        <v>1161.97</v>
      </c>
      <c r="F332" t="s">
        <v>839</v>
      </c>
    </row>
    <row r="333" spans="1:6">
      <c r="A333" s="90">
        <v>45847</v>
      </c>
      <c r="B333" s="90">
        <v>45848</v>
      </c>
      <c r="C333" t="s">
        <v>625</v>
      </c>
      <c r="D333" t="s">
        <v>701</v>
      </c>
      <c r="E333">
        <v>1162.52</v>
      </c>
      <c r="F333" t="s">
        <v>905</v>
      </c>
    </row>
    <row r="334" spans="1:6">
      <c r="A334" s="90">
        <v>45790</v>
      </c>
      <c r="B334" s="90">
        <v>45791</v>
      </c>
      <c r="C334" t="s">
        <v>625</v>
      </c>
      <c r="D334" t="s">
        <v>701</v>
      </c>
      <c r="E334">
        <v>1171.06</v>
      </c>
      <c r="F334" t="s">
        <v>784</v>
      </c>
    </row>
    <row r="335" spans="1:6">
      <c r="A335" s="90">
        <v>45859</v>
      </c>
      <c r="B335" s="90">
        <v>45860</v>
      </c>
      <c r="C335" t="s">
        <v>625</v>
      </c>
      <c r="D335" t="s">
        <v>701</v>
      </c>
      <c r="E335">
        <v>1171.1099999999999</v>
      </c>
      <c r="F335" t="s">
        <v>930</v>
      </c>
    </row>
    <row r="336" spans="1:6">
      <c r="A336" s="90">
        <v>45757</v>
      </c>
      <c r="B336" s="90">
        <v>45757</v>
      </c>
      <c r="C336" t="s">
        <v>625</v>
      </c>
      <c r="D336" t="s">
        <v>703</v>
      </c>
      <c r="E336">
        <v>1174.48</v>
      </c>
      <c r="F336" t="s">
        <v>704</v>
      </c>
    </row>
    <row r="337" spans="1:6">
      <c r="A337" s="108">
        <v>45973</v>
      </c>
      <c r="B337" s="108">
        <v>45974</v>
      </c>
      <c r="C337" s="107" t="s">
        <v>625</v>
      </c>
      <c r="D337" s="107" t="s">
        <v>1044</v>
      </c>
      <c r="E337" s="107">
        <v>1195.06</v>
      </c>
      <c r="F337" s="107" t="str">
        <f>"74208475316100050413687"</f>
        <v>74208475316100050413687</v>
      </c>
    </row>
    <row r="338" spans="1:6">
      <c r="A338" s="90">
        <v>45757</v>
      </c>
      <c r="B338" s="90">
        <v>45757</v>
      </c>
      <c r="C338" t="s">
        <v>625</v>
      </c>
      <c r="D338" t="s">
        <v>701</v>
      </c>
      <c r="E338">
        <v>1196.77</v>
      </c>
      <c r="F338" t="s">
        <v>702</v>
      </c>
    </row>
    <row r="339" spans="1:6">
      <c r="A339" s="90">
        <v>45783</v>
      </c>
      <c r="B339" s="90">
        <v>45784</v>
      </c>
      <c r="C339" t="s">
        <v>625</v>
      </c>
      <c r="D339" t="s">
        <v>766</v>
      </c>
      <c r="E339">
        <v>1200</v>
      </c>
      <c r="F339" t="s">
        <v>767</v>
      </c>
    </row>
    <row r="340" spans="1:6">
      <c r="A340" s="90">
        <v>45814</v>
      </c>
      <c r="B340" s="90">
        <v>45817</v>
      </c>
      <c r="C340" t="s">
        <v>625</v>
      </c>
      <c r="D340" t="s">
        <v>842</v>
      </c>
      <c r="E340">
        <v>1200</v>
      </c>
      <c r="F340" t="s">
        <v>843</v>
      </c>
    </row>
    <row r="341" spans="1:6">
      <c r="A341" s="90">
        <v>45814</v>
      </c>
      <c r="B341" s="90">
        <v>45817</v>
      </c>
      <c r="C341" t="s">
        <v>625</v>
      </c>
      <c r="D341" t="s">
        <v>842</v>
      </c>
      <c r="E341">
        <v>1200</v>
      </c>
      <c r="F341" t="s">
        <v>844</v>
      </c>
    </row>
    <row r="342" spans="1:6">
      <c r="A342" s="90">
        <v>45932</v>
      </c>
      <c r="B342" s="90">
        <v>45933</v>
      </c>
      <c r="C342" t="s">
        <v>625</v>
      </c>
      <c r="D342" t="s">
        <v>1019</v>
      </c>
      <c r="E342">
        <v>1200</v>
      </c>
      <c r="F342" t="str">
        <f>"74085325276060510932515"</f>
        <v>74085325276060510932515</v>
      </c>
    </row>
    <row r="343" spans="1:6">
      <c r="A343" s="90">
        <v>45930</v>
      </c>
      <c r="B343" s="90">
        <v>45931</v>
      </c>
      <c r="C343" t="s">
        <v>625</v>
      </c>
      <c r="D343" t="s">
        <v>1019</v>
      </c>
      <c r="E343">
        <v>1200</v>
      </c>
      <c r="F343" t="str">
        <f>"74085325274060520054211"</f>
        <v>74085325274060520054211</v>
      </c>
    </row>
    <row r="344" spans="1:6">
      <c r="A344" s="108">
        <v>45958</v>
      </c>
      <c r="B344" s="108">
        <v>45959</v>
      </c>
      <c r="C344" s="107" t="s">
        <v>625</v>
      </c>
      <c r="D344" s="107" t="s">
        <v>1019</v>
      </c>
      <c r="E344" s="107">
        <v>1200</v>
      </c>
      <c r="F344" s="107" t="str">
        <f>"74085325302060510897542"</f>
        <v>74085325302060510897542</v>
      </c>
    </row>
    <row r="345" spans="1:6">
      <c r="A345" s="90">
        <v>45748</v>
      </c>
      <c r="B345" s="90">
        <v>45749</v>
      </c>
      <c r="C345" t="s">
        <v>625</v>
      </c>
      <c r="D345" t="s">
        <v>677</v>
      </c>
      <c r="E345">
        <v>1206.07</v>
      </c>
      <c r="F345" t="s">
        <v>678</v>
      </c>
    </row>
    <row r="346" spans="1:6">
      <c r="A346" s="90">
        <v>45842</v>
      </c>
      <c r="B346" s="90">
        <v>45845</v>
      </c>
      <c r="C346" t="s">
        <v>625</v>
      </c>
      <c r="D346" t="s">
        <v>895</v>
      </c>
      <c r="E346">
        <v>1214.6400000000001</v>
      </c>
      <c r="F346" t="s">
        <v>896</v>
      </c>
    </row>
    <row r="347" spans="1:6">
      <c r="A347" s="90">
        <v>45778</v>
      </c>
      <c r="B347" s="90">
        <v>45779</v>
      </c>
      <c r="C347" t="s">
        <v>625</v>
      </c>
      <c r="D347" t="s">
        <v>758</v>
      </c>
      <c r="E347">
        <v>1250</v>
      </c>
      <c r="F347" t="s">
        <v>759</v>
      </c>
    </row>
    <row r="348" spans="1:6">
      <c r="A348" s="90">
        <v>45868</v>
      </c>
      <c r="B348" s="90">
        <v>45869</v>
      </c>
      <c r="C348" t="s">
        <v>625</v>
      </c>
      <c r="D348" t="s">
        <v>958</v>
      </c>
      <c r="E348">
        <v>1253.8399999999999</v>
      </c>
      <c r="F348" t="s">
        <v>959</v>
      </c>
    </row>
    <row r="349" spans="1:6">
      <c r="A349" s="90">
        <v>46003</v>
      </c>
      <c r="B349" s="90">
        <v>46006</v>
      </c>
      <c r="C349" t="s">
        <v>625</v>
      </c>
      <c r="D349" t="s">
        <v>1063</v>
      </c>
      <c r="E349">
        <v>1268.23</v>
      </c>
      <c r="F349" s="109" t="s">
        <v>1064</v>
      </c>
    </row>
    <row r="350" spans="1:6">
      <c r="A350" s="90">
        <v>45741</v>
      </c>
      <c r="B350" s="90">
        <v>45742</v>
      </c>
      <c r="C350" t="s">
        <v>625</v>
      </c>
      <c r="D350" t="s">
        <v>645</v>
      </c>
      <c r="E350">
        <v>1275</v>
      </c>
      <c r="F350" t="s">
        <v>646</v>
      </c>
    </row>
    <row r="351" spans="1:6">
      <c r="A351" s="108">
        <v>46036</v>
      </c>
      <c r="B351" s="108">
        <v>46037</v>
      </c>
      <c r="C351" s="107" t="s">
        <v>625</v>
      </c>
      <c r="D351" s="107" t="s">
        <v>1088</v>
      </c>
      <c r="E351" s="107">
        <v>1291.5899999999999</v>
      </c>
      <c r="F351" t="s">
        <v>1096</v>
      </c>
    </row>
    <row r="352" spans="1:6">
      <c r="A352" s="90">
        <v>46066</v>
      </c>
      <c r="B352" s="90">
        <v>46069</v>
      </c>
      <c r="C352" t="s">
        <v>625</v>
      </c>
      <c r="D352" t="s">
        <v>1148</v>
      </c>
      <c r="E352">
        <v>1292.76</v>
      </c>
      <c r="F352" t="s">
        <v>1149</v>
      </c>
    </row>
    <row r="353" spans="1:6">
      <c r="A353" s="90">
        <v>45838</v>
      </c>
      <c r="B353" s="90">
        <v>45839</v>
      </c>
      <c r="C353" t="s">
        <v>625</v>
      </c>
      <c r="D353" t="s">
        <v>886</v>
      </c>
      <c r="E353">
        <v>1295.4000000000001</v>
      </c>
      <c r="F353" t="s">
        <v>887</v>
      </c>
    </row>
    <row r="354" spans="1:6">
      <c r="A354" s="90">
        <v>45868</v>
      </c>
      <c r="B354" s="90">
        <v>45869</v>
      </c>
      <c r="C354" t="s">
        <v>625</v>
      </c>
      <c r="D354" t="s">
        <v>956</v>
      </c>
      <c r="E354">
        <v>1321.2</v>
      </c>
      <c r="F354" t="s">
        <v>957</v>
      </c>
    </row>
    <row r="355" spans="1:6">
      <c r="A355" s="90">
        <v>45994</v>
      </c>
      <c r="B355" s="90">
        <v>45995</v>
      </c>
      <c r="C355" t="s">
        <v>625</v>
      </c>
      <c r="D355" t="s">
        <v>1061</v>
      </c>
      <c r="E355">
        <v>1324.8</v>
      </c>
      <c r="F355" s="109" t="s">
        <v>1062</v>
      </c>
    </row>
    <row r="356" spans="1:6">
      <c r="A356" s="90">
        <v>45798</v>
      </c>
      <c r="B356" s="90">
        <v>45799</v>
      </c>
      <c r="C356" t="s">
        <v>625</v>
      </c>
      <c r="D356" t="s">
        <v>723</v>
      </c>
      <c r="E356">
        <v>1353.17</v>
      </c>
      <c r="F356" t="s">
        <v>814</v>
      </c>
    </row>
    <row r="357" spans="1:6">
      <c r="A357" s="108">
        <v>46036</v>
      </c>
      <c r="B357" s="108">
        <v>46037</v>
      </c>
      <c r="C357" s="107" t="s">
        <v>625</v>
      </c>
      <c r="D357" s="107" t="s">
        <v>1088</v>
      </c>
      <c r="E357" s="107">
        <v>1374.72</v>
      </c>
      <c r="F357" t="s">
        <v>1095</v>
      </c>
    </row>
    <row r="358" spans="1:6">
      <c r="A358" s="90">
        <v>45821</v>
      </c>
      <c r="B358" s="90">
        <v>45824</v>
      </c>
      <c r="C358" t="s">
        <v>625</v>
      </c>
      <c r="D358" t="s">
        <v>851</v>
      </c>
      <c r="E358">
        <v>1385</v>
      </c>
      <c r="F358" t="s">
        <v>852</v>
      </c>
    </row>
    <row r="359" spans="1:6">
      <c r="A359" s="90">
        <v>45859</v>
      </c>
      <c r="B359" s="90">
        <v>45860</v>
      </c>
      <c r="C359" t="s">
        <v>625</v>
      </c>
      <c r="D359" t="s">
        <v>917</v>
      </c>
      <c r="E359">
        <v>1405.62</v>
      </c>
      <c r="F359" t="s">
        <v>929</v>
      </c>
    </row>
    <row r="360" spans="1:6">
      <c r="A360" s="90">
        <v>45854</v>
      </c>
      <c r="B360" s="90">
        <v>45855</v>
      </c>
      <c r="C360" t="s">
        <v>625</v>
      </c>
      <c r="D360" t="s">
        <v>917</v>
      </c>
      <c r="E360">
        <v>1409.21</v>
      </c>
      <c r="F360" t="s">
        <v>918</v>
      </c>
    </row>
    <row r="361" spans="1:6">
      <c r="A361" s="90">
        <v>45854</v>
      </c>
      <c r="B361" s="90">
        <v>45855</v>
      </c>
      <c r="C361" t="s">
        <v>625</v>
      </c>
      <c r="D361" t="s">
        <v>917</v>
      </c>
      <c r="E361">
        <v>1409.21</v>
      </c>
      <c r="F361" t="s">
        <v>919</v>
      </c>
    </row>
    <row r="362" spans="1:6">
      <c r="A362" s="90">
        <v>45758</v>
      </c>
      <c r="B362" s="90">
        <v>45761</v>
      </c>
      <c r="C362" t="s">
        <v>625</v>
      </c>
      <c r="D362" t="s">
        <v>705</v>
      </c>
      <c r="E362">
        <v>1431</v>
      </c>
      <c r="F362" t="s">
        <v>709</v>
      </c>
    </row>
    <row r="363" spans="1:6">
      <c r="A363" s="90">
        <v>45880</v>
      </c>
      <c r="B363" s="90">
        <v>45880</v>
      </c>
      <c r="C363" t="s">
        <v>625</v>
      </c>
      <c r="D363" t="s">
        <v>971</v>
      </c>
      <c r="E363">
        <v>1433.37</v>
      </c>
      <c r="F363" t="s">
        <v>973</v>
      </c>
    </row>
    <row r="364" spans="1:6">
      <c r="A364" s="90">
        <v>45880</v>
      </c>
      <c r="B364" s="90">
        <v>45881</v>
      </c>
      <c r="C364" t="s">
        <v>625</v>
      </c>
      <c r="D364" t="s">
        <v>971</v>
      </c>
      <c r="E364">
        <v>1433.65</v>
      </c>
      <c r="F364" t="s">
        <v>972</v>
      </c>
    </row>
    <row r="365" spans="1:6">
      <c r="A365" s="90">
        <v>45849</v>
      </c>
      <c r="B365" s="90">
        <v>45852</v>
      </c>
      <c r="C365" t="s">
        <v>625</v>
      </c>
      <c r="D365" t="s">
        <v>910</v>
      </c>
      <c r="E365">
        <v>1435.32</v>
      </c>
      <c r="F365" t="s">
        <v>911</v>
      </c>
    </row>
    <row r="366" spans="1:6">
      <c r="A366" s="90">
        <v>46055</v>
      </c>
      <c r="B366" s="90">
        <v>46056</v>
      </c>
      <c r="C366" t="s">
        <v>625</v>
      </c>
      <c r="D366" t="s">
        <v>635</v>
      </c>
      <c r="E366">
        <v>1435.7</v>
      </c>
      <c r="F366" t="s">
        <v>1150</v>
      </c>
    </row>
    <row r="367" spans="1:6">
      <c r="A367" s="90">
        <v>46052</v>
      </c>
      <c r="B367" s="90">
        <v>46055</v>
      </c>
      <c r="C367" t="s">
        <v>625</v>
      </c>
      <c r="D367" t="s">
        <v>1025</v>
      </c>
      <c r="E367">
        <v>1461.19</v>
      </c>
      <c r="F367" t="s">
        <v>1151</v>
      </c>
    </row>
    <row r="368" spans="1:6">
      <c r="A368" s="90">
        <v>45810</v>
      </c>
      <c r="B368" s="90">
        <v>45811</v>
      </c>
      <c r="C368" t="s">
        <v>625</v>
      </c>
      <c r="D368" t="s">
        <v>725</v>
      </c>
      <c r="E368">
        <v>1467.08</v>
      </c>
      <c r="F368" t="s">
        <v>827</v>
      </c>
    </row>
    <row r="369" spans="1:6">
      <c r="A369" s="90">
        <v>45996</v>
      </c>
      <c r="B369" s="90">
        <v>45999</v>
      </c>
      <c r="C369" t="s">
        <v>625</v>
      </c>
      <c r="D369" t="s">
        <v>1059</v>
      </c>
      <c r="E369">
        <v>1484.07</v>
      </c>
      <c r="F369" s="109" t="s">
        <v>1060</v>
      </c>
    </row>
    <row r="370" spans="1:6">
      <c r="A370" s="90">
        <v>45742</v>
      </c>
      <c r="B370" s="90">
        <v>45743</v>
      </c>
      <c r="C370" t="s">
        <v>625</v>
      </c>
      <c r="D370" t="s">
        <v>653</v>
      </c>
      <c r="E370">
        <v>1495.2</v>
      </c>
      <c r="F370" t="s">
        <v>654</v>
      </c>
    </row>
    <row r="371" spans="1:6">
      <c r="A371" s="90">
        <v>46045</v>
      </c>
      <c r="B371" s="90">
        <v>46045</v>
      </c>
      <c r="C371" t="s">
        <v>625</v>
      </c>
      <c r="D371" t="s">
        <v>1152</v>
      </c>
      <c r="E371">
        <v>1535.8</v>
      </c>
      <c r="F371" t="s">
        <v>1153</v>
      </c>
    </row>
    <row r="372" spans="1:6">
      <c r="A372" s="90">
        <v>45783</v>
      </c>
      <c r="B372" s="90">
        <v>45784</v>
      </c>
      <c r="C372" t="s">
        <v>625</v>
      </c>
      <c r="D372" t="s">
        <v>764</v>
      </c>
      <c r="E372">
        <v>1593.88</v>
      </c>
      <c r="F372" t="s">
        <v>765</v>
      </c>
    </row>
    <row r="373" spans="1:6">
      <c r="A373" s="90">
        <v>45740</v>
      </c>
      <c r="B373" s="90">
        <v>45741</v>
      </c>
      <c r="C373" t="s">
        <v>625</v>
      </c>
      <c r="D373" t="s">
        <v>635</v>
      </c>
      <c r="E373">
        <v>1633.69</v>
      </c>
      <c r="F373" t="s">
        <v>636</v>
      </c>
    </row>
    <row r="374" spans="1:6">
      <c r="A374" s="90">
        <v>45777</v>
      </c>
      <c r="B374" s="90">
        <v>45779</v>
      </c>
      <c r="C374" t="s">
        <v>625</v>
      </c>
      <c r="D374" t="s">
        <v>752</v>
      </c>
      <c r="E374">
        <v>1657.81</v>
      </c>
      <c r="F374" t="s">
        <v>753</v>
      </c>
    </row>
    <row r="375" spans="1:6">
      <c r="A375" s="90">
        <v>45926</v>
      </c>
      <c r="B375" s="90">
        <v>45929</v>
      </c>
      <c r="C375" t="s">
        <v>625</v>
      </c>
      <c r="D375" t="s">
        <v>1018</v>
      </c>
      <c r="E375">
        <v>1673.76</v>
      </c>
      <c r="F375" t="str">
        <f>"74208475269100104132793"</f>
        <v>74208475269100104132793</v>
      </c>
    </row>
    <row r="376" spans="1:6">
      <c r="A376" s="90">
        <v>45784</v>
      </c>
      <c r="B376" s="90">
        <v>45784</v>
      </c>
      <c r="C376" t="s">
        <v>625</v>
      </c>
      <c r="D376" t="s">
        <v>771</v>
      </c>
      <c r="E376">
        <v>1697.5</v>
      </c>
      <c r="F376" t="s">
        <v>772</v>
      </c>
    </row>
    <row r="377" spans="1:6">
      <c r="A377" s="90">
        <v>45884</v>
      </c>
      <c r="B377" s="90">
        <v>45887</v>
      </c>
      <c r="C377" t="s">
        <v>625</v>
      </c>
      <c r="D377" t="s">
        <v>987</v>
      </c>
      <c r="E377">
        <v>1810.82</v>
      </c>
      <c r="F377" t="s">
        <v>988</v>
      </c>
    </row>
    <row r="378" spans="1:6">
      <c r="A378" s="108">
        <v>45967</v>
      </c>
      <c r="B378" s="108">
        <v>45968</v>
      </c>
      <c r="C378" s="107" t="s">
        <v>625</v>
      </c>
      <c r="D378" s="107" t="s">
        <v>1043</v>
      </c>
      <c r="E378" s="107">
        <v>1960</v>
      </c>
      <c r="F378" s="107" t="str">
        <f>"24011345310100088899033"</f>
        <v>24011345310100088899033</v>
      </c>
    </row>
    <row r="379" spans="1:6">
      <c r="A379" s="108">
        <v>45902</v>
      </c>
      <c r="B379" s="108">
        <v>45903</v>
      </c>
      <c r="C379" s="107" t="s">
        <v>625</v>
      </c>
      <c r="D379" s="107" t="s">
        <v>758</v>
      </c>
      <c r="E379" s="107">
        <v>2005</v>
      </c>
      <c r="F379" t="str">
        <f>"74568965245534777003621"</f>
        <v>74568965245534777003621</v>
      </c>
    </row>
    <row r="380" spans="1:6">
      <c r="A380" s="90">
        <v>45937</v>
      </c>
      <c r="B380" s="90">
        <v>45938</v>
      </c>
      <c r="C380" t="s">
        <v>625</v>
      </c>
      <c r="D380" t="s">
        <v>1017</v>
      </c>
      <c r="E380">
        <v>2124</v>
      </c>
      <c r="F380" t="str">
        <f>"74208475280100079288021"</f>
        <v>74208475280100079288021</v>
      </c>
    </row>
    <row r="381" spans="1:6">
      <c r="A381" s="90">
        <v>46051</v>
      </c>
      <c r="B381" s="90">
        <v>46052</v>
      </c>
      <c r="C381" t="s">
        <v>625</v>
      </c>
      <c r="D381" t="s">
        <v>1154</v>
      </c>
      <c r="E381">
        <v>2181.79</v>
      </c>
      <c r="F381" t="s">
        <v>1155</v>
      </c>
    </row>
    <row r="382" spans="1:6">
      <c r="A382" s="90">
        <v>45828</v>
      </c>
      <c r="B382" s="90">
        <v>45831</v>
      </c>
      <c r="C382" t="s">
        <v>625</v>
      </c>
      <c r="D382" t="s">
        <v>864</v>
      </c>
      <c r="E382">
        <v>2227.5</v>
      </c>
      <c r="F382" t="s">
        <v>865</v>
      </c>
    </row>
    <row r="383" spans="1:6">
      <c r="A383" s="90">
        <v>45826</v>
      </c>
      <c r="B383" s="90">
        <v>45827</v>
      </c>
      <c r="C383" t="s">
        <v>625</v>
      </c>
      <c r="D383" t="s">
        <v>855</v>
      </c>
      <c r="E383">
        <v>2525</v>
      </c>
      <c r="F383" t="s">
        <v>856</v>
      </c>
    </row>
    <row r="384" spans="1:6">
      <c r="A384" s="90">
        <v>45848</v>
      </c>
      <c r="B384" s="90">
        <v>45849</v>
      </c>
      <c r="C384" t="s">
        <v>625</v>
      </c>
      <c r="D384" t="s">
        <v>906</v>
      </c>
      <c r="E384">
        <v>2525</v>
      </c>
      <c r="F384" t="s">
        <v>907</v>
      </c>
    </row>
    <row r="385" spans="1:6">
      <c r="A385" s="108">
        <v>45910</v>
      </c>
      <c r="B385" s="108">
        <v>45911</v>
      </c>
      <c r="C385" s="107" t="s">
        <v>625</v>
      </c>
      <c r="D385" s="107" t="s">
        <v>998</v>
      </c>
      <c r="E385" s="107">
        <v>2525</v>
      </c>
      <c r="F385" t="str">
        <f>"74007055254920046061390"</f>
        <v>74007055254920046061390</v>
      </c>
    </row>
    <row r="386" spans="1:6">
      <c r="A386" s="90">
        <v>45947</v>
      </c>
      <c r="B386" s="90">
        <v>45950</v>
      </c>
      <c r="C386" t="s">
        <v>625</v>
      </c>
      <c r="D386" t="s">
        <v>1016</v>
      </c>
      <c r="E386">
        <v>2525</v>
      </c>
      <c r="F386" t="str">
        <f>"74007055291920058020776"</f>
        <v>74007055291920058020776</v>
      </c>
    </row>
    <row r="387" spans="1:6">
      <c r="A387" s="108">
        <v>45966</v>
      </c>
      <c r="B387" s="108">
        <v>45967</v>
      </c>
      <c r="C387" s="107" t="s">
        <v>625</v>
      </c>
      <c r="D387" s="107" t="s">
        <v>1041</v>
      </c>
      <c r="E387" s="107">
        <v>2525</v>
      </c>
      <c r="F387" s="107" t="str">
        <f>"74007055310920046317737"</f>
        <v>74007055310920046317737</v>
      </c>
    </row>
    <row r="388" spans="1:6">
      <c r="A388" s="108">
        <v>45966</v>
      </c>
      <c r="B388" s="108">
        <v>45967</v>
      </c>
      <c r="C388" s="107" t="s">
        <v>625</v>
      </c>
      <c r="D388" s="107" t="s">
        <v>1042</v>
      </c>
      <c r="E388" s="107">
        <v>2525</v>
      </c>
      <c r="F388" s="107" t="str">
        <f>"74007055310920046005621"</f>
        <v>74007055310920046005621</v>
      </c>
    </row>
    <row r="389" spans="1:6">
      <c r="A389" s="90">
        <v>46006</v>
      </c>
      <c r="B389" s="90">
        <v>46007</v>
      </c>
      <c r="C389" t="s">
        <v>625</v>
      </c>
      <c r="D389" t="s">
        <v>1055</v>
      </c>
      <c r="E389">
        <v>2525</v>
      </c>
      <c r="F389" s="109" t="s">
        <v>1056</v>
      </c>
    </row>
    <row r="390" spans="1:6">
      <c r="A390" s="90">
        <v>46000</v>
      </c>
      <c r="B390" s="90">
        <v>46001</v>
      </c>
      <c r="C390" t="s">
        <v>625</v>
      </c>
      <c r="D390" t="s">
        <v>1057</v>
      </c>
      <c r="E390">
        <v>2525</v>
      </c>
      <c r="F390" s="109" t="s">
        <v>1058</v>
      </c>
    </row>
    <row r="391" spans="1:6">
      <c r="A391" s="90">
        <v>45800</v>
      </c>
      <c r="B391" s="90">
        <v>45803</v>
      </c>
      <c r="C391" t="s">
        <v>625</v>
      </c>
      <c r="D391" t="s">
        <v>818</v>
      </c>
      <c r="E391">
        <v>2644.61</v>
      </c>
      <c r="F391" t="s">
        <v>819</v>
      </c>
    </row>
    <row r="392" spans="1:6">
      <c r="A392" s="90">
        <v>45775</v>
      </c>
      <c r="B392" s="90">
        <v>45776</v>
      </c>
      <c r="C392" t="s">
        <v>625</v>
      </c>
      <c r="D392" t="s">
        <v>745</v>
      </c>
      <c r="E392">
        <v>2715.56</v>
      </c>
      <c r="F392" t="s">
        <v>746</v>
      </c>
    </row>
    <row r="393" spans="1:6">
      <c r="A393" s="90">
        <v>45791</v>
      </c>
      <c r="B393" s="90">
        <v>45792</v>
      </c>
      <c r="C393" t="s">
        <v>625</v>
      </c>
      <c r="D393" t="s">
        <v>791</v>
      </c>
      <c r="E393">
        <v>3025</v>
      </c>
      <c r="F393" t="s">
        <v>792</v>
      </c>
    </row>
    <row r="394" spans="1:6">
      <c r="A394" s="108">
        <v>45897</v>
      </c>
      <c r="B394" s="108">
        <v>45898</v>
      </c>
      <c r="C394" s="107" t="s">
        <v>625</v>
      </c>
      <c r="D394" s="107" t="s">
        <v>996</v>
      </c>
      <c r="E394" s="107">
        <v>3025</v>
      </c>
      <c r="F394" t="str">
        <f>"74007055241920049047095"</f>
        <v>74007055241920049047095</v>
      </c>
    </row>
    <row r="395" spans="1:6">
      <c r="A395" s="108">
        <v>45897</v>
      </c>
      <c r="B395" s="108">
        <v>45898</v>
      </c>
      <c r="C395" s="107" t="s">
        <v>625</v>
      </c>
      <c r="D395" s="107" t="s">
        <v>997</v>
      </c>
      <c r="E395" s="107">
        <v>3025</v>
      </c>
      <c r="F395" t="str">
        <f>"74007055241920049044761"</f>
        <v>74007055241920049044761</v>
      </c>
    </row>
    <row r="396" spans="1:6">
      <c r="A396" s="108">
        <v>46036</v>
      </c>
      <c r="B396" s="108">
        <v>46037</v>
      </c>
      <c r="C396" s="107" t="s">
        <v>625</v>
      </c>
      <c r="D396" s="107" t="s">
        <v>1087</v>
      </c>
      <c r="E396" s="107">
        <v>3165</v>
      </c>
      <c r="F396" t="s">
        <v>1094</v>
      </c>
    </row>
    <row r="397" spans="1:6">
      <c r="A397" s="90">
        <v>45755</v>
      </c>
      <c r="B397" s="90">
        <v>45756</v>
      </c>
      <c r="C397" t="s">
        <v>625</v>
      </c>
      <c r="D397" t="s">
        <v>696</v>
      </c>
      <c r="E397">
        <v>3239</v>
      </c>
      <c r="F397" t="s">
        <v>697</v>
      </c>
    </row>
    <row r="398" spans="1:6">
      <c r="A398" s="90">
        <v>45789</v>
      </c>
      <c r="B398" s="90">
        <v>45790</v>
      </c>
      <c r="C398" t="s">
        <v>625</v>
      </c>
      <c r="D398" t="s">
        <v>779</v>
      </c>
      <c r="E398">
        <v>3525</v>
      </c>
      <c r="F398" t="s">
        <v>780</v>
      </c>
    </row>
    <row r="399" spans="1:6">
      <c r="A399" s="90">
        <v>45813</v>
      </c>
      <c r="B399" s="90">
        <v>45814</v>
      </c>
      <c r="C399" t="s">
        <v>625</v>
      </c>
      <c r="D399" t="s">
        <v>835</v>
      </c>
      <c r="E399">
        <v>3525</v>
      </c>
      <c r="F399" t="s">
        <v>836</v>
      </c>
    </row>
    <row r="400" spans="1:6">
      <c r="A400" s="90">
        <v>45813</v>
      </c>
      <c r="B400" s="90">
        <v>45814</v>
      </c>
      <c r="C400" t="s">
        <v>625</v>
      </c>
      <c r="D400" t="s">
        <v>837</v>
      </c>
      <c r="E400">
        <v>3525</v>
      </c>
      <c r="F400" t="s">
        <v>838</v>
      </c>
    </row>
    <row r="401" spans="1:6">
      <c r="A401" s="90">
        <v>45833</v>
      </c>
      <c r="B401" s="90">
        <v>45834</v>
      </c>
      <c r="C401" t="s">
        <v>625</v>
      </c>
      <c r="D401" t="s">
        <v>876</v>
      </c>
      <c r="E401">
        <v>3525</v>
      </c>
      <c r="F401" t="s">
        <v>877</v>
      </c>
    </row>
    <row r="402" spans="1:6">
      <c r="A402" s="90">
        <v>45833</v>
      </c>
      <c r="B402" s="90">
        <v>45834</v>
      </c>
      <c r="C402" t="s">
        <v>625</v>
      </c>
      <c r="D402" t="s">
        <v>878</v>
      </c>
      <c r="E402">
        <v>3525</v>
      </c>
      <c r="F402" t="s">
        <v>879</v>
      </c>
    </row>
    <row r="403" spans="1:6">
      <c r="A403" s="90">
        <v>45859</v>
      </c>
      <c r="B403" s="90">
        <v>45860</v>
      </c>
      <c r="C403" t="s">
        <v>625</v>
      </c>
      <c r="D403" t="s">
        <v>927</v>
      </c>
      <c r="E403">
        <v>3525</v>
      </c>
      <c r="F403" t="s">
        <v>928</v>
      </c>
    </row>
    <row r="404" spans="1:6">
      <c r="A404" s="90">
        <v>45875</v>
      </c>
      <c r="B404" s="90">
        <v>45876</v>
      </c>
      <c r="C404" t="s">
        <v>625</v>
      </c>
      <c r="D404" t="s">
        <v>965</v>
      </c>
      <c r="E404">
        <v>3525</v>
      </c>
      <c r="F404" t="s">
        <v>966</v>
      </c>
    </row>
    <row r="405" spans="1:6">
      <c r="A405" s="108">
        <v>45897</v>
      </c>
      <c r="B405" s="108">
        <v>45898</v>
      </c>
      <c r="C405" s="107" t="s">
        <v>625</v>
      </c>
      <c r="D405" s="107" t="s">
        <v>995</v>
      </c>
      <c r="E405" s="107">
        <v>3525</v>
      </c>
      <c r="F405" t="str">
        <f>"74007055241920049045008"</f>
        <v>74007055241920049045008</v>
      </c>
    </row>
    <row r="406" spans="1:6">
      <c r="A406" s="90">
        <v>45946</v>
      </c>
      <c r="B406" s="90">
        <v>45947</v>
      </c>
      <c r="C406" t="s">
        <v>625</v>
      </c>
      <c r="D406" t="s">
        <v>1015</v>
      </c>
      <c r="E406">
        <v>3525</v>
      </c>
      <c r="F406" t="str">
        <f>"74007055290920046010518"</f>
        <v>74007055290920046010518</v>
      </c>
    </row>
    <row r="407" spans="1:6">
      <c r="A407" s="108">
        <v>45979</v>
      </c>
      <c r="B407" s="108">
        <v>45980</v>
      </c>
      <c r="C407" s="107" t="s">
        <v>625</v>
      </c>
      <c r="D407" s="107" t="s">
        <v>1038</v>
      </c>
      <c r="E407" s="107">
        <v>3525</v>
      </c>
      <c r="F407" s="107" t="str">
        <f>"74007055323920045108538"</f>
        <v>74007055323920045108538</v>
      </c>
    </row>
    <row r="408" spans="1:6">
      <c r="A408" s="108">
        <v>45979</v>
      </c>
      <c r="B408" s="108">
        <v>45980</v>
      </c>
      <c r="C408" s="107" t="s">
        <v>625</v>
      </c>
      <c r="D408" s="107" t="s">
        <v>1039</v>
      </c>
      <c r="E408" s="107">
        <v>3525</v>
      </c>
      <c r="F408" s="107" t="str">
        <f>"74007055323920045256451"</f>
        <v>74007055323920045256451</v>
      </c>
    </row>
    <row r="409" spans="1:6">
      <c r="A409" s="108">
        <v>45954</v>
      </c>
      <c r="B409" s="108">
        <v>45957</v>
      </c>
      <c r="C409" s="107" t="s">
        <v>625</v>
      </c>
      <c r="D409" s="107" t="s">
        <v>1040</v>
      </c>
      <c r="E409" s="107">
        <v>3525</v>
      </c>
      <c r="F409" s="107" t="str">
        <f>"74007055298920045044015"</f>
        <v>74007055298920045044015</v>
      </c>
    </row>
    <row r="410" spans="1:6">
      <c r="A410" s="90">
        <v>45993</v>
      </c>
      <c r="B410" s="90">
        <v>45994</v>
      </c>
      <c r="C410" t="s">
        <v>625</v>
      </c>
      <c r="D410" t="s">
        <v>1053</v>
      </c>
      <c r="E410">
        <v>3525</v>
      </c>
      <c r="F410" s="109" t="s">
        <v>1054</v>
      </c>
    </row>
    <row r="411" spans="1:6">
      <c r="A411" s="108">
        <v>45909</v>
      </c>
      <c r="B411" s="108">
        <v>45910</v>
      </c>
      <c r="C411" s="107" t="s">
        <v>625</v>
      </c>
      <c r="D411" s="107" t="s">
        <v>994</v>
      </c>
      <c r="E411" s="107">
        <v>4025</v>
      </c>
      <c r="F411" t="str">
        <f>"74007055253920047019018"</f>
        <v>74007055253920047019018</v>
      </c>
    </row>
    <row r="412" spans="1:6">
      <c r="A412" s="90">
        <v>46072</v>
      </c>
      <c r="B412" s="90">
        <v>46073</v>
      </c>
      <c r="C412" t="s">
        <v>625</v>
      </c>
      <c r="D412" t="s">
        <v>1156</v>
      </c>
      <c r="E412">
        <v>4485</v>
      </c>
      <c r="F412" t="s">
        <v>1157</v>
      </c>
    </row>
    <row r="413" spans="1:6">
      <c r="A413" s="90">
        <v>46050</v>
      </c>
      <c r="B413" s="90">
        <v>46051</v>
      </c>
      <c r="C413" t="s">
        <v>625</v>
      </c>
      <c r="D413" t="s">
        <v>1158</v>
      </c>
      <c r="E413">
        <v>4485</v>
      </c>
      <c r="F413" t="s">
        <v>1159</v>
      </c>
    </row>
    <row r="414" spans="1:6">
      <c r="A414" s="108">
        <v>45965</v>
      </c>
      <c r="B414" s="108">
        <v>45965</v>
      </c>
      <c r="C414" s="107" t="s">
        <v>625</v>
      </c>
      <c r="D414" s="107" t="s">
        <v>1037</v>
      </c>
      <c r="E414" s="107">
        <v>5000</v>
      </c>
      <c r="F414" s="107" t="str">
        <f>"24492165308100020713965"</f>
        <v>24492165308100020713965</v>
      </c>
    </row>
  </sheetData>
  <phoneticPr fontId="10" type="noConversion"/>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a1889fe7-a1ed-4c02-a80f-f1cf4d759964">
      <Terms xmlns="http://schemas.microsoft.com/office/infopath/2007/PartnerControls"/>
    </lcf76f155ced4ddcb4097134ff3c332f>
    <TaxCatchAll xmlns="dcfcfc48-1a2d-42a7-b271-c69307805be1"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889293E166EB074A8657F870F4F191EE" ma:contentTypeVersion="14" ma:contentTypeDescription="Create a new document." ma:contentTypeScope="" ma:versionID="3fe607b9e0e1414b5db327799d490ba5">
  <xsd:schema xmlns:xsd="http://www.w3.org/2001/XMLSchema" xmlns:xs="http://www.w3.org/2001/XMLSchema" xmlns:p="http://schemas.microsoft.com/office/2006/metadata/properties" xmlns:ns2="a1889fe7-a1ed-4c02-a80f-f1cf4d759964" xmlns:ns3="dcfcfc48-1a2d-42a7-b271-c69307805be1" xmlns:ns4="c1261af7-3f42-4551-b7ca-013d6517333a" targetNamespace="http://schemas.microsoft.com/office/2006/metadata/properties" ma:root="true" ma:fieldsID="a6f02e55000044cdec2a542b1b241de1" ns2:_="" ns3:_="" ns4:_="">
    <xsd:import namespace="a1889fe7-a1ed-4c02-a80f-f1cf4d759964"/>
    <xsd:import namespace="dcfcfc48-1a2d-42a7-b271-c69307805be1"/>
    <xsd:import namespace="c1261af7-3f42-4551-b7ca-013d6517333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4:SharedWithUsers" minOccurs="0"/>
                <xsd:element ref="ns4: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1889fe7-a1ed-4c02-a80f-f1cf4d75996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abc746d9-cbf8-4ec5-9bf9-1cafe5c9033e"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cfcfc48-1a2d-42a7-b271-c69307805be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b11df1e-3046-43cc-8495-59ca9ca42cab}" ma:internalName="TaxCatchAll" ma:showField="CatchAllData" ma:web="c1261af7-3f42-4551-b7ca-013d6517333a">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261af7-3f42-4551-b7ca-013d6517333a"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1 6 " ? > < D a t a M a s h u p   x m l n s = " h t t p : / / s c h e m a s . m i c r o s o f t . c o m / D a t a M a s h u p " > A A A A A B U D A A B Q S w M E F A A C A A g A D 2 / k W I 3 Y R b u l A A A A 9 g A A A B I A H A B D b 2 5 m a W c v U G F j a 2 F n Z S 5 4 b W w g o h g A K K A U A A A A A A A A A A A A A A A A A A A A A A A A A A A A h Y 9 B C s I w F E S v U r J v k k a E U n 5 T 0 I U b C 4 I g b k O M b b D 9 l T Y 1 v Z s L j + Q V r G j V n c t 5 8 x Y z 9 + s N s q G u g o t p O 9 t g S i L K S W B Q N w e L R U p 6 d w x j k k n Y K H 1 S h Q l G G b t k 6 A 4 p K Z 0 7 J 4 x 5 7 6 m f 0 a Y t m O A 8 Y v t 8 v d W l q R X 5 y P a / H F r s n E J t i I T d a 4 w U N B I x F X N B O b A J Q m 7 x K 4 h x 7 7 P 9 g b D s K 9 e 3 R h o M V w t g U w T 2 / i A f U E s D B B Q A A g A I A A 9 v 5 F g 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A P b + R Y K I p H u A 4 A A A A R A A A A E w A c A E Z v c m 1 1 b G F z L 1 N l Y 3 R p b 2 4 x L m 0 g o h g A K K A U A A A A A A A A A A A A A A A A A A A A A A A A A A A A K 0 5 N L s n M z 1 M I h t C G 1 g B Q S w E C L Q A U A A I A C A A P b + R Y j d h F u 6 U A A A D 2 A A A A E g A A A A A A A A A A A A A A A A A A A A A A Q 2 9 u Z m l n L 1 B h Y 2 t h Z 2 U u e G 1 s U E s B A i 0 A F A A C A A g A D 2 / k W A / K 6 a u k A A A A 6 Q A A A B M A A A A A A A A A A A A A A A A A 8 Q A A A F t D b 2 5 0 Z W 5 0 X 1 R 5 c G V z X S 5 4 b W x Q S w E C L Q A U A A I A C A A P b + R Y 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N r y V z p I u 1 k y H I S F V N U 3 U 8 A A A A A A C A A A A A A A D Z g A A w A A A A B A A A A B r F G H s X 4 O Q m c 7 Z v x p M S O y p A A A A A A S A A A C g A A A A E A A A A K l U d S i p Q V C p 8 7 8 8 / n H 8 O y l Q A A A A / Z 9 F J r / O U M n q 5 Y A O C l H f 7 H X n n 6 L T U x Q m y N t j 2 J G s c h u i b G b W 0 p n o f P X W O W s 0 f T W d D C S j / l E B 4 a A u N F F W D d T f 4 1 I N p 2 S p 1 U w t V J w B W Y X x U e 4 U A A A A B N g C x C Y 3 6 O n y Y A M c f X D 0 u C g H h A M = < / D a t a M a s h u p > 
</file>

<file path=customXml/itemProps1.xml><?xml version="1.0" encoding="utf-8"?>
<ds:datastoreItem xmlns:ds="http://schemas.openxmlformats.org/officeDocument/2006/customXml" ds:itemID="{22670140-A191-4AA9-91D1-63EDBD4923CC}">
  <ds:schemaRefs>
    <ds:schemaRef ds:uri="c1261af7-3f42-4551-b7ca-013d6517333a"/>
    <ds:schemaRef ds:uri="http://schemas.openxmlformats.org/package/2006/metadata/core-properties"/>
    <ds:schemaRef ds:uri="a1889fe7-a1ed-4c02-a80f-f1cf4d759964"/>
    <ds:schemaRef ds:uri="http://purl.org/dc/elements/1.1/"/>
    <ds:schemaRef ds:uri="http://schemas.microsoft.com/office/2006/documentManagement/types"/>
    <ds:schemaRef ds:uri="http://schemas.microsoft.com/office/2006/metadata/properties"/>
    <ds:schemaRef ds:uri="http://purl.org/dc/terms/"/>
    <ds:schemaRef ds:uri="http://purl.org/dc/dcmitype/"/>
    <ds:schemaRef ds:uri="http://schemas.microsoft.com/office/infopath/2007/PartnerControls"/>
    <ds:schemaRef ds:uri="dcfcfc48-1a2d-42a7-b271-c69307805be1"/>
    <ds:schemaRef ds:uri="http://www.w3.org/XML/1998/namespace"/>
  </ds:schemaRefs>
</ds:datastoreItem>
</file>

<file path=customXml/itemProps2.xml><?xml version="1.0" encoding="utf-8"?>
<ds:datastoreItem xmlns:ds="http://schemas.openxmlformats.org/officeDocument/2006/customXml" ds:itemID="{AEFE7C61-B75E-4428-AB42-293F1FE4F203}">
  <ds:schemaRefs>
    <ds:schemaRef ds:uri="http://schemas.microsoft.com/sharepoint/v3/contenttype/forms"/>
  </ds:schemaRefs>
</ds:datastoreItem>
</file>

<file path=customXml/itemProps3.xml><?xml version="1.0" encoding="utf-8"?>
<ds:datastoreItem xmlns:ds="http://schemas.openxmlformats.org/officeDocument/2006/customXml" ds:itemID="{B5BD8E66-7229-49E5-B91C-9E8B0B30384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1889fe7-a1ed-4c02-a80f-f1cf4d759964"/>
    <ds:schemaRef ds:uri="dcfcfc48-1a2d-42a7-b271-c69307805be1"/>
    <ds:schemaRef ds:uri="c1261af7-3f42-4551-b7ca-013d6517333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4FC1F03-DDDF-4D94-9F32-3A9C2B542EEB}">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1. Guidance</vt:lpstr>
      <vt:lpstr>2. Aspirational</vt:lpstr>
      <vt:lpstr>3. PMEs</vt:lpstr>
      <vt:lpstr>4. Tenders</vt:lpstr>
      <vt:lpstr>5. GPC Spend £500+ </vt:lpstr>
      <vt:lpstr>'2. Aspirational'!Print_Area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Ireson, Amy</dc:creator>
  <cp:keywords/>
  <dc:description/>
  <cp:lastModifiedBy>Brown, Daniel</cp:lastModifiedBy>
  <cp:revision/>
  <dcterms:created xsi:type="dcterms:W3CDTF">2023-08-23T07:14:43Z</dcterms:created>
  <dcterms:modified xsi:type="dcterms:W3CDTF">2026-02-26T08:05:58Z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0x010100889293E166EB074A8657F870F4F191EE</vt:lpwstr>
  </property>
  <property fmtid="{D5CDD505-2E9C-101B-9397-08002B2CF9AE}" pid="3" name="MediaServiceImageTags">
    <vt:lpwstr/>
  </property>
  <property fmtid="{D5CDD505-2E9C-101B-9397-08002B2CF9AE}" pid="4" name="MSIP_Label_22759de7-3255-46b5-8dfe-736652f9c6c1_Enabled">
    <vt:lpwstr>true</vt:lpwstr>
  </property>
  <property fmtid="{D5CDD505-2E9C-101B-9397-08002B2CF9AE}" pid="5" name="MSIP_Label_22759de7-3255-46b5-8dfe-736652f9c6c1_SetDate">
    <vt:lpwstr>2025-10-17T07:22:19Z</vt:lpwstr>
  </property>
  <property fmtid="{D5CDD505-2E9C-101B-9397-08002B2CF9AE}" pid="6" name="MSIP_Label_22759de7-3255-46b5-8dfe-736652f9c6c1_Method">
    <vt:lpwstr>Standard</vt:lpwstr>
  </property>
  <property fmtid="{D5CDD505-2E9C-101B-9397-08002B2CF9AE}" pid="7" name="MSIP_Label_22759de7-3255-46b5-8dfe-736652f9c6c1_Name">
    <vt:lpwstr>22759de7-3255-46b5-8dfe-736652f9c6c1</vt:lpwstr>
  </property>
  <property fmtid="{D5CDD505-2E9C-101B-9397-08002B2CF9AE}" pid="8" name="MSIP_Label_22759de7-3255-46b5-8dfe-736652f9c6c1_SiteId">
    <vt:lpwstr>c6ac664b-ae27-4d5d-b4e6-bb5717196fc7</vt:lpwstr>
  </property>
  <property fmtid="{D5CDD505-2E9C-101B-9397-08002B2CF9AE}" pid="9" name="MSIP_Label_22759de7-3255-46b5-8dfe-736652f9c6c1_ActionId">
    <vt:lpwstr>2ee91c24-894f-4a1f-badc-7fb9ef497e1b</vt:lpwstr>
  </property>
  <property fmtid="{D5CDD505-2E9C-101B-9397-08002B2CF9AE}" pid="10" name="MSIP_Label_22759de7-3255-46b5-8dfe-736652f9c6c1_ContentBits">
    <vt:lpwstr>0</vt:lpwstr>
  </property>
  <property fmtid="{D5CDD505-2E9C-101B-9397-08002B2CF9AE}" pid="11" name="MSIP_Label_22759de7-3255-46b5-8dfe-736652f9c6c1_Tag">
    <vt:lpwstr>10, 3, 0, 2</vt:lpwstr>
  </property>
</Properties>
</file>