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ckenzieStuart(Energ\Downloads\"/>
    </mc:Choice>
  </mc:AlternateContent>
  <xr:revisionPtr revIDLastSave="0" documentId="8_{9B3D567F-DD60-495C-8BEF-61200EC23C8A}" xr6:coauthVersionLast="47" xr6:coauthVersionMax="47" xr10:uidLastSave="{00000000-0000-0000-0000-000000000000}"/>
  <bookViews>
    <workbookView xWindow="0" yWindow="740" windowWidth="19200" windowHeight="1126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8" i="14" l="1"/>
  <c r="S48" i="14"/>
  <c r="S47" i="14"/>
  <c r="U47" i="14" s="1"/>
  <c r="T47" i="14"/>
  <c r="V47" i="14" s="1"/>
  <c r="T35" i="14"/>
  <c r="T34" i="14"/>
  <c r="S16" i="14"/>
  <c r="U16" i="14" s="1"/>
  <c r="T16" i="14"/>
  <c r="V16" i="14" s="1"/>
  <c r="T6" i="14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3" i="14"/>
  <c r="T44" i="14"/>
  <c r="T45" i="14"/>
  <c r="T46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X47" i="14" l="1"/>
  <c r="W47" i="14"/>
  <c r="W48" i="14"/>
  <c r="U48" i="14"/>
  <c r="X48" i="14"/>
  <c r="V48" i="14"/>
  <c r="X16" i="14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46" i="14" l="1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X6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<sst xmlns="http://schemas.openxmlformats.org/spreadsheetml/2006/main" count="378" uniqueCount="175">
  <si>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</si>
  <si>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</si>
  <si>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</si>
  <si>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</si>
  <si>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</si>
  <si>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</si>
  <si>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</si>
  <si>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</si>
  <si>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</si>
  <si>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</si>
  <si>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</si>
  <si>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</si>
  <si>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</si>
  <si>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</si>
  <si>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</si>
  <si>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</si>
  <si>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</si>
  <si>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</si>
  <si>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</si>
  <si>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</si>
  <si>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</si>
  <si>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</si>
  <si>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</si>
  <si>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</si>
  <si>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</si>
  <si>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</si>
  <si>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</si>
  <si>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</si>
  <si>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</si>
  <si>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</si>
  <si>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</si>
  <si>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</si>
  <si>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</si>
  <si>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</si>
  <si>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</si>
  <si>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</si>
  <si>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</si>
  <si>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</si>
  <si>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</si>
  <si>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</si>
  <si>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</si>
  <si>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</si>
  <si>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</si>
  <si>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</si>
  <si>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</si>
  <si>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</si>
  <si>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</si>
  <si>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</si>
  <si>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</si>
  <si>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</si>
  <si>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</si>
  <si>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</si>
  <si>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</si>
  <si>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</si>
  <si>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</si>
  <si>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</si>
  <si>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</si>
  <si>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</si>
  <si>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</si>
  <si>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</si>
  <si>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</si>
  <si>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</si>
  <si>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</si>
  <si>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</si>
  <si>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</si>
  <si>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</si>
  <si>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</si>
  <si>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</si>
  <si>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</si>
  <si>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</si>
  <si>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</si>
  <si>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</si>
  <si>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</si>
  <si>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</si>
  <si>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</si>
  <si>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</si>
  <si>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</si>
  <si>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</si>
  <si>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</si>
  <si>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</si>
  <si>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</si>
  <si>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</si>
  <si>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</si>
  <si>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</si>
  <si>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</si>
  <si>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</si>
  <si>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</si>
  <si>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</si>
  <si>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</si>
  <si>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</si>
  <si>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</si>
  <si>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</si>
  <si>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</si>
  <si>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</si>
  <si>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</si>
  <si>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</si>
  <si>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</si>
  <si>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</si>
  <si>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</si>
  <si>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</si>
  <si>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</si>
  <si>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</si>
  <si>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</si>
  <si>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</si>
  <si>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</si>
  <si>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</si>
  <si>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</si>
  <si>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</si>
  <si>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</si>
  <si>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</si>
  <si>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</si>
  <si>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</si>
  <si>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</si>
  <si>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</si>
  <si>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</si>
  <si>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</si>
  <si>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</si>
  <si>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</si>
  <si>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</si>
  <si>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</si>
  <si>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</si>
  <si>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</si>
  <si>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</si>
  <si>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</si>
  <si>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</si>
  <si>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</si>
  <si>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Submitted</t>
  </si>
  <si>
    <t xml:space="preserve">Sizewell C - Pin Piling </t>
  </si>
  <si>
    <t>EDF Energy</t>
  </si>
  <si>
    <t>DCO/2013/00021</t>
  </si>
  <si>
    <t>Soft / slow start and marine mammal obervers</t>
  </si>
  <si>
    <t>Platypus</t>
  </si>
  <si>
    <t>Perenco</t>
  </si>
  <si>
    <t>GS/1976/0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</si>
  <si>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</si>
  <si>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</si>
  <si>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</si>
  <si>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</si>
  <si>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</si>
  <si>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</si>
  <si>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</si>
  <si>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</si>
  <si>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</si>
  <si>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</si>
  <si>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</si>
  <si>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</si>
  <si>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</si>
  <si>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Hornsea Three - Contingency UXO Clearance (Transmission &amp; Generation) (LO)</t>
  </si>
  <si>
    <t>MLA/2025/00366</t>
  </si>
  <si>
    <t>MMMP ( MMObs, PAM, ADD's), 500m safety zone, Ntms, post-clearance MBES surveys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</si>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</sst>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0" fillId="7" borderId="14" xfId="0" applyFill="1" applyBorder="1" applyProtection="1">
      <protection locked="0"/>
    </xf>
    <xf numFmtId="0" fontId="0" fillId="7" borderId="36" xfId="0" applyFill="1" applyBorder="1" applyAlignment="1" applyProtection="1">
      <alignment horizontal="center" vertical="center" wrapText="1"/>
      <protection locked="0"/>
    </xf>
    <xf numFmtId="0" fontId="18" fillId="14" borderId="36" xfId="0" applyFont="1" applyFill="1" applyBorder="1" applyAlignment="1">
      <alignment horizontal="center" vertical="center"/>
    </xf>
    <xf numFmtId="14" fontId="18" fillId="14" borderId="4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48" totalsRowShown="0" headerRowDxfId="49" dataDxfId="47" headerRowBorderDxfId="48" tableBorderDxfId="46">
  <autoFilter ref="A5:Y48" xr:uid="{78EF7A30-4AE0-4BAB-A154-CAB8F3200FEE}"/>
  <sortState xmlns:xlrd2="http://schemas.microsoft.com/office/spreadsheetml/2017/richdata2" ref="A6:Y48">
    <sortCondition ref="Y5:Y48"/>
  </sortState>
  <tableColumns count="25">
    <tableColumn id="5" xr3:uid="{925033C0-1E6A-4B55-8C0E-2A01A64510A6}" name="Project/Activity Name" dataDxfId="45"/>
    <tableColumn id="7" xr3:uid="{6FBB07DB-2F2B-4881-A3A5-1674E8B8B2E2}" name="Applicant" dataDxfId="44"/>
    <tableColumn id="6" xr3:uid="{300F4350-CA5B-469F-AA6F-9F7F2B4E0266}" name="Regulator" dataDxfId="43"/>
    <tableColumn id="13" xr3:uid="{99CAAD7D-055D-4DA1-9F66-6B629D0AC57F}" name="Activity Type" dataDxfId="42"/>
    <tableColumn id="15" xr3:uid="{9F28C95D-8DD1-4830-80C5-B1015D46C787}" name="Which seasonal area of the SAC does this activity impact?" dataDxfId="41"/>
    <tableColumn id="24" xr3:uid="{DDB37C96-B96B-4002-B571-80E7252C0D12}" name="Quad/Block_x000a_(OPRED only)" dataDxfId="40"/>
    <tableColumn id="1" xr3:uid="{A6214B7B-6DF3-483F-848A-ABB549763EF4}" name="Case Reference" dataDxfId="39"/>
    <tableColumn id="26" xr3:uid="{B6518643-A800-411D-ADAE-733D9D8F5E16}" name="Wildlife Licence Reference" dataDxfId="38"/>
    <tableColumn id="4" xr3:uid="{840E864E-2B92-4F43-9F26-B212D5B1E390}" name="Case Status" dataDxfId="37"/>
    <tableColumn id="3" xr3:uid="{DC4A56A0-494C-494C-B196-DFA8DA1E7F0C}" name="Tracker Last Updated" dataDxfId="36"/>
    <tableColumn id="10" xr3:uid="{51F1810E-D4C4-410A-9E97-A9F1047E065D}" name="Start Date" dataDxfId="35"/>
    <tableColumn id="11" xr3:uid="{AF6FE6ED-3C4F-4713-A7D7-324F967EAB9D}" name="End Date" dataDxfId="34"/>
    <tableColumn id="12" xr3:uid="{4D9B6AB6-D613-4949-8C6D-6E933CC092F7}" name="Duration of Activity Impacting SAC (days)" dataDxfId="33"/>
    <tableColumn id="25" xr3:uid="{A1C1BA4E-A0E2-4EFD-BC00-92236C8B8ACD}" name="Area Overlap with SAC (km2)" dataDxfId="32"/>
    <tableColumn id="18" xr3:uid="{2FE19C17-2277-4F3C-9747-B4F55AD1B0B8}" name="Magnitude_x000a_(OPRED only)" dataDxfId="31"/>
    <tableColumn id="8" xr3:uid="{6C246670-77CE-474B-AE5B-3CC1803742C7}" name="Area Overlap with Summer SAC (km2) (NEW)" dataDxfId="30"/>
    <tableColumn id="14" xr3:uid="{2A3EED6C-4C94-4FE9-879B-5E4DEEA3245D}" name="Area Overlap with Winter SAC (km2) (NEW)" dataDxfId="29"/>
    <tableColumn id="16" xr3:uid="{96F810BE-FCDB-43B4-B983-D6137C44FE15}" name="Abatement/Mitigation_x000a_(MMO only)" dataDxfId="28"/>
    <tableColumn id="19" xr3:uid="{389684A2-0D5E-4DF1-9667-148D02562C30}" name="Include in Winter Calendar" dataDxfId="27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26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25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4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3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2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0">
  <autoFilter ref="B12:J51" xr:uid="{02B4AB80-8AC4-47D5-8C15-7A71D7753D4B}"/>
  <tableColumns count="9">
    <tableColumn id="1" xr3:uid="{89973DC1-CE94-4249-BAA1-87C40CF0932A}" name="Project name" dataDxfId="19">
      <calculatedColumnFormula>IFERROR(_xlfn.XLOOKUP(A13,Table13[TrackerID],Table13[Project/Activity Name]),"")</calculatedColumnFormula>
    </tableColumn>
    <tableColumn id="2" xr3:uid="{3F54B527-6D35-48DF-9B5A-F52425B1A0BF}" name="Activity Type" dataDxfId="18">
      <calculatedColumnFormula>IFERROR(_xlfn.XLOOKUP(A13,Table13[TrackerID],Table13[Activity Type]),"")</calculatedColumnFormula>
    </tableColumn>
    <tableColumn id="3" xr3:uid="{B9B4775D-287F-4987-A48A-F9A2D9397551}" name="Proposed Start Date" dataDxfId="17">
      <calculatedColumnFormula>IFERROR(_xlfn.XLOOKUP(A13,Table13[TrackerID],Table13[Start Date]),"")</calculatedColumnFormula>
    </tableColumn>
    <tableColumn id="4" xr3:uid="{7F51CC69-4F0D-4AC1-AAF7-0D1D7DC1BE5F}" name="Proposed End Date" dataDxfId="16">
      <calculatedColumnFormula>IFERROR(_xlfn.XLOOKUP(A13,Table13[TrackerID],Table13[End Date]),"")</calculatedColumnFormula>
    </tableColumn>
    <tableColumn id="5" xr3:uid="{C540FF98-981C-4A62-840F-411477A4FCD3}" name="Proposed days" dataDxfId="15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4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3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2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1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48"/>
  <sheetViews>
    <sheetView tabSelected="1" zoomScale="60" zoomScaleNormal="60" workbookViewId="0">
      <selection activeCell="G37" sqref="G37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17" t="s">
        <v>0</v>
      </c>
      <c r="B2" s="11"/>
      <c r="C2" s="119" t="s">
        <v>1</v>
      </c>
      <c r="D2" s="120"/>
      <c r="E2" s="121"/>
      <c r="F2" s="23"/>
      <c r="G2" s="122" t="s">
        <v>2</v>
      </c>
      <c r="H2" s="12">
        <v>45931</v>
      </c>
      <c r="I2" s="124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18"/>
      <c r="B3" s="11"/>
      <c r="C3" s="126" t="s">
        <v>6</v>
      </c>
      <c r="D3" s="127"/>
      <c r="E3" s="128"/>
      <c r="F3" s="23"/>
      <c r="G3" s="123"/>
      <c r="H3" s="13">
        <v>46112</v>
      </c>
      <c r="I3" s="125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 x14ac:dyDescent="0.35">
      <c r="A6" s="74" t="s">
        <v>34</v>
      </c>
      <c r="B6" s="75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9" t="s">
        <v>40</v>
      </c>
      <c r="J6" s="82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7">
        <f>IF(Table13[[#This Row],[Include in Winter Calendar]],Table13[[#This Row],[Area Overlap with Winter SAC (km2) (NEW)]]*100/$M$3,0)</f>
        <v>0</v>
      </c>
      <c r="V6" s="87">
        <f>IF(Table13[[#This Row],[Include in Summer Calendar]],Table13[[#This Row],[Area Overlap with Summer SAC (km2) (NEW)]]*100/$M$2,0)</f>
        <v>0</v>
      </c>
      <c r="W6" s="63">
        <f>IF(Table13[[#This Row],[Include in Winter Calendar]],Table13[[#This Row],[Area Overlap with SAC (km2)]]*100/$M$3,0)</f>
        <v>0</v>
      </c>
      <c r="X6" s="63">
        <f>IF(Table13[[#This Row],[Include in Summer Calendar]],Table13[[#This Row],[Area Overlap with SAC (km2)]]*100/$M$2,0)</f>
        <v>10.629717330176113</v>
      </c>
      <c r="Y6" s="64">
        <v>6</v>
      </c>
    </row>
    <row r="7" spans="1:25" s="1" customFormat="1" ht="39" customHeight="1" x14ac:dyDescent="0.35">
      <c r="A7" s="74" t="s">
        <v>41</v>
      </c>
      <c r="B7" s="76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9" t="s">
        <v>40</v>
      </c>
      <c r="J7" s="82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0.55756992748261058</v>
      </c>
      <c r="Y7" s="61">
        <v>7</v>
      </c>
    </row>
    <row r="8" spans="1:25" s="1" customFormat="1" ht="39" customHeight="1" x14ac:dyDescent="0.35">
      <c r="A8" s="74" t="s">
        <v>43</v>
      </c>
      <c r="B8" s="76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9" t="s">
        <v>40</v>
      </c>
      <c r="J8" s="83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8">
        <f>IF(Table13[[#This Row],[Include in Winter Calendar]],Table13[[#This Row],[Area Overlap with Winter SAC (km2) (NEW)]]*100/$M$3,0)</f>
        <v>0</v>
      </c>
      <c r="V8" s="88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7.3997336095900552E-4</v>
      </c>
      <c r="Y8" s="64">
        <v>9</v>
      </c>
    </row>
    <row r="9" spans="1:25" s="1" customFormat="1" ht="39" customHeight="1" x14ac:dyDescent="0.35">
      <c r="A9" s="74" t="s">
        <v>46</v>
      </c>
      <c r="B9" s="76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9" t="s">
        <v>50</v>
      </c>
      <c r="J9" s="83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8">
        <f>IF(Table13[[#This Row],[Include in Winter Calendar]],Table13[[#This Row],[Area Overlap with Winter SAC (km2) (NEW)]]*100/$M$3,0)</f>
        <v>0</v>
      </c>
      <c r="V9" s="88">
        <f>IF(Table13[[#This Row],[Include in Summer Calendar]],Table13[[#This Row],[Area Overlap with Summer SAC (km2) (NEW)]]*100/$M$2,0)</f>
        <v>0</v>
      </c>
      <c r="W9" s="58">
        <f>IF(Table13[[#This Row],[Include in Winter Calendar]],Table13[[#This Row],[Area Overlap with SAC (km2)]]*100/$M$3,0)</f>
        <v>15.178008821676119</v>
      </c>
      <c r="X9" s="58">
        <f>IF(Table13[[#This Row],[Include in Summer Calendar]],Table13[[#This Row],[Area Overlap with SAC (km2)]]*100/$M$2,0)</f>
        <v>7.1296433328400175</v>
      </c>
      <c r="Y9" s="61">
        <v>10</v>
      </c>
    </row>
    <row r="10" spans="1:25" s="1" customFormat="1" ht="39" customHeight="1" x14ac:dyDescent="0.35">
      <c r="A10" s="74" t="s">
        <v>51</v>
      </c>
      <c r="B10" s="76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9" t="s">
        <v>50</v>
      </c>
      <c r="J10" s="83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8">
        <f>IF(Table13[[#This Row],[Include in Winter Calendar]],Table13[[#This Row],[Area Overlap with Winter SAC (km2) (NEW)]]*100/$M$3,0)</f>
        <v>0</v>
      </c>
      <c r="V10" s="88">
        <f>IF(Table13[[#This Row],[Include in Summer Calendar]],Table13[[#This Row],[Area Overlap with Summer SAC (km2) (NEW)]]*100/$M$2,0)</f>
        <v>0</v>
      </c>
      <c r="W10" s="58">
        <f>IF(Table13[[#This Row],[Include in Winter Calendar]],Table13[[#This Row],[Area Overlap with SAC (km2)]]*100/$M$3,0)</f>
        <v>0</v>
      </c>
      <c r="X10" s="58">
        <f>IF(Table13[[#This Row],[Include in Summer Calendar]],Table13[[#This Row],[Area Overlap with SAC (km2)]]*100/$M$2,0)</f>
        <v>0</v>
      </c>
      <c r="Y10" s="61">
        <v>11</v>
      </c>
    </row>
    <row r="11" spans="1:25" s="1" customFormat="1" ht="39" customHeight="1" x14ac:dyDescent="0.35">
      <c r="A11" s="74" t="s">
        <v>54</v>
      </c>
      <c r="B11" s="76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9" t="s">
        <v>40</v>
      </c>
      <c r="J11" s="83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58">
        <f>IF(Table13[[#This Row],[Include in Winter Calendar]],Table13[[#This Row],[Area Overlap with SAC (km2)]]*100/$M$3,0)</f>
        <v>0</v>
      </c>
      <c r="X11" s="58">
        <f>IF(Table13[[#This Row],[Include in Summer Calendar]],Table13[[#This Row],[Area Overlap with SAC (km2)]]*100/$M$2,0)</f>
        <v>2.6121059641852895</v>
      </c>
      <c r="Y11" s="64">
        <v>12</v>
      </c>
    </row>
    <row r="12" spans="1:25" s="1" customFormat="1" ht="39" customHeight="1" x14ac:dyDescent="0.35">
      <c r="A12" s="74" t="s">
        <v>56</v>
      </c>
      <c r="B12" s="76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9" t="s">
        <v>40</v>
      </c>
      <c r="J12" s="83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0.62224322621298045</v>
      </c>
      <c r="X12" s="58">
        <f>IF(Table13[[#This Row],[Include in Summer Calendar]],Table13[[#This Row],[Area Overlap with SAC (km2)]]*100/$M$2,0)</f>
        <v>0.29228947757880719</v>
      </c>
      <c r="Y12" s="61">
        <v>14</v>
      </c>
    </row>
    <row r="13" spans="1:25" s="1" customFormat="1" ht="39" customHeight="1" x14ac:dyDescent="0.35">
      <c r="A13" s="74" t="s">
        <v>59</v>
      </c>
      <c r="B13" s="77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9" t="s">
        <v>40</v>
      </c>
      <c r="J13" s="82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0.42548468255142813</v>
      </c>
      <c r="Y13" s="61">
        <v>16</v>
      </c>
    </row>
    <row r="14" spans="1:25" ht="39" customHeight="1" x14ac:dyDescent="0.35">
      <c r="A14" s="74" t="s">
        <v>65</v>
      </c>
      <c r="B14" s="77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9" t="s">
        <v>40</v>
      </c>
      <c r="J14" s="82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0.44768388338019832</v>
      </c>
      <c r="Y14" s="61">
        <v>17</v>
      </c>
    </row>
    <row r="15" spans="1:25" s="3" customFormat="1" ht="39" customHeight="1" x14ac:dyDescent="0.35">
      <c r="A15" s="74" t="s">
        <v>68</v>
      </c>
      <c r="B15" s="76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9" t="s">
        <v>40</v>
      </c>
      <c r="J15" s="83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0.29228947757880719</v>
      </c>
      <c r="Y15" s="64">
        <v>21</v>
      </c>
    </row>
    <row r="16" spans="1:25" s="3" customFormat="1" ht="39" customHeight="1" x14ac:dyDescent="0.35">
      <c r="A16" s="74" t="s">
        <v>71</v>
      </c>
      <c r="B16" s="76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9" t="s">
        <v>40</v>
      </c>
      <c r="J16" s="83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0.29228947757880719</v>
      </c>
      <c r="Y16" s="61">
        <v>22</v>
      </c>
    </row>
    <row r="17" spans="1:25" ht="39" customHeight="1" x14ac:dyDescent="0.35">
      <c r="A17" s="74" t="s">
        <v>73</v>
      </c>
      <c r="B17" s="76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9" t="s">
        <v>40</v>
      </c>
      <c r="J17" s="83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2.6158058309900842</v>
      </c>
      <c r="Y17" s="61">
        <v>23</v>
      </c>
    </row>
    <row r="18" spans="1:25" ht="39" customHeight="1" x14ac:dyDescent="0.35">
      <c r="A18" s="74" t="s">
        <v>76</v>
      </c>
      <c r="B18" s="77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80" t="s">
        <v>40</v>
      </c>
      <c r="J18" s="82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1.7426372650584578</v>
      </c>
      <c r="Y18" s="64">
        <v>27</v>
      </c>
    </row>
    <row r="19" spans="1:25" ht="102.65" customHeight="1" x14ac:dyDescent="0.35">
      <c r="A19" s="74" t="s">
        <v>79</v>
      </c>
      <c r="B19" s="76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3"/>
      <c r="I19" s="79" t="s">
        <v>40</v>
      </c>
      <c r="J19" s="82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2.9524937102264319</v>
      </c>
      <c r="Y19" s="61">
        <v>28</v>
      </c>
    </row>
    <row r="20" spans="1:25" s="3" customFormat="1" ht="107.15" customHeight="1" x14ac:dyDescent="0.35">
      <c r="A20" s="74" t="s">
        <v>84</v>
      </c>
      <c r="B20" s="76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9" t="s">
        <v>89</v>
      </c>
      <c r="J20" s="83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0</v>
      </c>
      <c r="Y20" s="64">
        <v>30</v>
      </c>
    </row>
    <row r="21" spans="1:25" s="3" customFormat="1" ht="39" customHeight="1" x14ac:dyDescent="0.35">
      <c r="A21" s="74" t="s">
        <v>90</v>
      </c>
      <c r="B21" s="76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9" t="s">
        <v>40</v>
      </c>
      <c r="J21" s="83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3.22472990972325</v>
      </c>
      <c r="Y21" s="61">
        <v>31</v>
      </c>
    </row>
    <row r="22" spans="1:25" s="3" customFormat="1" ht="39" customHeight="1" x14ac:dyDescent="0.35">
      <c r="A22" s="74" t="s">
        <v>93</v>
      </c>
      <c r="B22" s="76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9" t="s">
        <v>40</v>
      </c>
      <c r="J22" s="83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7.1347491490306352</v>
      </c>
      <c r="Y22" s="61">
        <v>32</v>
      </c>
    </row>
    <row r="23" spans="1:25" s="3" customFormat="1" ht="39" customHeight="1" x14ac:dyDescent="0.35">
      <c r="A23" s="74" t="s">
        <v>94</v>
      </c>
      <c r="B23" s="76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9" t="s">
        <v>50</v>
      </c>
      <c r="J23" s="83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0.49345123575551281</v>
      </c>
      <c r="Y23" s="64">
        <v>33</v>
      </c>
    </row>
    <row r="24" spans="1:25" s="3" customFormat="1" ht="39" customHeight="1" x14ac:dyDescent="0.35">
      <c r="A24" s="74" t="s">
        <v>97</v>
      </c>
      <c r="B24" s="77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9" t="s">
        <v>50</v>
      </c>
      <c r="J24" s="82">
        <v>45853</v>
      </c>
      <c r="K24" s="8">
        <v>45658</v>
      </c>
      <c r="L24" s="8">
        <v>46022</v>
      </c>
      <c r="M24" s="10">
        <v>365</v>
      </c>
      <c r="N24" s="10">
        <v>5.1000000000000004E-4</v>
      </c>
      <c r="O24" s="9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4.0170132325141782E-6</v>
      </c>
      <c r="X24" s="60">
        <f>IF(Table13[[#This Row],[Include in Summer Calendar]],Table13[[#This Row],[Area Overlap with SAC (km2)]]*100/$M$2,0)</f>
        <v>1.8869320704454641E-6</v>
      </c>
      <c r="Y24" s="61">
        <v>35</v>
      </c>
    </row>
    <row r="25" spans="1:25" s="3" customFormat="1" ht="46.5" customHeight="1" x14ac:dyDescent="0.35">
      <c r="A25" s="74" t="s">
        <v>100</v>
      </c>
      <c r="B25" s="77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9" t="s">
        <v>50</v>
      </c>
      <c r="J25" s="82">
        <v>45853</v>
      </c>
      <c r="K25" s="8">
        <v>45686</v>
      </c>
      <c r="L25" s="8">
        <v>46051</v>
      </c>
      <c r="M25" s="10">
        <v>365</v>
      </c>
      <c r="N25" s="10">
        <v>1.56E-4</v>
      </c>
      <c r="O25" s="95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1.2287334593572778E-6</v>
      </c>
      <c r="X25" s="60">
        <f>IF(Table13[[#This Row],[Include in Summer Calendar]],Table13[[#This Row],[Area Overlap with SAC (km2)]]*100/$M$2,0)</f>
        <v>5.7717922154802425E-7</v>
      </c>
      <c r="Y25" s="64">
        <v>36</v>
      </c>
    </row>
    <row r="26" spans="1:25" ht="39" customHeight="1" x14ac:dyDescent="0.35">
      <c r="A26" s="74" t="s">
        <v>102</v>
      </c>
      <c r="B26" s="77" t="s">
        <v>103</v>
      </c>
      <c r="C26" s="30" t="s">
        <v>36</v>
      </c>
      <c r="D26" s="30" t="s">
        <v>44</v>
      </c>
      <c r="E26" s="31" t="s">
        <v>86</v>
      </c>
      <c r="F26" s="78"/>
      <c r="G26" s="26" t="s">
        <v>104</v>
      </c>
      <c r="H26" s="26"/>
      <c r="I26" s="80" t="s">
        <v>40</v>
      </c>
      <c r="J26" s="82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3.4183994959042217</v>
      </c>
      <c r="X26" s="60">
        <f>IF(Table13[[#This Row],[Include in Summer Calendar]],Table13[[#This Row],[Area Overlap with SAC (km2)]]*100/$M$2,0)</f>
        <v>0</v>
      </c>
      <c r="Y26" s="61">
        <v>40</v>
      </c>
    </row>
    <row r="27" spans="1:25" ht="39" customHeight="1" x14ac:dyDescent="0.35">
      <c r="A27" s="74" t="s">
        <v>105</v>
      </c>
      <c r="B27" s="77" t="s">
        <v>106</v>
      </c>
      <c r="C27" s="30" t="s">
        <v>61</v>
      </c>
      <c r="D27" s="30" t="s">
        <v>107</v>
      </c>
      <c r="E27" s="31" t="s">
        <v>38</v>
      </c>
      <c r="F27" s="84" t="s">
        <v>108</v>
      </c>
      <c r="G27" s="26" t="s">
        <v>109</v>
      </c>
      <c r="H27" s="26"/>
      <c r="I27" s="80" t="s">
        <v>40</v>
      </c>
      <c r="J27" s="82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0</v>
      </c>
      <c r="X27" s="60">
        <f>IF(Table13[[#This Row],[Include in Summer Calendar]],Table13[[#This Row],[Area Overlap with SAC (km2)]]*100/$M$2,0)</f>
        <v>2.6121059641852895</v>
      </c>
      <c r="Y27" s="64">
        <v>45</v>
      </c>
    </row>
    <row r="28" spans="1:25" ht="39" customHeight="1" x14ac:dyDescent="0.35">
      <c r="A28" s="74" t="s">
        <v>111</v>
      </c>
      <c r="B28" s="77" t="s">
        <v>106</v>
      </c>
      <c r="C28" s="30" t="s">
        <v>61</v>
      </c>
      <c r="D28" s="30" t="s">
        <v>107</v>
      </c>
      <c r="E28" s="31" t="s">
        <v>38</v>
      </c>
      <c r="F28" s="84" t="s">
        <v>108</v>
      </c>
      <c r="G28" s="26" t="s">
        <v>112</v>
      </c>
      <c r="H28" s="26"/>
      <c r="I28" s="80" t="s">
        <v>40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1">
        <v>46</v>
      </c>
    </row>
    <row r="29" spans="1:25" ht="39" customHeight="1" x14ac:dyDescent="0.35">
      <c r="A29" s="74" t="s">
        <v>113</v>
      </c>
      <c r="B29" s="77" t="s">
        <v>106</v>
      </c>
      <c r="C29" s="30" t="s">
        <v>61</v>
      </c>
      <c r="D29" s="30" t="s">
        <v>107</v>
      </c>
      <c r="E29" s="31" t="s">
        <v>38</v>
      </c>
      <c r="F29" s="84" t="s">
        <v>108</v>
      </c>
      <c r="G29" s="26" t="s">
        <v>114</v>
      </c>
      <c r="H29" s="26"/>
      <c r="I29" s="80" t="s">
        <v>40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47</v>
      </c>
    </row>
    <row r="30" spans="1:25" ht="39" customHeight="1" x14ac:dyDescent="0.35">
      <c r="A30" s="74" t="s">
        <v>115</v>
      </c>
      <c r="B30" s="77" t="s">
        <v>106</v>
      </c>
      <c r="C30" s="30" t="s">
        <v>61</v>
      </c>
      <c r="D30" s="30" t="s">
        <v>107</v>
      </c>
      <c r="E30" s="31" t="s">
        <v>38</v>
      </c>
      <c r="F30" s="84" t="s">
        <v>108</v>
      </c>
      <c r="G30" s="26" t="s">
        <v>116</v>
      </c>
      <c r="H30" s="26"/>
      <c r="I30" s="80" t="s">
        <v>40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4">
        <v>48</v>
      </c>
    </row>
    <row r="31" spans="1:25" ht="39" customHeight="1" x14ac:dyDescent="0.35">
      <c r="A31" s="74" t="s">
        <v>117</v>
      </c>
      <c r="B31" s="77" t="s">
        <v>60</v>
      </c>
      <c r="C31" s="30" t="s">
        <v>61</v>
      </c>
      <c r="D31" s="30" t="s">
        <v>44</v>
      </c>
      <c r="E31" s="31" t="s">
        <v>48</v>
      </c>
      <c r="F31" s="84" t="s">
        <v>66</v>
      </c>
      <c r="G31" s="26" t="s">
        <v>118</v>
      </c>
      <c r="H31" s="26"/>
      <c r="I31" s="80" t="s">
        <v>50</v>
      </c>
      <c r="J31" s="82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0.77977315689981097</v>
      </c>
      <c r="X31" s="60">
        <f>IF(Table13[[#This Row],[Include in Summer Calendar]],Table13[[#This Row],[Area Overlap with SAC (km2)]]*100/$M$2,0)</f>
        <v>0.36628681367470772</v>
      </c>
      <c r="Y31" s="61">
        <v>49</v>
      </c>
    </row>
    <row r="32" spans="1:25" ht="39" customHeight="1" x14ac:dyDescent="0.35">
      <c r="A32" s="74" t="s">
        <v>120</v>
      </c>
      <c r="B32" s="77" t="s">
        <v>60</v>
      </c>
      <c r="C32" s="30" t="s">
        <v>61</v>
      </c>
      <c r="D32" s="30" t="s">
        <v>80</v>
      </c>
      <c r="E32" s="31" t="s">
        <v>38</v>
      </c>
      <c r="F32" s="84" t="s">
        <v>66</v>
      </c>
      <c r="G32" s="26" t="s">
        <v>121</v>
      </c>
      <c r="H32" s="26"/>
      <c r="I32" s="80" t="s">
        <v>50</v>
      </c>
      <c r="J32" s="82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</v>
      </c>
      <c r="X32" s="60">
        <f>IF(Table13[[#This Row],[Include in Summer Calendar]],Table13[[#This Row],[Area Overlap with SAC (km2)]]*100/$M$2,0)</f>
        <v>2.7527009027675002</v>
      </c>
      <c r="Y32" s="64">
        <v>51</v>
      </c>
    </row>
    <row r="33" spans="1:25" ht="39" customHeight="1" x14ac:dyDescent="0.35">
      <c r="A33" s="74" t="s">
        <v>123</v>
      </c>
      <c r="B33" s="77" t="s">
        <v>124</v>
      </c>
      <c r="C33" s="30" t="s">
        <v>61</v>
      </c>
      <c r="D33" s="30" t="s">
        <v>44</v>
      </c>
      <c r="E33" s="31" t="s">
        <v>48</v>
      </c>
      <c r="F33" s="84" t="s">
        <v>66</v>
      </c>
      <c r="G33" s="28" t="s">
        <v>125</v>
      </c>
      <c r="H33" s="28"/>
      <c r="I33" s="80" t="s">
        <v>126</v>
      </c>
      <c r="J33" s="82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9.4517958412098299E-2</v>
      </c>
      <c r="X33" s="60">
        <f>IF(Table13[[#This Row],[Include in Summer Calendar]],Table13[[#This Row],[Area Overlap with SAC (km2)]]*100/$M$2,0)</f>
        <v>4.4398401657540332E-2</v>
      </c>
      <c r="Y33" s="61">
        <v>52</v>
      </c>
    </row>
    <row r="34" spans="1:25" ht="29" x14ac:dyDescent="0.35">
      <c r="A34" s="74" t="s">
        <v>127</v>
      </c>
      <c r="B34" s="77" t="s">
        <v>128</v>
      </c>
      <c r="C34" s="30" t="s">
        <v>36</v>
      </c>
      <c r="D34" s="30" t="s">
        <v>55</v>
      </c>
      <c r="E34" s="31" t="s">
        <v>86</v>
      </c>
      <c r="F34" s="78"/>
      <c r="G34" s="26" t="s">
        <v>129</v>
      </c>
      <c r="H34" s="28"/>
      <c r="I34" s="94" t="s">
        <v>126</v>
      </c>
      <c r="J34" s="82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7.8764965343415246E-4</v>
      </c>
      <c r="X34" s="60">
        <f>IF(Table13[[#This Row],[Include in Summer Calendar]],Table13[[#This Row],[Area Overlap with SAC (km2)]]*100/$M$2,0)</f>
        <v>0</v>
      </c>
      <c r="Y34" s="61">
        <v>53</v>
      </c>
    </row>
    <row r="35" spans="1:25" ht="29" x14ac:dyDescent="0.35">
      <c r="A35" s="74" t="s">
        <v>127</v>
      </c>
      <c r="B35" s="77" t="s">
        <v>128</v>
      </c>
      <c r="C35" s="30" t="s">
        <v>36</v>
      </c>
      <c r="D35" s="30" t="s">
        <v>55</v>
      </c>
      <c r="E35" s="31" t="s">
        <v>86</v>
      </c>
      <c r="F35" s="78"/>
      <c r="G35" s="26" t="s">
        <v>129</v>
      </c>
      <c r="H35" s="28"/>
      <c r="I35" s="80" t="s">
        <v>126</v>
      </c>
      <c r="J35" s="82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7.8764965343415246E-4</v>
      </c>
      <c r="X35" s="60">
        <f>IF(Table13[[#This Row],[Include in Summer Calendar]],Table13[[#This Row],[Area Overlap with SAC (km2)]]*100/$M$2,0)</f>
        <v>0</v>
      </c>
      <c r="Y35" s="64">
        <v>54</v>
      </c>
    </row>
    <row r="36" spans="1:25" ht="18.5" x14ac:dyDescent="0.35">
      <c r="A36" s="74" t="s">
        <v>131</v>
      </c>
      <c r="B36" s="77" t="s">
        <v>132</v>
      </c>
      <c r="C36" s="30" t="s">
        <v>61</v>
      </c>
      <c r="D36" s="30" t="s">
        <v>44</v>
      </c>
      <c r="E36" s="31" t="s">
        <v>38</v>
      </c>
      <c r="F36" s="78"/>
      <c r="G36" s="26" t="s">
        <v>133</v>
      </c>
      <c r="H36" s="28"/>
      <c r="I36" s="80" t="s">
        <v>50</v>
      </c>
      <c r="J36" s="82">
        <v>45915</v>
      </c>
      <c r="K36" s="8">
        <v>45915</v>
      </c>
      <c r="L36" s="8">
        <v>45930</v>
      </c>
      <c r="M36" s="10">
        <v>15</v>
      </c>
      <c r="N36" s="10">
        <v>275.2</v>
      </c>
      <c r="O36" s="43"/>
      <c r="P36" s="38"/>
      <c r="Q36" s="38"/>
      <c r="R36" s="10"/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1.0182033446795915</v>
      </c>
      <c r="Y36" s="61">
        <v>61</v>
      </c>
    </row>
    <row r="37" spans="1:25" ht="43.5" x14ac:dyDescent="0.35">
      <c r="A37" s="74" t="s">
        <v>134</v>
      </c>
      <c r="B37" s="77" t="s">
        <v>60</v>
      </c>
      <c r="C37" s="30" t="s">
        <v>61</v>
      </c>
      <c r="D37" s="30" t="s">
        <v>57</v>
      </c>
      <c r="E37" s="31" t="s">
        <v>38</v>
      </c>
      <c r="F37" s="78"/>
      <c r="G37" s="26"/>
      <c r="H37" s="26"/>
      <c r="I37" s="80"/>
      <c r="J37" s="82">
        <v>45966</v>
      </c>
      <c r="K37" s="8">
        <v>46113</v>
      </c>
      <c r="L37" s="8">
        <v>46295</v>
      </c>
      <c r="M37" s="10">
        <v>10</v>
      </c>
      <c r="N37" s="10">
        <v>100</v>
      </c>
      <c r="O37" s="43"/>
      <c r="P37" s="38"/>
      <c r="Q37" s="38"/>
      <c r="R37" s="9" t="s">
        <v>135</v>
      </c>
      <c r="S3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0.36998668047950273</v>
      </c>
      <c r="Y37" s="61">
        <v>65</v>
      </c>
    </row>
    <row r="38" spans="1:25" ht="43.5" x14ac:dyDescent="0.35">
      <c r="A38" s="74" t="s">
        <v>136</v>
      </c>
      <c r="B38" s="77" t="s">
        <v>60</v>
      </c>
      <c r="C38" s="30" t="s">
        <v>61</v>
      </c>
      <c r="D38" s="30" t="s">
        <v>74</v>
      </c>
      <c r="E38" s="31" t="s">
        <v>38</v>
      </c>
      <c r="F38" s="78"/>
      <c r="G38" s="26"/>
      <c r="H38" s="26"/>
      <c r="I38" s="80"/>
      <c r="J38" s="82">
        <v>45966</v>
      </c>
      <c r="K38" s="8">
        <v>46113</v>
      </c>
      <c r="L38" s="8">
        <v>46295</v>
      </c>
      <c r="M38" s="10">
        <v>3</v>
      </c>
      <c r="N38" s="10">
        <v>1950</v>
      </c>
      <c r="O38" s="43"/>
      <c r="P38" s="38"/>
      <c r="Q38" s="38"/>
      <c r="R38" s="9" t="s">
        <v>135</v>
      </c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7.2147402693503038</v>
      </c>
      <c r="Y38" s="64">
        <v>66</v>
      </c>
    </row>
    <row r="39" spans="1:25" ht="43.5" x14ac:dyDescent="0.35">
      <c r="A39" s="74" t="s">
        <v>137</v>
      </c>
      <c r="B39" s="77" t="s">
        <v>60</v>
      </c>
      <c r="C39" s="30" t="s">
        <v>61</v>
      </c>
      <c r="D39" s="30" t="s">
        <v>44</v>
      </c>
      <c r="E39" s="31" t="s">
        <v>38</v>
      </c>
      <c r="F39" s="78"/>
      <c r="G39" s="26"/>
      <c r="H39" s="26"/>
      <c r="I39" s="80"/>
      <c r="J39" s="82">
        <v>45966</v>
      </c>
      <c r="K39" s="8">
        <v>46143</v>
      </c>
      <c r="L39" s="8">
        <v>46203</v>
      </c>
      <c r="M39" s="10">
        <v>5</v>
      </c>
      <c r="N39" s="10">
        <v>650</v>
      </c>
      <c r="O39" s="43"/>
      <c r="P39" s="38"/>
      <c r="Q39" s="38"/>
      <c r="R39" s="9" t="s">
        <v>135</v>
      </c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2.4049134231167679</v>
      </c>
      <c r="Y39" s="61">
        <v>67</v>
      </c>
    </row>
    <row r="40" spans="1:25" ht="43.5" x14ac:dyDescent="0.35">
      <c r="A40" s="74" t="s">
        <v>138</v>
      </c>
      <c r="B40" s="77" t="s">
        <v>60</v>
      </c>
      <c r="C40" s="30" t="s">
        <v>61</v>
      </c>
      <c r="D40" s="30" t="s">
        <v>55</v>
      </c>
      <c r="E40" s="31" t="s">
        <v>38</v>
      </c>
      <c r="F40" s="78"/>
      <c r="G40" s="26"/>
      <c r="H40" s="28"/>
      <c r="I40" s="80"/>
      <c r="J40" s="82">
        <v>45966</v>
      </c>
      <c r="K40" s="8">
        <v>46204</v>
      </c>
      <c r="L40" s="8">
        <v>46265</v>
      </c>
      <c r="M40" s="10">
        <v>6</v>
      </c>
      <c r="N40" s="10">
        <v>700</v>
      </c>
      <c r="O40" s="43"/>
      <c r="P40" s="38"/>
      <c r="Q40" s="38"/>
      <c r="R40" s="9" t="s">
        <v>135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2.5899067633565194</v>
      </c>
      <c r="Y40" s="61">
        <v>68</v>
      </c>
    </row>
    <row r="41" spans="1:25" ht="58" x14ac:dyDescent="0.35">
      <c r="A41" s="74" t="s">
        <v>139</v>
      </c>
      <c r="B41" s="77" t="s">
        <v>60</v>
      </c>
      <c r="C41" s="30" t="s">
        <v>61</v>
      </c>
      <c r="D41" s="30" t="s">
        <v>80</v>
      </c>
      <c r="E41" s="31" t="s">
        <v>38</v>
      </c>
      <c r="F41" s="78"/>
      <c r="G41" s="26"/>
      <c r="H41" s="26"/>
      <c r="I41" s="80"/>
      <c r="J41" s="82">
        <v>45966</v>
      </c>
      <c r="K41" s="8">
        <v>46113</v>
      </c>
      <c r="L41" s="8">
        <v>46203</v>
      </c>
      <c r="M41" s="10">
        <v>18</v>
      </c>
      <c r="N41" s="10">
        <v>800</v>
      </c>
      <c r="O41" s="43"/>
      <c r="P41" s="38"/>
      <c r="Q41" s="38"/>
      <c r="R41" s="9" t="s">
        <v>140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2.9598934438360218</v>
      </c>
      <c r="Y41" s="64">
        <v>69</v>
      </c>
    </row>
    <row r="42" spans="1:25" ht="58" x14ac:dyDescent="0.35">
      <c r="A42" s="74" t="s">
        <v>141</v>
      </c>
      <c r="B42" s="77" t="s">
        <v>60</v>
      </c>
      <c r="C42" s="30" t="s">
        <v>61</v>
      </c>
      <c r="D42" s="30" t="s">
        <v>80</v>
      </c>
      <c r="E42" s="31" t="s">
        <v>38</v>
      </c>
      <c r="F42" s="78"/>
      <c r="G42" s="26"/>
      <c r="H42" s="26"/>
      <c r="I42" s="80"/>
      <c r="J42" s="82">
        <v>45966</v>
      </c>
      <c r="K42" s="8">
        <v>46113</v>
      </c>
      <c r="L42" s="8">
        <v>46295</v>
      </c>
      <c r="M42" s="10">
        <v>3</v>
      </c>
      <c r="N42" s="10">
        <v>450</v>
      </c>
      <c r="O42" s="43"/>
      <c r="P42" s="38"/>
      <c r="Q42" s="38"/>
      <c r="R42" s="9" t="s">
        <v>142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1.6649400621577624</v>
      </c>
      <c r="Y42" s="61">
        <v>70</v>
      </c>
    </row>
    <row r="43" spans="1:25" ht="58" x14ac:dyDescent="0.35">
      <c r="A43" s="74" t="s">
        <v>143</v>
      </c>
      <c r="B43" s="77" t="s">
        <v>60</v>
      </c>
      <c r="C43" s="30" t="s">
        <v>61</v>
      </c>
      <c r="D43" s="30" t="s">
        <v>80</v>
      </c>
      <c r="E43" s="31" t="s">
        <v>38</v>
      </c>
      <c r="F43" s="78"/>
      <c r="G43" s="26"/>
      <c r="H43" s="26"/>
      <c r="I43" s="80"/>
      <c r="J43" s="82">
        <v>45966</v>
      </c>
      <c r="K43" s="8">
        <v>46113</v>
      </c>
      <c r="L43" s="8">
        <v>46203</v>
      </c>
      <c r="M43" s="10">
        <v>2</v>
      </c>
      <c r="N43" s="10">
        <v>800</v>
      </c>
      <c r="O43" s="43"/>
      <c r="P43" s="38"/>
      <c r="Q43" s="38"/>
      <c r="R43" s="9" t="s">
        <v>140</v>
      </c>
      <c r="S4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89">
        <f>IF(Table13[[#This Row],[Include in Winter Calendar]],Table13[[#This Row],[Area Overlap with Winter SAC (km2) (NEW)]]*100/$M$3,0)</f>
        <v>0</v>
      </c>
      <c r="V43" s="89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2.9598934438360218</v>
      </c>
      <c r="Y43" s="61">
        <v>71</v>
      </c>
    </row>
    <row r="44" spans="1:25" ht="18.5" x14ac:dyDescent="0.35">
      <c r="A44" s="74" t="s">
        <v>144</v>
      </c>
      <c r="B44" s="77" t="s">
        <v>98</v>
      </c>
      <c r="C44" s="30" t="s">
        <v>36</v>
      </c>
      <c r="D44" s="30" t="s">
        <v>74</v>
      </c>
      <c r="E44" s="31" t="s">
        <v>38</v>
      </c>
      <c r="F44" s="78"/>
      <c r="G44" s="26" t="s">
        <v>145</v>
      </c>
      <c r="H44" s="26"/>
      <c r="I44" s="80" t="s">
        <v>126</v>
      </c>
      <c r="J44" s="82">
        <v>45951</v>
      </c>
      <c r="K44" s="8">
        <v>46113</v>
      </c>
      <c r="L44" s="8">
        <v>46233</v>
      </c>
      <c r="M44" s="10">
        <v>1</v>
      </c>
      <c r="N44" s="10">
        <v>380.13</v>
      </c>
      <c r="O44" s="43"/>
      <c r="P44" s="38"/>
      <c r="Q44" s="38"/>
      <c r="R44" s="9"/>
      <c r="S4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89">
        <f>IF(Table13[[#This Row],[Include in Winter Calendar]],Table13[[#This Row],[Area Overlap with Winter SAC (km2) (NEW)]]*100/$M$3,0)</f>
        <v>0</v>
      </c>
      <c r="V44" s="89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1.4064303685067339</v>
      </c>
      <c r="Y44" s="61">
        <v>73</v>
      </c>
    </row>
    <row r="45" spans="1:25" ht="18.5" x14ac:dyDescent="0.35">
      <c r="A45" s="74" t="s">
        <v>146</v>
      </c>
      <c r="B45" s="77" t="s">
        <v>47</v>
      </c>
      <c r="C45" s="30" t="s">
        <v>36</v>
      </c>
      <c r="D45" s="30" t="s">
        <v>52</v>
      </c>
      <c r="E45" s="31" t="s">
        <v>48</v>
      </c>
      <c r="F45" s="78"/>
      <c r="G45" s="26" t="s">
        <v>49</v>
      </c>
      <c r="H45" s="26"/>
      <c r="I45" s="80" t="s">
        <v>50</v>
      </c>
      <c r="J45" s="82">
        <v>45986</v>
      </c>
      <c r="K45" s="8">
        <v>45798</v>
      </c>
      <c r="L45" s="8">
        <v>45930</v>
      </c>
      <c r="M45" s="10">
        <v>100</v>
      </c>
      <c r="N45" s="10"/>
      <c r="O45" s="43"/>
      <c r="P45" s="38"/>
      <c r="Q45" s="38"/>
      <c r="R45" s="10" t="s">
        <v>53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</v>
      </c>
      <c r="Y45" s="61">
        <v>74</v>
      </c>
    </row>
    <row r="46" spans="1:25" ht="18.5" x14ac:dyDescent="0.35">
      <c r="A46" s="74" t="s">
        <v>144</v>
      </c>
      <c r="B46" s="77" t="s">
        <v>98</v>
      </c>
      <c r="C46" s="30" t="s">
        <v>36</v>
      </c>
      <c r="D46" s="30" t="s">
        <v>74</v>
      </c>
      <c r="E46" s="31" t="s">
        <v>38</v>
      </c>
      <c r="F46" s="78"/>
      <c r="G46" s="26" t="s">
        <v>145</v>
      </c>
      <c r="H46" s="28"/>
      <c r="I46" s="80" t="s">
        <v>126</v>
      </c>
      <c r="J46" s="82">
        <v>45951</v>
      </c>
      <c r="K46" s="8">
        <v>46113</v>
      </c>
      <c r="L46" s="8">
        <v>46233</v>
      </c>
      <c r="M46" s="96">
        <v>1</v>
      </c>
      <c r="N46" s="96">
        <v>380.13</v>
      </c>
      <c r="O46" s="43"/>
      <c r="P46" s="38"/>
      <c r="Q46" s="38"/>
      <c r="R46" s="9"/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1.4064303685067339</v>
      </c>
      <c r="Y46" s="64">
        <v>75</v>
      </c>
    </row>
    <row r="47" spans="1:25" ht="54" customHeight="1" x14ac:dyDescent="0.35">
      <c r="A47" s="97" t="s">
        <v>147</v>
      </c>
      <c r="B47" s="99" t="s">
        <v>69</v>
      </c>
      <c r="C47" s="100" t="s">
        <v>36</v>
      </c>
      <c r="D47" s="100" t="s">
        <v>57</v>
      </c>
      <c r="E47" s="101" t="s">
        <v>38</v>
      </c>
      <c r="F47" s="102"/>
      <c r="G47" s="27" t="s">
        <v>148</v>
      </c>
      <c r="H47" s="27"/>
      <c r="I47" s="103" t="s">
        <v>126</v>
      </c>
      <c r="J47" s="104">
        <v>45993</v>
      </c>
      <c r="K47" s="105">
        <v>45992</v>
      </c>
      <c r="L47" s="105">
        <v>47026</v>
      </c>
      <c r="M47" s="114">
        <v>9</v>
      </c>
      <c r="N47" s="114">
        <v>79</v>
      </c>
      <c r="O47" s="112"/>
      <c r="P47" s="98"/>
      <c r="Q47" s="98"/>
      <c r="R47" s="56" t="s">
        <v>149</v>
      </c>
      <c r="S4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58">
        <f>IF(Table13[[#This Row],[Include in Winter Calendar]],Table13[[#This Row],[Area Overlap with SAC (km2)]]*100/$M$3,0)</f>
        <v>0</v>
      </c>
      <c r="X47" s="58">
        <f>IF(Table13[[#This Row],[Include in Summer Calendar]],Table13[[#This Row],[Area Overlap with SAC (km2)]]*100/$M$2,0)</f>
        <v>0.29228947757880719</v>
      </c>
      <c r="Y47" s="61"/>
    </row>
    <row r="48" spans="1:25" ht="69.75" customHeight="1" x14ac:dyDescent="0.35">
      <c r="A48" s="97" t="s">
        <v>150</v>
      </c>
      <c r="B48" s="106" t="s">
        <v>151</v>
      </c>
      <c r="C48" s="107" t="s">
        <v>36</v>
      </c>
      <c r="D48" s="107" t="s">
        <v>74</v>
      </c>
      <c r="E48" s="108" t="s">
        <v>38</v>
      </c>
      <c r="F48" s="109"/>
      <c r="G48" s="28"/>
      <c r="H48" s="28"/>
      <c r="I48" s="110"/>
      <c r="J48" s="111">
        <v>45999</v>
      </c>
      <c r="K48" s="116">
        <v>46113</v>
      </c>
      <c r="L48" s="116">
        <v>46295</v>
      </c>
      <c r="M48" s="115">
        <v>1</v>
      </c>
      <c r="N48" s="115">
        <v>3</v>
      </c>
      <c r="O48" s="113"/>
      <c r="P48" s="98"/>
      <c r="Q48" s="98"/>
      <c r="R48" s="56" t="s">
        <v>152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1.1099600414385083E-2</v>
      </c>
      <c r="Y48" s="61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3 O6:Y44 B34:I35 K34:N35 B36:N37 B38:L39 N38:N39 B40:N44 B45:G46 I45:Y46">
    <cfRule type="expression" dxfId="10" priority="38" stopIfTrue="1">
      <formula>$I6="Completed"</formula>
    </cfRule>
    <cfRule type="expression" dxfId="9" priority="39" stopIfTrue="1">
      <formula>OR($I6="Cancelled",$I6="Postponed")</formula>
    </cfRule>
  </conditionalFormatting>
  <conditionalFormatting sqref="G6:G48">
    <cfRule type="expression" dxfId="8" priority="41">
      <formula>AND($G6="",OR($I6="Approved",$I6="Submitted"))</formula>
    </cfRule>
  </conditionalFormatting>
  <conditionalFormatting sqref="H45">
    <cfRule type="expression" dxfId="7" priority="1" stopIfTrue="1">
      <formula>$I46="Completed"</formula>
    </cfRule>
    <cfRule type="expression" dxfId="6" priority="2" stopIfTrue="1">
      <formula>OR($I46="Cancelled",$I46="Postponed")</formula>
    </cfRule>
  </conditionalFormatting>
  <conditionalFormatting sqref="J34 M38">
    <cfRule type="expression" dxfId="5" priority="44" stopIfTrue="1">
      <formula>$I35="Completed"</formula>
    </cfRule>
    <cfRule type="expression" dxfId="4" priority="45" stopIfTrue="1">
      <formula>OR($I35="Cancelled",$I35="Postponed")</formula>
    </cfRule>
  </conditionalFormatting>
  <dataValidations count="5">
    <dataValidation type="list" allowBlank="1" showInputMessage="1" showErrorMessage="1" sqref="E6:E48" xr:uid="{7264FD1A-492A-4917-A29C-D45FAA112A04}">
      <formula1>"Summer, Winter, Both"</formula1>
    </dataValidation>
    <dataValidation type="list" allowBlank="1" showInputMessage="1" showErrorMessage="1" sqref="I6:I48" xr:uid="{21C67652-EEA5-4949-B028-9B83E585FE35}">
      <formula1>"Proposed, Submitted, Approved, Completed, Postponed, Cancelled"</formula1>
    </dataValidation>
    <dataValidation type="list" allowBlank="1" showInputMessage="1" showErrorMessage="1" sqref="D6:D48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48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48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153</v>
      </c>
      <c r="C2" s="90" t="s">
        <v>38</v>
      </c>
      <c r="E2" s="19" t="s">
        <v>154</v>
      </c>
      <c r="F2" s="70">
        <f>IF(C2="Summer",'Noisy Activities'!J2,'Noisy Activities'!H2)</f>
        <v>46113</v>
      </c>
      <c r="G2" s="21" t="s">
        <v>155</v>
      </c>
      <c r="H2" s="22">
        <f>F3-F2+1</f>
        <v>183</v>
      </c>
      <c r="K2" s="67"/>
      <c r="L2" s="51"/>
    </row>
    <row r="3" spans="1:12" ht="59.15" customHeight="1" thickBot="1" x14ac:dyDescent="0.4">
      <c r="B3" s="19" t="s">
        <v>156</v>
      </c>
      <c r="C3" s="91">
        <f ca="1">TODAY()</f>
        <v>46048</v>
      </c>
      <c r="E3" s="16" t="s">
        <v>157</v>
      </c>
      <c r="F3" s="68">
        <f>IF(C2="Summer",'Noisy Activities'!J3,'Noisy Activities'!H3)</f>
        <v>46295</v>
      </c>
      <c r="G3" s="19" t="s">
        <v>158</v>
      </c>
      <c r="H3" s="20">
        <f>IF(C2="Summer",27028,12696)</f>
        <v>27028</v>
      </c>
      <c r="K3" s="67"/>
      <c r="L3" s="51"/>
    </row>
    <row r="4" spans="1:12" ht="15" thickBot="1" x14ac:dyDescent="0.4"/>
    <row r="5" spans="1:12" ht="46.5" customHeight="1" thickBot="1" x14ac:dyDescent="0.4">
      <c r="C5" s="129" t="s">
        <v>159</v>
      </c>
      <c r="D5" s="130"/>
      <c r="E5" s="130"/>
      <c r="F5" s="131"/>
    </row>
    <row r="6" spans="1:12" ht="60.65" customHeight="1" thickBot="1" x14ac:dyDescent="0.4">
      <c r="C6" s="54" t="s">
        <v>160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161</v>
      </c>
      <c r="F6" s="72">
        <f ca="1">_xlfn.AGGREGATE(9,6,Table44[Contribution to seasonal disturbance (absolute worst case)])</f>
        <v>0</v>
      </c>
    </row>
    <row r="7" spans="1:12" ht="61.5" customHeight="1" thickBot="1" x14ac:dyDescent="0.4">
      <c r="C7" s="55" t="s">
        <v>162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163</v>
      </c>
      <c r="F7" s="73">
        <f ca="1">_xlfn.AGGREGATE(9,6,Table44[Contribution to seasonal disturbance (realistic worst case)])</f>
        <v>0</v>
      </c>
    </row>
    <row r="8" spans="1:12" ht="64.5" customHeight="1" thickBot="1" x14ac:dyDescent="0.4">
      <c r="C8" s="132" t="s">
        <v>164</v>
      </c>
      <c r="D8" s="133"/>
      <c r="E8" s="133"/>
      <c r="F8" s="134"/>
    </row>
    <row r="9" spans="1:12" ht="12.65" customHeight="1" x14ac:dyDescent="0.35">
      <c r="B9" s="53"/>
      <c r="C9" s="53"/>
      <c r="D9" s="53"/>
      <c r="E9" s="53"/>
    </row>
    <row r="10" spans="1:12" ht="23.5" x14ac:dyDescent="0.55000000000000004">
      <c r="B10" s="52" t="s">
        <v>165</v>
      </c>
    </row>
    <row r="12" spans="1:12" ht="75.650000000000006" customHeight="1" x14ac:dyDescent="0.35">
      <c r="A12" s="42" t="s">
        <v>166</v>
      </c>
      <c r="B12" s="41" t="s">
        <v>167</v>
      </c>
      <c r="C12" s="41" t="s">
        <v>12</v>
      </c>
      <c r="D12" s="41" t="s">
        <v>168</v>
      </c>
      <c r="E12" s="41" t="s">
        <v>169</v>
      </c>
      <c r="F12" s="41" t="s">
        <v>170</v>
      </c>
      <c r="G12" s="41" t="s">
        <v>171</v>
      </c>
      <c r="H12" s="41" t="s">
        <v>172</v>
      </c>
      <c r="I12" s="41" t="s">
        <v>173</v>
      </c>
      <c r="J12" s="41" t="s">
        <v>174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PFE5XNEKQQZ4-853025249-73094</_dlc_DocId>
    <_dlc_DocIdUrl xmlns="d9dd733d-5918-4031-8251-d30265015c80">
      <Url>https://beisgov.sharepoint.com/sites/OPREDPG-EXT-OS-SACNoiseManagementRegulatorsWorkingGroup/_layouts/15/DocIdRedir.aspx?ID=PFE5XNEKQQZ4-853025249-73094</Url>
      <Description>PFE5XNEKQQZ4-853025249-73094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EE1C23-84F4-4EFE-8F44-B34D834951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845048-1192-4E1F-B858-926799C8369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customXml/itemProps4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Mckenzie, Stuart (Energy Security)</cp:lastModifiedBy>
  <cp:revision/>
  <dcterms:created xsi:type="dcterms:W3CDTF">2023-04-25T10:03:35Z</dcterms:created>
  <dcterms:modified xsi:type="dcterms:W3CDTF">2026-01-26T14:25:07Z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7aa53646-67d6-43d0-8017-0611174bec20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