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11"/>
  <workbookPr codeName="ThisWorkbook"/>
  <mc:AlternateContent xmlns:mc="http://schemas.openxmlformats.org/markup-compatibility/2006">
    <mc:Choice Requires="x15">
      <x15ac:absPath xmlns:x15ac="http://schemas.microsoft.com/office/spreadsheetml/2010/11/ac" url="https://beisgov.sharepoint.com/sites/NZHF/Shared Documents/07. Standards and Certification/02. Standard/01 Publications/01 Standard documents, annexes &amp; data annexes/LCHS V4/04_V4 Drafting/LCHS V4 - Hydrogen Emission Calculators/"/>
    </mc:Choice>
  </mc:AlternateContent>
  <xr:revisionPtr revIDLastSave="4761" documentId="8_{939D7413-34AE-4897-BD4D-71F4C7E30139}" xr6:coauthVersionLast="47" xr6:coauthVersionMax="47" xr10:uidLastSave="{7D70E476-3D04-495D-B6D8-2CCB15B4272F}"/>
  <bookViews>
    <workbookView xWindow="28680" yWindow="-1245" windowWidth="29040" windowHeight="15720" tabRatio="858" firstSheet="10" activeTab="10" xr2:uid="{6F0F8482-165B-4EC0-AAE7-409EF22E5762}"/>
  </bookViews>
  <sheets>
    <sheet name="Title" sheetId="131" r:id="rId1"/>
    <sheet name="Navigation" sheetId="119" r:id="rId2"/>
    <sheet name="Guidance Initial_questions" sheetId="14" r:id="rId3"/>
    <sheet name="Guidance Processing" sheetId="127" r:id="rId4"/>
    <sheet name="Guidance Summary GHG" sheetId="125" r:id="rId5"/>
    <sheet name="Initial_questions" sheetId="37" r:id="rId6"/>
    <sheet name="System_Boundary" sheetId="8" r:id="rId7"/>
    <sheet name="Dashboard" sheetId="128" r:id="rId8"/>
    <sheet name="Units" sheetId="7" r:id="rId9"/>
    <sheet name="Default data" sheetId="71" r:id="rId10"/>
    <sheet name="Typical data" sheetId="132" r:id="rId11"/>
    <sheet name="Non Typical data" sheetId="25" r:id="rId12"/>
    <sheet name="GHG_ELECTROLYSIS" sheetId="66" r:id="rId13"/>
    <sheet name="Electrolysis" sheetId="107" r:id="rId14"/>
  </sheets>
  <definedNames>
    <definedName name="__1234Graph_A" hidden="1">#REF!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1234Graph_A_v2" hidden="1">#REF!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_Table1_In1" hidden="1">#REF!</definedName>
    <definedName name="_Table1_Out" hidden="1">#REF!</definedName>
    <definedName name="aadsds"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llData">Units!$B$114:$B$117</definedName>
    <definedName name="anscount" hidden="1">1</definedName>
    <definedName name="bbl_to_USgal">Units!$C$25</definedName>
    <definedName name="bio">Units!$M$84:$M$90</definedName>
    <definedName name="Biomethane">Units!$O$84:$O$90</definedName>
    <definedName name="Capture">Units!$H$84:$H$89</definedName>
    <definedName name="Case">Units!$U$84:$U$87</definedName>
    <definedName name="CBWorkbookPriority" hidden="1">-1631513760</definedName>
    <definedName name="Commission">Units!$S$84:$S$97</definedName>
    <definedName name="Conversion_kWh_to_MJ">Units!$C$8</definedName>
    <definedName name="Credit">Units!$I$84:$I$87</definedName>
    <definedName name="Data">Units!$E$84:$E$87</definedName>
    <definedName name="Data_location">Units!$W$84:$W$87</definedName>
    <definedName name="electro">Units!$N$84:$N$90</definedName>
    <definedName name="EnergySupplyData">Units!$C$114:$C$116</definedName>
    <definedName name="Feedstock">Units!$J$84:$J$93</definedName>
    <definedName name="Flow_units">Units!$X$84:$X$85</definedName>
    <definedName name="Fossil">Units!$F$84:$F$89</definedName>
    <definedName name="Gas">Units!$G$84:$G$89</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ydrogen_flow">Initial_questions!$E$56</definedName>
    <definedName name="iluc">Units!$R$84:$R$90</definedName>
    <definedName name="InputMaterialsData">Units!$D$114:$D$116</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39343.6573842593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Wh_to_MJ">Units!$C$8</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Units!$D$84:$D$86</definedName>
    <definedName name="Master_Switch">Units!$B$107</definedName>
    <definedName name="mb_inputLocation" hidden="1">#REF!</definedName>
    <definedName name="Offset">Units!$K$84:$K$87</definedName>
    <definedName name="Operations_year">Initial_questions!$E$23</definedName>
    <definedName name="Output_pressure">Initial_questions!$E$59</definedName>
    <definedName name="Output_purity">Initial_questions!$E$60</definedName>
    <definedName name="Output_temperature">Initial_questions!$E$61</definedName>
    <definedName name="Pathway">Initial_questions!$E$21</definedName>
    <definedName name="Pathway_choice">Initial_questions!$E$21</definedName>
    <definedName name="Pathway_list">Units!$B$84:$B$89</definedName>
    <definedName name="Proj_grid_intensity_kWh">'Typical data'!$C$161:$C$186</definedName>
    <definedName name="Proj_grid_year">'Typical data'!$B$161:$B$186</definedName>
    <definedName name="Proj_or_def">Units!$P$84:$P$86</definedName>
    <definedName name="Proj_or_mix">Units!$Q$84:$Q$86</definedName>
    <definedName name="Project_location">Units!$Y$84:$Y$87</definedName>
    <definedName name="Risk">Units!$V$84:$V$86</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tatus">Units!$C$84:$C$86</definedName>
    <definedName name="Sustainability">Units!$L$84:$L$87</definedName>
    <definedName name="Switch">Units!$T$84:$T$85</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My._.estimate._.report." localSheetId="8" hidden="1">{"Equipment",#N/A,FALSE,"A";"Summary",#N/A,FALSE,"B"}</definedName>
    <definedName name="wrn.My._.estimate._.report." hidden="1">{"Equipment",#N/A,FALSE,"A";"Summary",#N/A,FALSE,"B"}</definedName>
    <definedName name="x"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2" i="132" l="1"/>
  <c r="C163" i="132"/>
  <c r="C164" i="132"/>
  <c r="C165" i="132"/>
  <c r="C166" i="132"/>
  <c r="C167" i="132"/>
  <c r="C168" i="132"/>
  <c r="C169" i="132"/>
  <c r="C170" i="132"/>
  <c r="C171" i="132"/>
  <c r="C172" i="132"/>
  <c r="C173" i="132"/>
  <c r="C174" i="132"/>
  <c r="C175" i="132"/>
  <c r="C176" i="132"/>
  <c r="C177" i="132"/>
  <c r="C178" i="132"/>
  <c r="C179" i="132"/>
  <c r="C180" i="132"/>
  <c r="C181" i="132"/>
  <c r="C182" i="132"/>
  <c r="C183" i="132"/>
  <c r="C184" i="132"/>
  <c r="C185" i="132"/>
  <c r="C186" i="132"/>
  <c r="C161" i="132"/>
  <c r="C6" i="128"/>
  <c r="B22" i="128" l="1"/>
  <c r="B21" i="128"/>
  <c r="B20" i="128"/>
  <c r="B19" i="128"/>
  <c r="E24" i="128"/>
  <c r="C22" i="128"/>
  <c r="C21" i="128"/>
  <c r="D114" i="7" l="1" a="1"/>
  <c r="D114" i="7" s="1"/>
  <c r="B114" i="7" a="1"/>
  <c r="B114" i="7" s="1"/>
  <c r="B161" i="132" l="1"/>
  <c r="B162" i="132"/>
  <c r="B163" i="132"/>
  <c r="B164" i="132"/>
  <c r="B165" i="132"/>
  <c r="B166" i="132"/>
  <c r="B167" i="132"/>
  <c r="B168" i="132"/>
  <c r="B169" i="132"/>
  <c r="B170" i="132"/>
  <c r="B171" i="132"/>
  <c r="B172" i="132"/>
  <c r="B173" i="132"/>
  <c r="B174" i="132"/>
  <c r="B175" i="132"/>
  <c r="B176" i="132"/>
  <c r="B177" i="132"/>
  <c r="B178" i="132"/>
  <c r="B179" i="132"/>
  <c r="B180" i="132"/>
  <c r="B181" i="132"/>
  <c r="B182" i="132"/>
  <c r="B183" i="132"/>
  <c r="B184" i="132"/>
  <c r="B185" i="132"/>
  <c r="B186" i="132"/>
  <c r="T79" i="107" l="1"/>
  <c r="T76" i="107"/>
  <c r="T29" i="107"/>
  <c r="E31" i="37" a="1"/>
  <c r="E31" i="37" s="1"/>
  <c r="C114" i="7" s="1" a="1"/>
  <c r="C114" i="7" s="1"/>
  <c r="T21" i="107" l="1"/>
  <c r="E64" i="37"/>
  <c r="D406" i="132"/>
  <c r="D383" i="132"/>
  <c r="D382" i="132"/>
  <c r="D381" i="132"/>
  <c r="F396" i="132" l="1"/>
  <c r="F395" i="132"/>
  <c r="D384" i="132" s="1"/>
  <c r="D386" i="132" s="1"/>
  <c r="D388" i="132" s="1"/>
  <c r="D389" i="132"/>
  <c r="D407" i="132" s="1"/>
  <c r="D408" i="132" s="1"/>
  <c r="F400" i="132"/>
  <c r="F399" i="132"/>
  <c r="F398" i="132"/>
  <c r="F397" i="132"/>
  <c r="D390" i="132" l="1"/>
  <c r="L46" i="66" s="1"/>
  <c r="L81" i="66"/>
  <c r="L13" i="66"/>
  <c r="L64" i="66"/>
  <c r="L47" i="66"/>
  <c r="L30" i="66"/>
  <c r="E30" i="37" a="1"/>
  <c r="E30" i="37" s="1"/>
  <c r="E33" i="37" s="1"/>
  <c r="T33" i="107" s="1"/>
  <c r="L63" i="66" l="1"/>
  <c r="L29" i="66"/>
  <c r="L12" i="66"/>
  <c r="L80" i="66"/>
  <c r="E34" i="37"/>
  <c r="T37" i="107" s="1"/>
  <c r="E28" i="37" a="1"/>
  <c r="E28" i="37" s="1"/>
  <c r="E32" i="37" s="1"/>
  <c r="T25" i="107" s="1"/>
  <c r="S41" i="107"/>
  <c r="T41" i="107"/>
  <c r="S42" i="107"/>
  <c r="T42" i="107"/>
  <c r="S43" i="107"/>
  <c r="T43" i="107"/>
  <c r="S44" i="107"/>
  <c r="T44" i="107"/>
  <c r="S45" i="107"/>
  <c r="T45" i="107"/>
  <c r="S46" i="107"/>
  <c r="T46" i="107"/>
  <c r="S47" i="107"/>
  <c r="T47" i="107"/>
  <c r="S48" i="107"/>
  <c r="T48" i="107"/>
  <c r="S49" i="107"/>
  <c r="T49" i="107"/>
  <c r="S50" i="107"/>
  <c r="T50" i="107"/>
  <c r="E33" i="107" l="1"/>
  <c r="E37" i="107"/>
  <c r="E27" i="37" a="1"/>
  <c r="E27" i="37" s="1"/>
  <c r="E25" i="107"/>
  <c r="E29" i="37" a="1"/>
  <c r="E29" i="37" s="1"/>
  <c r="E29" i="107" s="1"/>
  <c r="E36" i="37" l="1"/>
  <c r="D4" i="128" s="1" a="1"/>
  <c r="D4" i="128" s="1"/>
  <c r="E21" i="107"/>
  <c r="B18" i="128" l="1"/>
  <c r="L58" i="66"/>
  <c r="D58" i="66"/>
  <c r="E107" i="107" l="1"/>
  <c r="C69" i="37" l="1"/>
  <c r="D33" i="37"/>
  <c r="D34" i="37"/>
  <c r="D35" i="37"/>
  <c r="C19" i="128"/>
  <c r="N33" i="107" l="1"/>
  <c r="E84" i="107"/>
  <c r="S75" i="107" l="1"/>
  <c r="S76" i="107"/>
  <c r="S77" i="107"/>
  <c r="T77" i="107"/>
  <c r="S78" i="107"/>
  <c r="T78" i="107"/>
  <c r="S79" i="107"/>
  <c r="D32" i="37" l="1"/>
  <c r="B35" i="107"/>
  <c r="C9" i="128" l="1"/>
  <c r="D21" i="128"/>
  <c r="E21" i="128" s="1"/>
  <c r="D22" i="128"/>
  <c r="E22" i="128" s="1"/>
  <c r="D18" i="128"/>
  <c r="E18" i="128" s="1"/>
  <c r="D19" i="128"/>
  <c r="E19" i="128" s="1"/>
  <c r="T75" i="107"/>
  <c r="E111" i="107"/>
  <c r="E112" i="107"/>
  <c r="E108" i="107"/>
  <c r="E109" i="107"/>
  <c r="E110" i="107"/>
  <c r="N12" i="107" l="1"/>
  <c r="Q10" i="107"/>
  <c r="Q11" i="107"/>
  <c r="Q12" i="107"/>
  <c r="Q13" i="107"/>
  <c r="N76" i="107"/>
  <c r="N77" i="107"/>
  <c r="N78" i="107"/>
  <c r="N79" i="107"/>
  <c r="N80" i="107"/>
  <c r="N75" i="107"/>
  <c r="N68" i="107"/>
  <c r="N69" i="107"/>
  <c r="N70" i="107"/>
  <c r="N71" i="107"/>
  <c r="N67" i="107"/>
  <c r="N55" i="107"/>
  <c r="N56" i="107"/>
  <c r="N57" i="107"/>
  <c r="N58" i="107"/>
  <c r="N59" i="107"/>
  <c r="N60" i="107"/>
  <c r="N61" i="107"/>
  <c r="N62" i="107"/>
  <c r="N63" i="107"/>
  <c r="N54" i="107"/>
  <c r="N42" i="107"/>
  <c r="N43" i="107"/>
  <c r="N44" i="107"/>
  <c r="N45" i="107"/>
  <c r="N46" i="107"/>
  <c r="N47" i="107"/>
  <c r="N48" i="107"/>
  <c r="N49" i="107"/>
  <c r="N50" i="107"/>
  <c r="N41" i="107"/>
  <c r="N10" i="107"/>
  <c r="N11" i="107"/>
  <c r="N13" i="107"/>
  <c r="N14" i="107"/>
  <c r="N15" i="107"/>
  <c r="N16" i="107"/>
  <c r="N17" i="107"/>
  <c r="C5" i="128" l="1"/>
  <c r="D64" i="37" l="1"/>
  <c r="D63" i="37"/>
  <c r="E9" i="107"/>
  <c r="N9" i="107" l="1"/>
  <c r="Q9" i="107"/>
  <c r="V37" i="107" l="1"/>
  <c r="V21" i="107"/>
  <c r="V29" i="107"/>
  <c r="V25" i="107"/>
  <c r="V44" i="107"/>
  <c r="V47" i="107"/>
  <c r="V50" i="107"/>
  <c r="V42" i="107"/>
  <c r="V48" i="107"/>
  <c r="V46" i="107"/>
  <c r="V43" i="107"/>
  <c r="V49" i="107"/>
  <c r="V41" i="107"/>
  <c r="V45" i="107"/>
  <c r="V33" i="107"/>
  <c r="V32" i="107" s="1"/>
  <c r="R13" i="107"/>
  <c r="R9" i="107"/>
  <c r="I57" i="66" s="1"/>
  <c r="J57" i="66" s="1"/>
  <c r="R11" i="107"/>
  <c r="R10" i="107"/>
  <c r="R12" i="107"/>
  <c r="N99" i="107" l="1"/>
  <c r="N98" i="107"/>
  <c r="N97" i="107"/>
  <c r="N96" i="107"/>
  <c r="N95" i="107"/>
  <c r="N94" i="107"/>
  <c r="N93" i="107"/>
  <c r="N92" i="107"/>
  <c r="N88" i="107"/>
  <c r="N87" i="107"/>
  <c r="N86" i="107"/>
  <c r="N85" i="107"/>
  <c r="D75" i="66" l="1"/>
  <c r="L75" i="66" a="1"/>
  <c r="L75" i="66" s="1"/>
  <c r="V99" i="107" l="1"/>
  <c r="V98" i="107"/>
  <c r="V97" i="107"/>
  <c r="V96" i="107"/>
  <c r="V95" i="107"/>
  <c r="V94" i="107"/>
  <c r="V93" i="107"/>
  <c r="V88" i="107"/>
  <c r="V87" i="107"/>
  <c r="V86" i="107"/>
  <c r="V85" i="107"/>
  <c r="V80" i="107"/>
  <c r="V71" i="107"/>
  <c r="V70" i="107"/>
  <c r="V69" i="107"/>
  <c r="V68" i="107"/>
  <c r="V67" i="107"/>
  <c r="V79" i="107"/>
  <c r="V76" i="107"/>
  <c r="V77" i="107"/>
  <c r="V78" i="107"/>
  <c r="T63" i="107"/>
  <c r="V63" i="107" s="1"/>
  <c r="S63" i="107"/>
  <c r="T62" i="107"/>
  <c r="V62" i="107" s="1"/>
  <c r="S62" i="107"/>
  <c r="T61" i="107"/>
  <c r="V61" i="107" s="1"/>
  <c r="S61" i="107"/>
  <c r="T60" i="107"/>
  <c r="V60" i="107" s="1"/>
  <c r="S60" i="107"/>
  <c r="T59" i="107"/>
  <c r="V59" i="107" s="1"/>
  <c r="S59" i="107"/>
  <c r="T58" i="107"/>
  <c r="S58" i="107"/>
  <c r="V58" i="107" s="1"/>
  <c r="T57" i="107"/>
  <c r="V57" i="107" s="1"/>
  <c r="S57" i="107"/>
  <c r="T56" i="107"/>
  <c r="S56" i="107"/>
  <c r="V56" i="107" s="1"/>
  <c r="T55" i="107"/>
  <c r="S55" i="107"/>
  <c r="V55" i="107" s="1"/>
  <c r="T54" i="107"/>
  <c r="S54" i="107"/>
  <c r="V54" i="107" s="1"/>
  <c r="C70" i="37" l="1"/>
  <c r="N84" i="107" l="1"/>
  <c r="V84" i="107"/>
  <c r="C20" i="128" l="1"/>
  <c r="P43" i="66" l="1"/>
  <c r="Q43" i="66"/>
  <c r="O43" i="66"/>
  <c r="P15" i="66"/>
  <c r="Q15" i="66"/>
  <c r="O15" i="66"/>
  <c r="P9" i="66"/>
  <c r="Q9" i="66"/>
  <c r="O9" i="66"/>
  <c r="E40" i="37" l="1"/>
  <c r="V75" i="107" l="1"/>
  <c r="N37" i="107"/>
  <c r="N29" i="107"/>
  <c r="N25" i="107"/>
  <c r="N21" i="107"/>
  <c r="L41" i="66"/>
  <c r="L40" i="66"/>
  <c r="L24" i="66"/>
  <c r="L23" i="66"/>
  <c r="L7" i="66"/>
  <c r="L6" i="66"/>
  <c r="P6" i="66" l="1"/>
  <c r="Q6" i="66"/>
  <c r="P7" i="66"/>
  <c r="Q7" i="66"/>
  <c r="P8" i="66"/>
  <c r="Q8" i="66"/>
  <c r="P10" i="66"/>
  <c r="Q10" i="66"/>
  <c r="P11" i="66"/>
  <c r="Q11" i="66"/>
  <c r="O11" i="66"/>
  <c r="O10" i="66"/>
  <c r="O8" i="66"/>
  <c r="O7" i="66"/>
  <c r="O6" i="66"/>
  <c r="Q49" i="66" l="1"/>
  <c r="P49" i="66"/>
  <c r="O49" i="66"/>
  <c r="Q45" i="66"/>
  <c r="P45" i="66"/>
  <c r="O45" i="66"/>
  <c r="Q44" i="66"/>
  <c r="P44" i="66"/>
  <c r="O44" i="66"/>
  <c r="Q42" i="66"/>
  <c r="P42" i="66"/>
  <c r="O42" i="66"/>
  <c r="Q41" i="66"/>
  <c r="P41" i="66"/>
  <c r="O41" i="66"/>
  <c r="Q40" i="66"/>
  <c r="P40" i="66"/>
  <c r="O40" i="66"/>
  <c r="Q32" i="66"/>
  <c r="P32" i="66"/>
  <c r="O32" i="66"/>
  <c r="Q28" i="66"/>
  <c r="P28" i="66"/>
  <c r="O28" i="66"/>
  <c r="Q27" i="66"/>
  <c r="P27" i="66"/>
  <c r="O27" i="66"/>
  <c r="Q26" i="66"/>
  <c r="P26" i="66"/>
  <c r="O26" i="66"/>
  <c r="Q25" i="66"/>
  <c r="P25" i="66"/>
  <c r="O25" i="66"/>
  <c r="Q24" i="66"/>
  <c r="P24" i="66"/>
  <c r="O24" i="66"/>
  <c r="Q23" i="66"/>
  <c r="P23" i="66"/>
  <c r="O23" i="66"/>
  <c r="D20" i="128" l="1"/>
  <c r="E20" i="128" s="1"/>
  <c r="B6" i="8" a="1"/>
  <c r="B6" i="8" l="1"/>
  <c r="D23" i="66" l="1"/>
  <c r="B23" i="107" s="1"/>
  <c r="D24" i="66"/>
  <c r="D6" i="66"/>
  <c r="D7" i="66"/>
  <c r="B19" i="107" l="1"/>
  <c r="V40" i="107"/>
  <c r="G57" i="66" s="1"/>
  <c r="H57" i="66" s="1"/>
  <c r="K57" i="66" s="1"/>
  <c r="M57" i="66" s="1"/>
  <c r="V36" i="107" l="1"/>
  <c r="G74" i="66" l="1"/>
  <c r="H74" i="66" s="1"/>
  <c r="V53" i="107" l="1"/>
  <c r="G58" i="66" l="1"/>
  <c r="H58" i="66" s="1"/>
  <c r="K58" i="66" s="1"/>
  <c r="M58" i="66" s="1"/>
  <c r="G41" i="66"/>
  <c r="G24" i="66"/>
  <c r="H24" i="66" s="1"/>
  <c r="G75" i="66"/>
  <c r="H75" i="66" s="1"/>
  <c r="G7" i="66"/>
  <c r="H7" i="66" s="1"/>
  <c r="V20" i="107"/>
  <c r="O9" i="107"/>
  <c r="E57" i="66" s="1"/>
  <c r="E66" i="66" s="1"/>
  <c r="I74" i="66" l="1"/>
  <c r="J74" i="66" s="1"/>
  <c r="I6" i="66"/>
  <c r="J6" i="66" s="1"/>
  <c r="K7" i="66" s="1"/>
  <c r="M7" i="66" s="1"/>
  <c r="I23" i="66"/>
  <c r="J23" i="66" s="1"/>
  <c r="K24" i="66" s="1"/>
  <c r="M24" i="66" s="1"/>
  <c r="G6" i="66"/>
  <c r="H6" i="66" s="1"/>
  <c r="E6" i="66"/>
  <c r="E15" i="66" s="1"/>
  <c r="E23" i="66"/>
  <c r="E32" i="66" s="1"/>
  <c r="E74" i="66"/>
  <c r="E83" i="66" s="1"/>
  <c r="V24" i="107"/>
  <c r="K75" i="66" l="1"/>
  <c r="M75" i="66" s="1"/>
  <c r="K6" i="66"/>
  <c r="M6" i="66" s="1"/>
  <c r="G23" i="66"/>
  <c r="H23" i="66" s="1"/>
  <c r="K23" i="66" s="1"/>
  <c r="M23" i="66" s="1"/>
  <c r="K74" i="66"/>
  <c r="M74" i="66" s="1"/>
  <c r="D41" i="66" l="1"/>
  <c r="B52" i="107" s="1"/>
  <c r="D40" i="66"/>
  <c r="B27" i="107" l="1"/>
  <c r="B39" i="107"/>
  <c r="C10" i="128" l="1"/>
  <c r="C8" i="128"/>
  <c r="E52" i="37" l="1"/>
  <c r="M63" i="66" l="1"/>
  <c r="V28" i="107" l="1"/>
  <c r="V66" i="107"/>
  <c r="G59" i="66" l="1"/>
  <c r="H59" i="66" s="1"/>
  <c r="K59" i="66" s="1"/>
  <c r="M59" i="66" s="1"/>
  <c r="G40" i="66"/>
  <c r="G42" i="66"/>
  <c r="G25" i="66"/>
  <c r="H25" i="66" s="1"/>
  <c r="K25" i="66" s="1"/>
  <c r="M25" i="66" s="1"/>
  <c r="G8" i="66"/>
  <c r="H8" i="66" s="1"/>
  <c r="K8" i="66" s="1"/>
  <c r="M8" i="66" s="1"/>
  <c r="G76" i="66"/>
  <c r="C4" i="128"/>
  <c r="H76" i="66" l="1"/>
  <c r="K76" i="66" s="1"/>
  <c r="M76" i="66" s="1"/>
  <c r="S92" i="107"/>
  <c r="V92" i="107" s="1"/>
  <c r="V91" i="107" l="1"/>
  <c r="V74" i="107"/>
  <c r="G60" i="66" s="1"/>
  <c r="I40" i="66"/>
  <c r="J40" i="66" s="1"/>
  <c r="G62" i="66" l="1"/>
  <c r="H62" i="66" s="1"/>
  <c r="K62" i="66" s="1"/>
  <c r="M62" i="66" s="1"/>
  <c r="H60" i="66"/>
  <c r="K60" i="66" s="1"/>
  <c r="M60" i="66" s="1"/>
  <c r="V103" i="107"/>
  <c r="G45" i="66"/>
  <c r="G28" i="66"/>
  <c r="H28" i="66" s="1"/>
  <c r="K28" i="66" s="1"/>
  <c r="M28" i="66" s="1"/>
  <c r="G79" i="66"/>
  <c r="G11" i="66"/>
  <c r="H11" i="66" s="1"/>
  <c r="K11" i="66" s="1"/>
  <c r="M11" i="66" s="1"/>
  <c r="G77" i="66"/>
  <c r="G43" i="66"/>
  <c r="G26" i="66"/>
  <c r="H26" i="66" s="1"/>
  <c r="K26" i="66" s="1"/>
  <c r="M26" i="66" s="1"/>
  <c r="G9" i="66"/>
  <c r="H9" i="66" s="1"/>
  <c r="K9" i="66" s="1"/>
  <c r="M9" i="66" s="1"/>
  <c r="E40" i="66"/>
  <c r="E49" i="66" s="1"/>
  <c r="H42" i="66"/>
  <c r="V83" i="107"/>
  <c r="V104" i="107" l="1"/>
  <c r="G61" i="66"/>
  <c r="H61" i="66" s="1"/>
  <c r="K61" i="66" s="1"/>
  <c r="M61" i="66" s="1"/>
  <c r="V105" i="107"/>
  <c r="H77" i="66"/>
  <c r="K77" i="66" s="1"/>
  <c r="M77" i="66" s="1"/>
  <c r="H79" i="66"/>
  <c r="K79" i="66" s="1"/>
  <c r="M79" i="66" s="1"/>
  <c r="V102" i="107"/>
  <c r="V101" i="107"/>
  <c r="G44" i="66"/>
  <c r="H44" i="66" s="1"/>
  <c r="K44" i="66" s="1"/>
  <c r="M44" i="66" s="1"/>
  <c r="G27" i="66"/>
  <c r="H27" i="66" s="1"/>
  <c r="K27" i="66" s="1"/>
  <c r="M27" i="66" s="1"/>
  <c r="G10" i="66"/>
  <c r="H10" i="66" s="1"/>
  <c r="K10" i="66" s="1"/>
  <c r="M10" i="66" s="1"/>
  <c r="G78" i="66"/>
  <c r="H41" i="66"/>
  <c r="K41" i="66" s="1"/>
  <c r="M41" i="66" s="1"/>
  <c r="K42" i="66"/>
  <c r="M42" i="66" s="1"/>
  <c r="H43" i="66"/>
  <c r="K43" i="66" s="1"/>
  <c r="M43" i="66" s="1"/>
  <c r="H45" i="66"/>
  <c r="K45" i="66" s="1"/>
  <c r="M45" i="66" s="1"/>
  <c r="H78" i="66" l="1"/>
  <c r="K78" i="66" s="1"/>
  <c r="M78" i="66" s="1"/>
  <c r="H40" i="66"/>
  <c r="K40" i="66" s="1"/>
  <c r="M40" i="66" l="1"/>
  <c r="M64" i="66" l="1"/>
  <c r="M66" i="66" s="1"/>
  <c r="M30" i="66" l="1"/>
  <c r="M13" i="66"/>
  <c r="M81" i="66"/>
  <c r="M47" i="66"/>
  <c r="M29" i="66"/>
  <c r="M80" i="66"/>
  <c r="M12" i="66"/>
  <c r="M46" i="66"/>
  <c r="M49" i="66" l="1"/>
  <c r="M15" i="66"/>
  <c r="M83" i="66"/>
  <c r="M32" i="66"/>
  <c r="C45" i="7" l="1"/>
  <c r="C39" i="7"/>
  <c r="I38" i="7"/>
  <c r="H33" i="7"/>
  <c r="I33" i="7" s="1"/>
  <c r="G33" i="7"/>
  <c r="G38" i="7" s="1"/>
  <c r="F33" i="7"/>
  <c r="F38" i="7" s="1"/>
  <c r="E33" i="7"/>
  <c r="E38" i="7" s="1"/>
  <c r="D33" i="7"/>
  <c r="D36" i="7" s="1"/>
  <c r="F34" i="7" s="1"/>
  <c r="F27" i="7"/>
  <c r="D27" i="7"/>
  <c r="H26" i="7"/>
  <c r="F28" i="7" s="1"/>
  <c r="C26" i="7"/>
  <c r="H25" i="7"/>
  <c r="E28" i="7" s="1"/>
  <c r="D25" i="7"/>
  <c r="E24" i="7" s="1"/>
  <c r="H24" i="7"/>
  <c r="D28" i="7" s="1"/>
  <c r="C24" i="7"/>
  <c r="C28" i="7"/>
  <c r="E23" i="7"/>
  <c r="G18" i="7"/>
  <c r="F17" i="7"/>
  <c r="F18" i="7" s="1"/>
  <c r="E17" i="7"/>
  <c r="E18" i="7" s="1"/>
  <c r="D17" i="7"/>
  <c r="D18" i="7" s="1"/>
  <c r="C17" i="7"/>
  <c r="C18" i="7" s="1"/>
  <c r="H16" i="7"/>
  <c r="H15" i="7"/>
  <c r="D15" i="7"/>
  <c r="H14" i="7"/>
  <c r="H13" i="7"/>
  <c r="F13" i="7"/>
  <c r="C16" i="7" s="1"/>
  <c r="E13" i="7"/>
  <c r="C15" i="7" s="1"/>
  <c r="E8" i="7"/>
  <c r="G7" i="7"/>
  <c r="E7" i="7"/>
  <c r="C7" i="7"/>
  <c r="F6" i="7"/>
  <c r="D6" i="7"/>
  <c r="C6" i="7"/>
  <c r="G5" i="7"/>
  <c r="E5" i="7"/>
  <c r="C5" i="7"/>
  <c r="E4" i="7"/>
  <c r="E26" i="7" l="1"/>
  <c r="F25" i="7" s="1"/>
  <c r="E37" i="7"/>
  <c r="G35" i="7" s="1"/>
  <c r="H35" i="7"/>
  <c r="I35" i="7" s="1"/>
  <c r="E39" i="7"/>
  <c r="E16" i="7"/>
  <c r="D16" i="7"/>
  <c r="H36" i="7"/>
  <c r="I36" i="7" s="1"/>
  <c r="F39" i="7"/>
  <c r="H37" i="7"/>
  <c r="I37" i="7" s="1"/>
  <c r="G39" i="7"/>
  <c r="D26" i="7"/>
  <c r="F24" i="7" s="1"/>
  <c r="E36" i="7"/>
  <c r="F35" i="7" s="1"/>
  <c r="D37" i="7"/>
  <c r="G34" i="7" s="1"/>
  <c r="E27" i="7"/>
  <c r="D38" i="7"/>
  <c r="D35" i="7"/>
  <c r="E34" i="7" s="1"/>
  <c r="F37" i="7"/>
  <c r="G36" i="7" s="1"/>
  <c r="D39" i="7" l="1"/>
  <c r="H34" i="7"/>
  <c r="I34" i="7" s="1"/>
  <c r="C7" i="128" l="1"/>
  <c r="C12" i="1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Taylor</author>
  </authors>
  <commentList>
    <comment ref="B3" authorId="0" shapeId="0" xr:uid="{00000000-0006-0000-0200-000001000000}">
      <text>
        <r>
          <rPr>
            <b/>
            <sz val="9"/>
            <color indexed="81"/>
            <rFont val="Tahoma"/>
            <family val="2"/>
          </rPr>
          <t>Richard Taylor:</t>
        </r>
        <r>
          <rPr>
            <sz val="9"/>
            <color indexed="81"/>
            <rFont val="Tahoma"/>
            <family val="2"/>
          </rPr>
          <t xml:space="preserve">
multiply by the factor to get "From" "To"</t>
        </r>
      </text>
    </comment>
    <comment ref="B4" authorId="0" shapeId="0" xr:uid="{00000000-0006-0000-0200-000002000000}">
      <text>
        <r>
          <rPr>
            <b/>
            <sz val="9"/>
            <color indexed="81"/>
            <rFont val="Tahoma"/>
            <family val="2"/>
          </rPr>
          <t>Richard Taylor:</t>
        </r>
        <r>
          <rPr>
            <sz val="9"/>
            <color indexed="81"/>
            <rFont val="Tahoma"/>
            <family val="2"/>
          </rPr>
          <t xml:space="preserve">
1 Joule is the energy required to move 1 kg of mass through a distance of 1 meter with speed in meters per second increasing at the rate of 1 meter per second.</t>
        </r>
      </text>
    </comment>
    <comment ref="B7" authorId="0" shapeId="0" xr:uid="{00000000-0006-0000-0200-000003000000}">
      <text>
        <r>
          <rPr>
            <b/>
            <sz val="9"/>
            <color indexed="81"/>
            <rFont val="Tahoma"/>
            <family val="2"/>
          </rPr>
          <t>Richard Taylor:</t>
        </r>
        <r>
          <rPr>
            <sz val="9"/>
            <color indexed="81"/>
            <rFont val="Tahoma"/>
            <family val="2"/>
          </rPr>
          <t xml:space="preserve">
1 Btu or British thermal unit is the energy required to raise the temperature of a pound of water from 60 to 61 degrees Fahernheit. 1 Therm = 100,000 Btu</t>
        </r>
      </text>
    </comment>
    <comment ref="B12" authorId="0" shapeId="0" xr:uid="{00000000-0006-0000-0200-000005000000}">
      <text>
        <r>
          <rPr>
            <b/>
            <sz val="9"/>
            <color indexed="81"/>
            <rFont val="Tahoma"/>
            <family val="2"/>
          </rPr>
          <t>Richard Taylor:</t>
        </r>
        <r>
          <rPr>
            <sz val="9"/>
            <color indexed="81"/>
            <rFont val="Tahoma"/>
            <family val="2"/>
          </rPr>
          <t xml:space="preserve">
multiply by the factor to get "From" "To"</t>
        </r>
      </text>
    </comment>
    <comment ref="B22" authorId="0" shapeId="0" xr:uid="{00000000-0006-0000-0200-000006000000}">
      <text>
        <r>
          <rPr>
            <b/>
            <sz val="9"/>
            <color indexed="81"/>
            <rFont val="Tahoma"/>
            <family val="2"/>
          </rPr>
          <t>Richard Taylor:</t>
        </r>
        <r>
          <rPr>
            <sz val="9"/>
            <color indexed="81"/>
            <rFont val="Tahoma"/>
            <family val="2"/>
          </rPr>
          <t xml:space="preserve">
multiply by the factor to get "From" "To"</t>
        </r>
      </text>
    </comment>
    <comment ref="B32" authorId="0" shapeId="0" xr:uid="{00000000-0006-0000-0200-000007000000}">
      <text>
        <r>
          <rPr>
            <b/>
            <sz val="9"/>
            <color indexed="81"/>
            <rFont val="Tahoma"/>
            <family val="2"/>
          </rPr>
          <t>Richard Taylor:</t>
        </r>
        <r>
          <rPr>
            <sz val="9"/>
            <color indexed="81"/>
            <rFont val="Tahoma"/>
            <family val="2"/>
          </rPr>
          <t xml:space="preserve">
multiply by the factor to get "From" "To"</t>
        </r>
      </text>
    </comment>
    <comment ref="B43" authorId="0" shapeId="0" xr:uid="{00000000-0006-0000-0200-000008000000}">
      <text>
        <r>
          <rPr>
            <b/>
            <sz val="9"/>
            <color indexed="81"/>
            <rFont val="Tahoma"/>
            <family val="2"/>
          </rPr>
          <t>Richard Taylor:</t>
        </r>
        <r>
          <rPr>
            <sz val="9"/>
            <color indexed="81"/>
            <rFont val="Tahoma"/>
            <family val="2"/>
          </rPr>
          <t xml:space="preserve">
multiply by the factor to get "From" "To"</t>
        </r>
      </text>
    </comment>
    <comment ref="B49" authorId="0" shapeId="0" xr:uid="{F6A8F3AB-4FFA-4165-A758-4A32E320FCAD}">
      <text>
        <r>
          <rPr>
            <b/>
            <sz val="9"/>
            <color indexed="81"/>
            <rFont val="Tahoma"/>
            <family val="2"/>
          </rPr>
          <t>Richard Taylor:</t>
        </r>
        <r>
          <rPr>
            <sz val="9"/>
            <color indexed="81"/>
            <rFont val="Tahoma"/>
            <family val="2"/>
          </rPr>
          <t xml:space="preserve">
multiply by the factor to get "From" "To"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<sst xmlns="http://schemas.openxmlformats.org/spreadsheetml/2006/main" count="1922" uniqueCount="999">
  <si>
    <t>Hydrogen Emissions Calculator for the UK Low Carbon Hydrogen Standard: 
ELECTROLYSIS PATHWAYS ONLY</t>
  </si>
  <si>
    <r>
      <t xml:space="preserve">This condensed version of the full calculator is used for calculating the GHG emissions associated with electrolytic hydrogen production and determining likely compliance of that pathway with the Low Carbon Hydrogen Standard. This condensed electrolysis calculator will provide the same GHG emissions results as using the full calculator - however, </t>
    </r>
    <r>
      <rPr>
        <b/>
        <sz val="11"/>
        <color rgb="FFFF0000"/>
        <rFont val="Calibri"/>
        <family val="2"/>
      </rPr>
      <t>the full calculator MUST be used if you are proposing any biogenic/waste electricity sources for electrolysis</t>
    </r>
    <r>
      <rPr>
        <sz val="11"/>
        <color rgb="FF000000"/>
        <rFont val="Calibri"/>
        <family val="2"/>
      </rPr>
      <t xml:space="preserve">, due to additional biomass questions, sustainability checks and upstream supply chain steps that do not form part of this workbook. Note that this workbook is not to be used for reporting of actual GHG emissions once your project is operational. </t>
    </r>
  </si>
  <si>
    <t>1. Fill in the Initial_questions worksheet</t>
  </si>
  <si>
    <t>The user should first navigate to the Initial_questions worksheet to provide detailed information on the hydrogen production pathway. Certain questions include drop down menus and a response should be selected from the list of choices given. Other worksheets may not function properly if the Initial_questions worksheet is not fully completed.</t>
  </si>
  <si>
    <t xml:space="preserve">The user should then navigate to the Electrolysis step by following the link given at the bottom of the Initial_questions worksheet. </t>
  </si>
  <si>
    <t>2. Fill in the Hydrogen Production Pathway Worksheets</t>
  </si>
  <si>
    <t>Once the user has navigated to the Electrolysis tab, they will need provide data on the inputs and outputs to their pathway. It is important to provide as much detail as possible and include references to sources of information. Note that if the user has selected to use default data for some of the steps or processing plant emission categories in their pathway, these rows will not need to be completed and will be blanked out with a message to indicate that the user should continue to the following rows.</t>
  </si>
  <si>
    <t>3. View the result in the Summary GHG Worksheet</t>
  </si>
  <si>
    <t>The total GHG emissions calculated for the production pathway will be displayed in the pathway summary GHG worksheet which can be accessed via the link given at the top of the processing worksheet (the last step of the pathway, from which hydrogen is produced).</t>
  </si>
  <si>
    <t>Guidance Worksheets</t>
  </si>
  <si>
    <t>Guidance has been provided to help explain how to use the worksheets in this calculator.</t>
  </si>
  <si>
    <t>Multiple workbooks may be needed if there are multiple "Other" electricity input consignments used for the pathway. The GHG emissions results for other consignments that have been calculated in another workbook should be listed in the table in the Dashboard worksheet.</t>
  </si>
  <si>
    <t>Disclaimer</t>
  </si>
  <si>
    <t>A user achieving a satisfactory GHG emissions result within the tool is not necessarily proof of compliance with the UK's Low Carbon Hydrogen Standard nor eligibility for any UK Government grant funding or revenue support policies that rely on the Low Carbon Hydrogen Standard. ERM, Arup and DESNZ take no responsibility for any user errors or inconsistent datasets being used.</t>
  </si>
  <si>
    <t>The onus is on the user to carefully check all the data they input and any suggested datasets referenced within the tool that they rely on within their calculations, including whether any default data used is applicable to the user's feedstock and pathway.</t>
  </si>
  <si>
    <t>Only once a completed version of this file, accompanying files for other hydrogen consignments (where relevant) and all accompanying evidence have been subject to detailed review for validity and consistency will DESNZ be able to state whether a project is likely to be compliant with the Low Carbon Hydrogen Standard.</t>
  </si>
  <si>
    <t>General instructions, Questions &amp; Pathway summary</t>
  </si>
  <si>
    <t>Title</t>
  </si>
  <si>
    <t>Landing page, overview instructions and disclaimer</t>
  </si>
  <si>
    <t>Navigation</t>
  </si>
  <si>
    <t>This worksheet, setting out the workbook structure</t>
  </si>
  <si>
    <t>Guidance Initial Qus</t>
  </si>
  <si>
    <t>This sheet explains how to use the Initial questions worksheet</t>
  </si>
  <si>
    <t>Guidance Processing</t>
  </si>
  <si>
    <t>This sheet explains how to use the Processing worksheets</t>
  </si>
  <si>
    <t>Guidance Summary GHG</t>
  </si>
  <si>
    <t>This sheet explains how to use the Summary GHG worksheets</t>
  </si>
  <si>
    <t>Initial_questions</t>
  </si>
  <si>
    <t>Fill in project details, pathway technology, electricity use, hydrogen output characteristics, and data sourcing</t>
  </si>
  <si>
    <t>System boundary</t>
  </si>
  <si>
    <t>Please provide a schematic representation of your GHG assessment system boundary, for the chosen consignment(s)</t>
  </si>
  <si>
    <t>Dashboard</t>
  </si>
  <si>
    <t>Please list all consignments, check you have answered all relevant questions and check your results</t>
  </si>
  <si>
    <t>Units</t>
  </si>
  <si>
    <t>Please add any additional unit conversions used throughout the workbook in this worksheet</t>
  </si>
  <si>
    <t>Default data</t>
  </si>
  <si>
    <t>Default data that can be used for feedstock supply, energy supply and input materials categories, and hypothetical compression and purification emissions</t>
  </si>
  <si>
    <t>Typical data</t>
  </si>
  <si>
    <t>Typical data that can be used including T&amp;D and storage loss factors, input material intensities, crude oil upstream intensities, and other useful reference sources</t>
  </si>
  <si>
    <t>Non Typical data</t>
  </si>
  <si>
    <t>Electricity GHG emissions factors to be used, and other useful reference sources</t>
  </si>
  <si>
    <t>GHG_ELECTROLYSIS</t>
  </si>
  <si>
    <t>Output Summary GHG emission worksheets showing step efficiencies, emissions, allocation between products/co-products, and pathway total GHG emissions</t>
  </si>
  <si>
    <t>Electrolysis</t>
  </si>
  <si>
    <t>Complete this worksheet, ensuring that all inputs and outputs for the process are captured. Some example inputs and outputs are provided. This should not be considered an exhaustive list, and some of the examples may not apply to your process. Illustrative data in red text are provided, which should be deleted/replaced.
The input and output values should be reported in either tonnes/yr or MWh/yr. Please also provide the assumed annual operating hours (full-load equivalents) at the bottom of this sheet.
In this final processing worksheet for the pathway, default data may be selected for some of the emissions categories (Energy Supply and/or Input Materials), therefore there may be blank blocks of rows in this worksheet which do not need to be completed.
One workbook should be completed if electrolysis electricity inputs can broken down into wind/solar, nuclear, grid and up to one 'other electricity source'. Multiple workbooks may be needed if there are multiple 'other electricity sources' being used that form different consignments with different GHG emissions.</t>
  </si>
  <si>
    <t>Version control</t>
  </si>
  <si>
    <t>v4.10 Electrolysis</t>
  </si>
  <si>
    <t>Initial questions worksheet</t>
  </si>
  <si>
    <t>This sheet provides guidance on how to use the Initial questions worksheet</t>
  </si>
  <si>
    <t>Legend</t>
  </si>
  <si>
    <t>Cells require data input (freeform)</t>
  </si>
  <si>
    <t>Cells require data input (from drop-down menu)</t>
  </si>
  <si>
    <t>Calculation cells</t>
  </si>
  <si>
    <t>Initial questions worksheet overview</t>
  </si>
  <si>
    <t xml:space="preserve">The answers given in the Initial questions worksheet are used to assess compliance of the pathway with the UK Low Carbon Hydrogen Standard. </t>
  </si>
  <si>
    <t>Please select other electricity inputs if your project's sole electricity source does not fall into the given categories. Please select mixed electricity inputs if you are using more than one source of electricity (including other).</t>
  </si>
  <si>
    <t xml:space="preserve">The hydrogen production pathway and the feedstock origins should be selected from the drop down lists provided. </t>
  </si>
  <si>
    <t>Multiple workbooks may be needed if there are multiple "Other" electricity inputs used for the pathway. The GHG emissions results for other consignments that have been calculated in other workbooks should be listed in the table in the Dashboard worksheet.</t>
  </si>
  <si>
    <t>Details on the electricity source(s) should be given here. Some questions will update based on previous answers given. Here, "Other electricity sources" is set to 0 MWhe/year and so questions related to "Other" sources of electricity are updated to show "Not applicable".</t>
  </si>
  <si>
    <r>
      <t xml:space="preserve">The UK Low Carbon Hydrogen Standard requires that hydrogen GHG emissions are calculated at a minimum </t>
    </r>
    <r>
      <rPr>
        <b/>
        <sz val="11"/>
        <color rgb="FF000000"/>
        <rFont val="Calibri"/>
        <family val="2"/>
      </rPr>
      <t xml:space="preserve">3 MPa </t>
    </r>
    <r>
      <rPr>
        <sz val="11"/>
        <color rgb="FF000000"/>
        <rFont val="Calibri"/>
        <family val="2"/>
      </rPr>
      <t>pressure and</t>
    </r>
    <r>
      <rPr>
        <b/>
        <sz val="11"/>
        <color rgb="FF000000"/>
        <rFont val="Calibri"/>
        <family val="2"/>
      </rPr>
      <t xml:space="preserve"> 99.9% by volume </t>
    </r>
    <r>
      <rPr>
        <sz val="11"/>
        <color rgb="FF000000"/>
        <rFont val="Calibri"/>
        <family val="2"/>
      </rPr>
      <t>purity. If a pathway produces hydrogen at a lower pressure and purity, there are theoretical compression and purification GHG emissions included in the calculator to allow for these pathways to produce hydrogen that meets the requirements of the Standard. It is therefore important to provide data on the output pressure and purity of the hydrogen produced by a certain pathway.</t>
    </r>
  </si>
  <si>
    <t>Your project may be at an early stage, and there may be insufficient data available to calculate the GHG emissions from certain steps of our pathway. Default data has been provided for the GHG emissions associated with feedstock supply, processing plant energy inputs, and processing plant input materials, for those hydrogen production pathways detailed in the Low Carbon Hydrogen Standard. If default data is required for the pathway, this should be selected in the drop down list to allow for the data to be populated in the relevant Summary GHG worksheet to calculate your result. Default data is not provided for the emissions associated with Process CO2 emissions generated, CO2 capture and network entry, CO2 sequestration, and Fugitive non-CO2 emissions, and so projected data values must be used for these categories. Projected data must also be used if your feedstock or pathway does not match the feedstock or pathway within the DESNZ default dataset.</t>
  </si>
  <si>
    <t>Processing worksheet</t>
  </si>
  <si>
    <t>This sheet provides guidance on how to use the processing worksheet (final step of the supply chain that produces hydrogen)</t>
  </si>
  <si>
    <t>Processing worksheet overview</t>
  </si>
  <si>
    <t>The Processing worksheet for the Electrolysis pathway is shown below. Note the values in red text are illustrative numbers and should be deleted.</t>
  </si>
  <si>
    <r>
      <t>The processing worksheets are structured into the emissions categories of the UK Low Carbon Hydrogen Standard:
- Energy supply
- Input materials
- Process CO</t>
    </r>
    <r>
      <rPr>
        <vertAlign val="subscript"/>
        <sz val="11"/>
        <color rgb="FF000000"/>
        <rFont val="Calibri"/>
        <family val="2"/>
      </rPr>
      <t>2</t>
    </r>
    <r>
      <rPr>
        <sz val="11"/>
        <color rgb="FF000000"/>
        <rFont val="Calibri"/>
        <family val="2"/>
      </rPr>
      <t xml:space="preserve"> emissions
- CO</t>
    </r>
    <r>
      <rPr>
        <vertAlign val="subscript"/>
        <sz val="11"/>
        <color rgb="FF000000"/>
        <rFont val="Calibri"/>
        <family val="2"/>
      </rPr>
      <t>2</t>
    </r>
    <r>
      <rPr>
        <sz val="11"/>
        <color rgb="FF000000"/>
        <rFont val="Calibri"/>
        <family val="2"/>
      </rPr>
      <t xml:space="preserve"> capture and network entry
- CO</t>
    </r>
    <r>
      <rPr>
        <vertAlign val="subscript"/>
        <sz val="11"/>
        <color rgb="FF000000"/>
        <rFont val="Calibri"/>
        <family val="2"/>
      </rPr>
      <t>2</t>
    </r>
    <r>
      <rPr>
        <sz val="11"/>
        <color rgb="FF000000"/>
        <rFont val="Calibri"/>
        <family val="2"/>
      </rPr>
      <t xml:space="preserve"> sequestration
- Fugitive non-CO</t>
    </r>
    <r>
      <rPr>
        <vertAlign val="subscript"/>
        <sz val="11"/>
        <color rgb="FF000000"/>
        <rFont val="Calibri"/>
        <family val="2"/>
      </rPr>
      <t>2</t>
    </r>
    <r>
      <rPr>
        <sz val="11"/>
        <color rgb="FF000000"/>
        <rFont val="Calibri"/>
        <family val="2"/>
      </rPr>
      <t xml:space="preserve"> emissions</t>
    </r>
  </si>
  <si>
    <t>Energy supply</t>
  </si>
  <si>
    <t>The energy supply is split into the different hydrogen consignments, based on the different input electricity sources.</t>
  </si>
  <si>
    <t>Input materials</t>
  </si>
  <si>
    <r>
      <t>Process CO</t>
    </r>
    <r>
      <rPr>
        <b/>
        <vertAlign val="subscript"/>
        <sz val="11"/>
        <color rgb="FF000098"/>
        <rFont val="Calibri"/>
        <family val="2"/>
      </rPr>
      <t>2</t>
    </r>
    <r>
      <rPr>
        <b/>
        <sz val="11"/>
        <color rgb="FF000098"/>
        <rFont val="Calibri"/>
        <family val="2"/>
      </rPr>
      <t xml:space="preserve"> emissions, CO</t>
    </r>
    <r>
      <rPr>
        <b/>
        <vertAlign val="subscript"/>
        <sz val="11"/>
        <color rgb="FF000098"/>
        <rFont val="Calibri"/>
        <family val="2"/>
      </rPr>
      <t>2</t>
    </r>
    <r>
      <rPr>
        <b/>
        <sz val="11"/>
        <color rgb="FF000098"/>
        <rFont val="Calibri"/>
        <family val="2"/>
      </rPr>
      <t xml:space="preserve"> capture and network entry, CO</t>
    </r>
    <r>
      <rPr>
        <b/>
        <vertAlign val="subscript"/>
        <sz val="11"/>
        <color rgb="FF000098"/>
        <rFont val="Calibri"/>
        <family val="2"/>
      </rPr>
      <t xml:space="preserve">2 </t>
    </r>
    <r>
      <rPr>
        <b/>
        <sz val="11"/>
        <color rgb="FF000098"/>
        <rFont val="Calibri"/>
        <family val="2"/>
      </rPr>
      <t>sequestration</t>
    </r>
  </si>
  <si>
    <r>
      <t>Fugitive non-CO</t>
    </r>
    <r>
      <rPr>
        <b/>
        <vertAlign val="subscript"/>
        <sz val="11"/>
        <color rgb="FF000098"/>
        <rFont val="Calibri"/>
        <family val="2"/>
      </rPr>
      <t>2</t>
    </r>
    <r>
      <rPr>
        <b/>
        <sz val="11"/>
        <color rgb="FF000098"/>
        <rFont val="Calibri"/>
        <family val="2"/>
      </rPr>
      <t xml:space="preserve"> emissions</t>
    </r>
  </si>
  <si>
    <t>Summary worksheets</t>
  </si>
  <si>
    <t>This sheet provides guidance on how to use the Summary worksheets</t>
  </si>
  <si>
    <t>Calculation cells (linked to another worksheet or calculated in worksheet)</t>
  </si>
  <si>
    <t>Cell does not require data input and is not a calculation</t>
  </si>
  <si>
    <t>Summary worksheets overview</t>
  </si>
  <si>
    <r>
      <rPr>
        <b/>
        <sz val="11"/>
        <color rgb="FF000000"/>
        <rFont val="Calibri"/>
        <family val="2"/>
      </rPr>
      <t>Example pathway: Electrolysis with mixed inputs (wind/solar and grid).</t>
    </r>
    <r>
      <rPr>
        <sz val="11"/>
        <color rgb="FF000000"/>
        <rFont val="Calibri"/>
        <family val="2"/>
      </rPr>
      <t xml:space="preserve"> The Summary worksheet with results for an Electrolysis pathway with mixed electricity inputs is shown, with the Wind/solar electricity and Grid electricity consignment tables as an example. Note the projected data is based on illustrative numbers entered in red text in the pathway module worksheets and should be deleted. Each of the 3 sections illustrated will be explained in more detail below.</t>
    </r>
  </si>
  <si>
    <t>Calculator explanation</t>
  </si>
  <si>
    <t>1: Projected or Default data?</t>
  </si>
  <si>
    <t>If there is insufficient data for the upstream steps of the pathway, there is the option to select default data in the Data sources section of the Initial questions worksheet. There is also default data available for the energy supply and input materials. The default values are listed in the Default data worksheet and are automatically populated in the Summary table based on the pathway selected in the Initial questions worksheet.</t>
  </si>
  <si>
    <t>Selection made in the Initial questions worksheet:</t>
  </si>
  <si>
    <t>Summary worksheet entries are automatically populated based on this selection and the selected GHG emissions from the step are calculated.</t>
  </si>
  <si>
    <r>
      <t>2: GHG emissions from step, WITHOUT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</si>
  <si>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step, without allocation, is calculated using the following formula:</t>
  </si>
  <si>
    <r>
      <t>3: Projected GHG emissions from step, WITH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</si>
  <si>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step, with allocation, is calculated using the following formula:</t>
  </si>
  <si>
    <t>The energy allocation approach is used to determine the allocation factor for each step. The upstream and step emissions are assigned to all products and co-products according to the proportion of the total output energy that they each have, as measured on a lower heating value basis.</t>
  </si>
  <si>
    <t>Initial questions to be filled in by a pre-operational electrolysis project</t>
  </si>
  <si>
    <t>Project details</t>
  </si>
  <si>
    <t>Organisation name</t>
  </si>
  <si>
    <t>Contact email address</t>
  </si>
  <si>
    <t>Project name</t>
  </si>
  <si>
    <t>Is the hydrogen production project located in the UK?</t>
  </si>
  <si>
    <t>Details of the project location</t>
  </si>
  <si>
    <t>Technology</t>
  </si>
  <si>
    <t>Please select the hydrogen production pathway relevant to your project</t>
  </si>
  <si>
    <t>Please confirm that your hydrogen production plant is yet to be constructed (select ‘Yes’ if not yet built)</t>
  </si>
  <si>
    <t>What full calendar year of plant operations do the calculations in this workbook cover?</t>
  </si>
  <si>
    <t>Electricity inputs</t>
  </si>
  <si>
    <t>Of the electricity imported into the processing plant (not just for the electrolyser) in the relevant year of operations, what is the breakdown of sources of this electricity? Please enter 0 if not applicable.</t>
  </si>
  <si>
    <t>Wind or solar electricity</t>
  </si>
  <si>
    <r>
      <t>MWh</t>
    </r>
    <r>
      <rPr>
        <b/>
        <vertAlign val="subscript"/>
        <sz val="11"/>
        <color rgb="FF000000"/>
        <rFont val="Calibri"/>
        <family val="2"/>
      </rPr>
      <t>e</t>
    </r>
    <r>
      <rPr>
        <b/>
        <sz val="11"/>
        <color rgb="FF000000"/>
        <rFont val="Calibri"/>
        <family val="2"/>
      </rPr>
      <t>/year</t>
    </r>
  </si>
  <si>
    <t>Nuclear electricity</t>
  </si>
  <si>
    <t>Grid electricity (national average)</t>
  </si>
  <si>
    <t>Stored electricity</t>
  </si>
  <si>
    <t>Other electricity source</t>
  </si>
  <si>
    <r>
      <t>gCO</t>
    </r>
    <r>
      <rPr>
        <b/>
        <vertAlign val="subscript"/>
        <sz val="11"/>
        <color rgb="FF000000"/>
        <rFont val="Calibri"/>
        <family val="2"/>
      </rPr>
      <t>2</t>
    </r>
    <r>
      <rPr>
        <b/>
        <sz val="11"/>
        <color rgb="FF000000"/>
        <rFont val="Calibri"/>
        <family val="2"/>
      </rPr>
      <t>e/kWh</t>
    </r>
    <r>
      <rPr>
        <b/>
        <vertAlign val="subscript"/>
        <sz val="11"/>
        <color rgb="FF000000"/>
        <rFont val="Calibri"/>
        <family val="2"/>
      </rPr>
      <t>e</t>
    </r>
  </si>
  <si>
    <t>Expected annual average GHG emissions intensity of the total electricity imported into the processing plant in the relevant calendar year of operations</t>
  </si>
  <si>
    <t>Expected annual average % renewability of grid electricity (national average)</t>
  </si>
  <si>
    <t>Expected annual average % renewability of stored electricity</t>
  </si>
  <si>
    <t>Expected annual average % renewability of other electricity sources(s)</t>
  </si>
  <si>
    <t>Expected annual average % of electricity derived from low-carbon sources - please adjust the formula if the 'stored electricity' or 'other electricity source' is low carbon</t>
  </si>
  <si>
    <t>Please give further details of the source of the electricity used in the processing plant (e.g. type, location, scale and status of a specific power plant, or electricity storage facility, or other generation sources imported)</t>
  </si>
  <si>
    <t>For the electricity imported into the processing plant, please enter the % of electricity sourced via each arrangement (enter 0% if not applicable)</t>
  </si>
  <si>
    <t>Curtailed low carbon electricity</t>
  </si>
  <si>
    <t>Off-grid dedicated generation (via physically linked low carbon electricity generation), neither low carbon electricity generator or hydrogen production plant connected to the grid</t>
  </si>
  <si>
    <t>On-grid dedicated generation (via physically linked low carbon electricity generation), if low carbon electricity generator and/or hydrogen production plant connected to the grid</t>
  </si>
  <si>
    <t xml:space="preserve">Direct/Sleeved Power Purchase Agreement (physical tracing of low carbon generation via the grid) </t>
  </si>
  <si>
    <t xml:space="preserve">Wholesale purchase from generator (physical tracing of low carbon generation via the grid) </t>
  </si>
  <si>
    <t>Shaped PPA (mix of physically traced generation and grid imported electricity)</t>
  </si>
  <si>
    <t xml:space="preserve">Virtual PPA (treated as grid imported electricity if there is no physical tracing of low carbon generation) </t>
  </si>
  <si>
    <t xml:space="preserve">Wholesale/retail grid import (no links to low carbon generation – taken as grid average) </t>
  </si>
  <si>
    <t>Other</t>
  </si>
  <si>
    <t>Total (sum-check)</t>
  </si>
  <si>
    <t>If applicable, please reference and attach the documents evidencing the contractual details of the electricity input arrangement (e.g. Power Purchase Agreement details covering ownership of the associated generation and agreed electricity amounts purchased).</t>
  </si>
  <si>
    <t>Hydrogen output</t>
  </si>
  <si>
    <t>What is the proposed production of hydrogen in the relevant year of operations, after any onsite compression and purification?</t>
  </si>
  <si>
    <t>tonnes/year</t>
  </si>
  <si>
    <t>What are the full load equivalent operating hours for the relevant year? This is the annual hydrogen production (tonnes/year) divided by maximum capacity (tonnes/hour), and will be lower than the operating hours in the row below.</t>
  </si>
  <si>
    <t>hours/year</t>
  </si>
  <si>
    <t>How many hours will your plant be operational for in the relevant year? This includes periods of full and part load.</t>
  </si>
  <si>
    <t>What is the proposed hydrogen output pressure of your production plant, after any onsite compression?</t>
  </si>
  <si>
    <t>MPa = (bar/10)</t>
  </si>
  <si>
    <t>What is the proposed hydrogen output purity of your production plant, after any onsite purification?</t>
  </si>
  <si>
    <t>by volume</t>
  </si>
  <si>
    <t>What is the proposed hydrogen output temperature of your production plant, after any onsite compression and purification?</t>
  </si>
  <si>
    <t>°C</t>
  </si>
  <si>
    <t>What is the expected source of the electricity that would theoretically be used for compression or purification up to the minimum levels in the Standard (if output pressure and/or purity are below the Standard levels), or for compression or purification from the Standard levels up to higher output levels specified (if Default data is selected for Energy supply emissions)?</t>
  </si>
  <si>
    <t>Do you agree to provide a Fugitive Hydrogen Emissions Risk Reduction Plan?</t>
  </si>
  <si>
    <t>Data sources</t>
  </si>
  <si>
    <t xml:space="preserve">Are the data used for the calculations in this workbook Projected, Default data or a Mix? 
NB: If selecting Electrolysis using 'Other electricity input' and Electrolysis using 'Stored electricity' users are not allowed to select "Default", and must select "Projected" or "Mixed". </t>
  </si>
  <si>
    <t>If applicable, please explain your overall approach for determining projected data values, e.g. your own engineering design studies, literature surveys.</t>
  </si>
  <si>
    <t>Please provide references to documents that evidence the GHG calculations for the project (e.g. technical evidence, feedstock contracts, offtakes etc), and attach these documents alongside your submitted workbook(s)</t>
  </si>
  <si>
    <t>Next steps:</t>
  </si>
  <si>
    <t>Links:</t>
  </si>
  <si>
    <t>1. Please go to the System Boundary worksheet to provide a schematic representation of your GHG system boundary.</t>
  </si>
  <si>
    <t>System boundary worksheet</t>
  </si>
  <si>
    <t>2. Then, please move to and complete the Electrolysis worksheet.</t>
  </si>
  <si>
    <t>Electrolysis worksheet</t>
  </si>
  <si>
    <t>3. Afterwards, please check the result in the summary GHG Electrolysis worksheet.</t>
  </si>
  <si>
    <t>Summary GHG worksheet</t>
  </si>
  <si>
    <t>4. Finally, check the Dashboard worksheet that you have completed all required fields, and input any other consignment results calculated in other workbooks and their weighted shares to calculate an overall weighted average GHG emissions result.</t>
  </si>
  <si>
    <t>Dashboard worksheet</t>
  </si>
  <si>
    <t>Please note, these links will not work if you have saved the file with any spaces or special characters (other than underscores) in the filename.</t>
  </si>
  <si>
    <t>GHG assessment system boundary</t>
  </si>
  <si>
    <t>Please provide a schematic representation of your system boundary and supply chain for the hydrogen consignment(s) analysed in this Workbook</t>
  </si>
  <si>
    <t>Please ensure that any flow values you provide in this schematic are consistent with the Initial questions worksheet and your processing plant worksheet</t>
  </si>
  <si>
    <t>Please note, this link will not work if you have saved the file with any spaces or special characters (other than underscores) in the filename.</t>
  </si>
  <si>
    <t>Example high-level supply chain given below for one consignment - please delete and provide your own (likely much more detailed) version(s). Flow rates can be included if you wish. Multiple diagrams can be provided for multiple consignments (e.g. different hydrogen batches made from different electricity inputs)</t>
  </si>
  <si>
    <t>Summary dashboard</t>
  </si>
  <si>
    <t>Has the user answered all relevant questions?</t>
  </si>
  <si>
    <t>What pathway technology is proposed?</t>
  </si>
  <si>
    <t>Is the project sited in the UK and yet to be built?</t>
  </si>
  <si>
    <t>What are the pathway's likely future GHG emissions (annual weighted average across all consignments)?</t>
  </si>
  <si>
    <r>
      <t>gCO</t>
    </r>
    <r>
      <rPr>
        <vertAlign val="subscript"/>
        <sz val="11"/>
        <rFont val="Calibri"/>
        <family val="2"/>
      </rPr>
      <t>2</t>
    </r>
    <r>
      <rPr>
        <sz val="11"/>
        <rFont val="Calibri"/>
        <family val="2"/>
      </rPr>
      <t>e/MJ</t>
    </r>
    <r>
      <rPr>
        <vertAlign val="subscript"/>
        <sz val="11"/>
        <rFont val="Calibri"/>
        <family val="2"/>
      </rPr>
      <t>LHV</t>
    </r>
    <r>
      <rPr>
        <sz val="11"/>
        <rFont val="Calibri"/>
        <family val="2"/>
      </rPr>
      <t xml:space="preserve"> H</t>
    </r>
    <r>
      <rPr>
        <vertAlign val="subscript"/>
        <sz val="11"/>
        <rFont val="Calibri"/>
        <family val="2"/>
      </rPr>
      <t>2</t>
    </r>
  </si>
  <si>
    <t>What percentage of the total electricity input is low carbon?</t>
  </si>
  <si>
    <t>How many REGOs are likely to need to be cancelled for the year?</t>
  </si>
  <si>
    <t>MWhe/yr</t>
  </si>
  <si>
    <t>Has the project agreed to report fugitive hydrogen emissions?</t>
  </si>
  <si>
    <t>Is the project likely to be compliant with the Low Carbon Hydrogen Standard?</t>
  </si>
  <si>
    <t>Consignments - please list all your consignments</t>
  </si>
  <si>
    <t>Please list all your hydrogen consignments, specifying the feedstock/main energy source used for each</t>
  </si>
  <si>
    <t>Data location</t>
  </si>
  <si>
    <r>
      <t>Consignment % of total hydrogen (MJ</t>
    </r>
    <r>
      <rPr>
        <b/>
        <vertAlign val="subscript"/>
        <sz val="11"/>
        <color rgb="FF000000"/>
        <rFont val="Calibri"/>
        <family val="2"/>
      </rPr>
      <t>LHV</t>
    </r>
    <r>
      <rPr>
        <b/>
        <sz val="11"/>
        <color rgb="FF000000"/>
        <rFont val="Calibri"/>
        <family val="2"/>
      </rPr>
      <t xml:space="preserve"> basis)</t>
    </r>
  </si>
  <si>
    <r>
      <t>Consignment GHG emissions (gCO</t>
    </r>
    <r>
      <rPr>
        <b/>
        <vertAlign val="subscript"/>
        <sz val="11"/>
        <rFont val="Calibri"/>
        <family val="2"/>
      </rPr>
      <t>2</t>
    </r>
    <r>
      <rPr>
        <b/>
        <sz val="11"/>
        <rFont val="Calibri"/>
        <family val="2"/>
      </rPr>
      <t>e/MJ</t>
    </r>
    <r>
      <rPr>
        <b/>
        <vertAlign val="subscript"/>
        <sz val="11"/>
        <rFont val="Calibri"/>
        <family val="2"/>
      </rPr>
      <t>LHV</t>
    </r>
    <r>
      <rPr>
        <b/>
        <sz val="11"/>
        <rFont val="Calibri"/>
        <family val="2"/>
      </rPr>
      <t xml:space="preserve"> H</t>
    </r>
    <r>
      <rPr>
        <b/>
        <vertAlign val="subscript"/>
        <sz val="11"/>
        <rFont val="Calibri"/>
        <family val="2"/>
      </rPr>
      <t>2</t>
    </r>
    <r>
      <rPr>
        <b/>
        <sz val="11"/>
        <rFont val="Calibri"/>
        <family val="2"/>
      </rPr>
      <t>)</t>
    </r>
  </si>
  <si>
    <t>Analysed in this workbook</t>
  </si>
  <si>
    <t>Enter consignment 6 (if required)</t>
  </si>
  <si>
    <t>Not required</t>
  </si>
  <si>
    <t>Weighted average (this is an annual average used for projected/default data prior to operations starting, and not for operational monthly reporting)</t>
  </si>
  <si>
    <t>Energy conversion factors</t>
  </si>
  <si>
    <t>From                                         To</t>
  </si>
  <si>
    <t>TJ</t>
  </si>
  <si>
    <t>Gcal</t>
  </si>
  <si>
    <t>Mtoe</t>
  </si>
  <si>
    <t>Mbtu</t>
  </si>
  <si>
    <t>GWh</t>
  </si>
  <si>
    <t>Terajoule (TJ)</t>
  </si>
  <si>
    <t>GigaCalorie (Gcal)</t>
  </si>
  <si>
    <t>million tonne of oil equivalent (Mtoe)</t>
  </si>
  <si>
    <t>million British thermal unit (Mbtu)</t>
  </si>
  <si>
    <t>GigaWatt hour (GWh)</t>
  </si>
  <si>
    <t>Mass conversion factors</t>
  </si>
  <si>
    <t>kg</t>
  </si>
  <si>
    <t>te</t>
  </si>
  <si>
    <t>lt</t>
  </si>
  <si>
    <t>st</t>
  </si>
  <si>
    <t>lb</t>
  </si>
  <si>
    <t>oz</t>
  </si>
  <si>
    <t>kilogramme (kg)</t>
  </si>
  <si>
    <t>tonne (te)</t>
  </si>
  <si>
    <t>long ton (lt)</t>
  </si>
  <si>
    <t>short ton (st)</t>
  </si>
  <si>
    <t>pound (lb)</t>
  </si>
  <si>
    <t>ounce (oz)</t>
  </si>
  <si>
    <t>Volume conversion factors</t>
  </si>
  <si>
    <t>gal US</t>
  </si>
  <si>
    <t>gal UK</t>
  </si>
  <si>
    <t>bbl</t>
  </si>
  <si>
    <t>ft3</t>
  </si>
  <si>
    <t>l</t>
  </si>
  <si>
    <t>m3</t>
  </si>
  <si>
    <t>US gallon (gal)</t>
  </si>
  <si>
    <t>UK gallon (gal)</t>
  </si>
  <si>
    <t>barrel (bbl)</t>
  </si>
  <si>
    <t>cubic feet (ft3)</t>
  </si>
  <si>
    <t>litre (l)</t>
  </si>
  <si>
    <t>cubic metre (m3)</t>
  </si>
  <si>
    <t>Length conversion factors</t>
  </si>
  <si>
    <t>in</t>
  </si>
  <si>
    <t>ft</t>
  </si>
  <si>
    <t>yd</t>
  </si>
  <si>
    <t>mi</t>
  </si>
  <si>
    <t>nmi</t>
  </si>
  <si>
    <t>m</t>
  </si>
  <si>
    <t>km</t>
  </si>
  <si>
    <t>inch (in)</t>
  </si>
  <si>
    <t>foot (ft)</t>
  </si>
  <si>
    <t>yard (yd)</t>
  </si>
  <si>
    <t>mile (mi)</t>
  </si>
  <si>
    <t>nautical mile (nmi)</t>
  </si>
  <si>
    <t>metre (m)</t>
  </si>
  <si>
    <t>kilometre (km)</t>
  </si>
  <si>
    <t>Power conversion factors</t>
  </si>
  <si>
    <t>HP</t>
  </si>
  <si>
    <t>kW</t>
  </si>
  <si>
    <t>horsepower (HP) - mechanic</t>
  </si>
  <si>
    <t>kilowatts (kW)</t>
  </si>
  <si>
    <t>Pressure conversion factors</t>
  </si>
  <si>
    <t>Bar</t>
  </si>
  <si>
    <t>MPa</t>
  </si>
  <si>
    <t>Metric Prefixes</t>
  </si>
  <si>
    <t>10^x</t>
  </si>
  <si>
    <t>Prefix</t>
  </si>
  <si>
    <t>Symbol</t>
  </si>
  <si>
    <t>10^24</t>
  </si>
  <si>
    <t>yotta</t>
  </si>
  <si>
    <t>Y</t>
  </si>
  <si>
    <t>10^21</t>
  </si>
  <si>
    <t>zetta</t>
  </si>
  <si>
    <t>Z</t>
  </si>
  <si>
    <t>10^18</t>
  </si>
  <si>
    <t>exa</t>
  </si>
  <si>
    <t>E</t>
  </si>
  <si>
    <t>10^15</t>
  </si>
  <si>
    <t>peta</t>
  </si>
  <si>
    <t>P</t>
  </si>
  <si>
    <t>10^12</t>
  </si>
  <si>
    <t>tera</t>
  </si>
  <si>
    <t>T</t>
  </si>
  <si>
    <t>10^9</t>
  </si>
  <si>
    <t>giga</t>
  </si>
  <si>
    <t>G</t>
  </si>
  <si>
    <t>10^6</t>
  </si>
  <si>
    <t>mega</t>
  </si>
  <si>
    <t>M</t>
  </si>
  <si>
    <t>10^3</t>
  </si>
  <si>
    <t>kilo</t>
  </si>
  <si>
    <t>k</t>
  </si>
  <si>
    <t>10^2</t>
  </si>
  <si>
    <t>hecto</t>
  </si>
  <si>
    <t>h</t>
  </si>
  <si>
    <t>10^1</t>
  </si>
  <si>
    <t>deka</t>
  </si>
  <si>
    <t>da</t>
  </si>
  <si>
    <t>10^-1</t>
  </si>
  <si>
    <t>deci</t>
  </si>
  <si>
    <t>d</t>
  </si>
  <si>
    <t>10^-2</t>
  </si>
  <si>
    <t>centi</t>
  </si>
  <si>
    <t>c</t>
  </si>
  <si>
    <t>10^-3</t>
  </si>
  <si>
    <t>milli</t>
  </si>
  <si>
    <t>10^-6</t>
  </si>
  <si>
    <t>micro</t>
  </si>
  <si>
    <t>10^-9</t>
  </si>
  <si>
    <t>nano</t>
  </si>
  <si>
    <t>n</t>
  </si>
  <si>
    <t>10^-12</t>
  </si>
  <si>
    <t>pico</t>
  </si>
  <si>
    <t>p</t>
  </si>
  <si>
    <t>10^-15</t>
  </si>
  <si>
    <t>femto</t>
  </si>
  <si>
    <t>f</t>
  </si>
  <si>
    <t>10^-18</t>
  </si>
  <si>
    <t>atto</t>
  </si>
  <si>
    <t>a</t>
  </si>
  <si>
    <t>10^-21</t>
  </si>
  <si>
    <t>zepto</t>
  </si>
  <si>
    <t>z</t>
  </si>
  <si>
    <t>10^-24</t>
  </si>
  <si>
    <t>yocto</t>
  </si>
  <si>
    <t>y</t>
  </si>
  <si>
    <t>Sources</t>
  </si>
  <si>
    <t>http://wds.iea.org/wds/pdf/documentation_co2_2012.pdf</t>
  </si>
  <si>
    <t>http://www.exo.net/~pauld/physics/Metric_prefixes.html</t>
  </si>
  <si>
    <t>Drop-down menu choices</t>
  </si>
  <si>
    <t>Production pathway</t>
  </si>
  <si>
    <t>Status</t>
  </si>
  <si>
    <t>Feedstock location</t>
  </si>
  <si>
    <t>Data type</t>
  </si>
  <si>
    <t>Fossil source</t>
  </si>
  <si>
    <t>Gas grid</t>
  </si>
  <si>
    <t>CO2</t>
  </si>
  <si>
    <t>Credit</t>
  </si>
  <si>
    <t>Feedstock</t>
  </si>
  <si>
    <t>Offset</t>
  </si>
  <si>
    <t>Sustainability</t>
  </si>
  <si>
    <t>Bio</t>
  </si>
  <si>
    <t>Theoretical power input</t>
  </si>
  <si>
    <t>Biomethane</t>
  </si>
  <si>
    <t>Data type for categories</t>
  </si>
  <si>
    <t>Restricted data type for categories</t>
  </si>
  <si>
    <t>Crop groups for iLUC</t>
  </si>
  <si>
    <t>Years</t>
  </si>
  <si>
    <t>Conditioning formatting switch</t>
  </si>
  <si>
    <t>Case</t>
  </si>
  <si>
    <t>Risk</t>
  </si>
  <si>
    <t>Project location</t>
  </si>
  <si>
    <t>Electrolysis using wind/solar electricity</t>
  </si>
  <si>
    <t>Yes, the plant is not yet operational</t>
  </si>
  <si>
    <t>UK origin</t>
  </si>
  <si>
    <t>Projected</t>
  </si>
  <si>
    <t>Steam Methane Reformer (SMR)</t>
  </si>
  <si>
    <t>Directly connected to transmission network</t>
  </si>
  <si>
    <t>Sequestered in permanent storage</t>
  </si>
  <si>
    <t>The emissions are claimed or credited elsewhere</t>
  </si>
  <si>
    <t>Electricity</t>
  </si>
  <si>
    <t>Offsets are not used in projections</t>
  </si>
  <si>
    <t>Yes</t>
  </si>
  <si>
    <t>Waste gasification with CCS</t>
  </si>
  <si>
    <t>Wind/solar electricity</t>
  </si>
  <si>
    <t>Dedicated pipeline/direct connection</t>
  </si>
  <si>
    <t>Cereals and other starch-rich crops</t>
  </si>
  <si>
    <t>On</t>
  </si>
  <si>
    <t>Best case</t>
  </si>
  <si>
    <t>tonnes/yr</t>
  </si>
  <si>
    <t>Yes - Great Britain</t>
  </si>
  <si>
    <t>Electrolysis using nuclear electricity</t>
  </si>
  <si>
    <t>No</t>
  </si>
  <si>
    <t>Non-UK origin</t>
  </si>
  <si>
    <t>Default</t>
  </si>
  <si>
    <t>Autothermal Reformer (ATR)</t>
  </si>
  <si>
    <t>Directly connected to medium pressure distribution network</t>
  </si>
  <si>
    <t>Utilised</t>
  </si>
  <si>
    <t>The emissions are not claimed or credited elsewhere</t>
  </si>
  <si>
    <t>Fossil natural gas</t>
  </si>
  <si>
    <t>Offsets are used in projections</t>
  </si>
  <si>
    <t>Waste gasification without CCS</t>
  </si>
  <si>
    <t>Dedicated truck</t>
  </si>
  <si>
    <t>Mixed</t>
  </si>
  <si>
    <t>Sugar crops</t>
  </si>
  <si>
    <t>Off</t>
  </si>
  <si>
    <t>Annual average case</t>
  </si>
  <si>
    <t>Analysed in another workbook</t>
  </si>
  <si>
    <t>MWh/yr (LHV)</t>
  </si>
  <si>
    <t>Yes - Northern Ireland</t>
  </si>
  <si>
    <t>Electrolysis using grid electricity</t>
  </si>
  <si>
    <t>Partial Oxidation (POX)</t>
  </si>
  <si>
    <t>Directly connected to low pressure distribution network</t>
  </si>
  <si>
    <t>Mix of permanent storage and utilisation</t>
  </si>
  <si>
    <t>Not applicable</t>
  </si>
  <si>
    <t>Waste fossil feedstock</t>
  </si>
  <si>
    <t>Biomethane autothermal reforming (ATR) without CCS</t>
  </si>
  <si>
    <t>Grid electricity</t>
  </si>
  <si>
    <t>Dedicated ship</t>
  </si>
  <si>
    <t>Oil crops</t>
  </si>
  <si>
    <t>Electrolysis using stored electricity</t>
  </si>
  <si>
    <t>Not directly connected to the gas grid</t>
  </si>
  <si>
    <t>Other fossil feedstock</t>
  </si>
  <si>
    <t>Biomethane autothermal reforming (ATR) with CCS</t>
  </si>
  <si>
    <t>Other crop/purpose grown feedstock</t>
  </si>
  <si>
    <t>Electrolysis using other electricity input</t>
  </si>
  <si>
    <t>Forest biomass, including forest residues/wastes</t>
  </si>
  <si>
    <t>Electricity input mix as above</t>
  </si>
  <si>
    <t>Other biomass feedstock group</t>
  </si>
  <si>
    <t>Electrolysis using mixed electricity inputs</t>
  </si>
  <si>
    <t>Biogenic residues, not from agriculture, aquaculture, fisheries or forestry</t>
  </si>
  <si>
    <t>Biogenic wastes, not from agriculture, aquaculture, fisheries or forestry</t>
  </si>
  <si>
    <t>Agricultural biogenic residues or wastes</t>
  </si>
  <si>
    <t>Other biogenic feedstock</t>
  </si>
  <si>
    <t>Mixed biogenic/fossil feedstock (including MSW, RDF)</t>
  </si>
  <si>
    <t>Conditional formatting master switch</t>
  </si>
  <si>
    <t>All data</t>
  </si>
  <si>
    <t>Energy Supply</t>
  </si>
  <si>
    <t>Input Materials</t>
  </si>
  <si>
    <t>Default data for pre-operational Hydrogen Production Facilities</t>
  </si>
  <si>
    <t>All GHG emissions values use 100 year GWPs from IPCC AR5 without carbon feedbacks.</t>
  </si>
  <si>
    <t>These Default Data values are derived using the YTD 2025 GB grid electricity intensity (36.4 gCO2e/MJe delivered to an industrial consumer, generation GHG emissions and T&amp;D losses included, upstream emissions excluded). Despite the use of GB grid intensity, these values remain applicable to all UK pre-operational projects. The exception is grid electrolysis, where the GB or NI grid electricity intensity in the relevant calendar year of operations is to be used instead (with a default electrolysis efficiency).</t>
  </si>
  <si>
    <t>Feedstock Supply for fossil natural gas - a weighted average of UK gas fields' net supply, pipeline imports from primarily Norway and liquefied natural gas (LNG) imports from various countries. Losses of natural gas in gas grid transport, via fugitive methane emissions and combustion are then accounted to calculate a final delivered intensity.</t>
  </si>
  <si>
    <r>
      <t>Processing plant CO</t>
    </r>
    <r>
      <rPr>
        <vertAlign val="subscript"/>
        <sz val="11"/>
        <color theme="1"/>
        <rFont val="Calibri"/>
        <family val="2"/>
        <scheme val="minor"/>
      </rPr>
      <t>2</t>
    </r>
    <r>
      <rPr>
        <sz val="11"/>
        <color theme="1"/>
        <rFont val="Calibri"/>
        <family val="2"/>
        <scheme val="minor"/>
      </rPr>
      <t xml:space="preserve"> generated, CO</t>
    </r>
    <r>
      <rPr>
        <vertAlign val="subscript"/>
        <sz val="11"/>
        <color theme="1"/>
        <rFont val="Calibri"/>
        <family val="2"/>
        <scheme val="minor"/>
      </rPr>
      <t>2</t>
    </r>
    <r>
      <rPr>
        <sz val="11"/>
        <color theme="1"/>
        <rFont val="Calibri"/>
        <family val="2"/>
        <scheme val="minor"/>
      </rPr>
      <t xml:space="preserve"> capture and network entry, and CO</t>
    </r>
    <r>
      <rPr>
        <vertAlign val="subscript"/>
        <sz val="11"/>
        <color theme="1"/>
        <rFont val="Calibri"/>
        <family val="2"/>
        <scheme val="minor"/>
      </rPr>
      <t>2</t>
    </r>
    <r>
      <rPr>
        <sz val="11"/>
        <color theme="1"/>
        <rFont val="Calibri"/>
        <family val="2"/>
        <scheme val="minor"/>
      </rPr>
      <t xml:space="preserve"> sequestered values are not accounted for within defaults, projected data has to be used</t>
    </r>
    <r>
      <rPr>
        <sz val="11"/>
        <color theme="1"/>
        <rFont val="Calibri"/>
        <family val="2"/>
        <scheme val="minor"/>
      </rPr>
      <t xml:space="preserve"> instead</t>
    </r>
  </si>
  <si>
    <r>
      <t>Fugitive emissions of CH</t>
    </r>
    <r>
      <rPr>
        <vertAlign val="subscript"/>
        <sz val="11"/>
        <color theme="1"/>
        <rFont val="Calibri"/>
        <family val="2"/>
        <scheme val="minor"/>
      </rPr>
      <t>4</t>
    </r>
    <r>
      <rPr>
        <sz val="11"/>
        <color theme="1"/>
        <rFont val="Calibri"/>
        <family val="2"/>
        <scheme val="minor"/>
      </rPr>
      <t>, N</t>
    </r>
    <r>
      <rPr>
        <vertAlign val="subscript"/>
        <sz val="11"/>
        <color theme="1"/>
        <rFont val="Calibri"/>
        <family val="2"/>
        <scheme val="minor"/>
      </rPr>
      <t>2</t>
    </r>
    <r>
      <rPr>
        <sz val="11"/>
        <color theme="1"/>
        <rFont val="Calibri"/>
        <family val="2"/>
        <scheme val="minor"/>
      </rPr>
      <t>O not accounted for within defaults, projected data has to be used instead</t>
    </r>
  </si>
  <si>
    <r>
      <t>Fugitive H</t>
    </r>
    <r>
      <rPr>
        <vertAlign val="subscript"/>
        <sz val="11"/>
        <color theme="1"/>
        <rFont val="Calibri"/>
        <family val="2"/>
        <scheme val="minor"/>
      </rPr>
      <t>2</t>
    </r>
    <r>
      <rPr>
        <sz val="11"/>
        <color theme="1"/>
        <rFont val="Calibri"/>
        <family val="2"/>
        <scheme val="minor"/>
      </rPr>
      <t xml:space="preserve"> emissions and Indirect Land Use Change (ILUC) are to be reported separately, but not included in GHG calculations</t>
    </r>
    <r>
      <rPr>
        <sz val="11"/>
        <color theme="1"/>
        <rFont val="Calibri"/>
        <family val="2"/>
        <scheme val="minor"/>
      </rPr>
      <t>.</t>
    </r>
  </si>
  <si>
    <r>
      <t>Energy supply defaults includes electricity use for H</t>
    </r>
    <r>
      <rPr>
        <vertAlign val="subscript"/>
        <sz val="11"/>
        <color theme="1"/>
        <rFont val="Calibri"/>
        <family val="2"/>
        <scheme val="minor"/>
      </rPr>
      <t>2</t>
    </r>
    <r>
      <rPr>
        <sz val="11"/>
        <color theme="1"/>
        <rFont val="Calibri"/>
        <family val="2"/>
        <scheme val="minor"/>
      </rPr>
      <t xml:space="preserve"> compression and purification up to the minimum theoretical standard (3 MPa, 99.9 vol% purity), as well as the energy required for CO</t>
    </r>
    <r>
      <rPr>
        <vertAlign val="subscript"/>
        <sz val="11"/>
        <color theme="1"/>
        <rFont val="Calibri"/>
        <family val="2"/>
        <scheme val="minor"/>
      </rPr>
      <t>2</t>
    </r>
    <r>
      <rPr>
        <sz val="11"/>
        <color theme="1"/>
        <rFont val="Calibri"/>
        <family val="2"/>
        <scheme val="minor"/>
      </rPr>
      <t xml:space="preserve"> capture for all CCS pathways - but excludes CO</t>
    </r>
    <r>
      <rPr>
        <vertAlign val="subscript"/>
        <sz val="11"/>
        <color theme="1"/>
        <rFont val="Calibri"/>
        <family val="2"/>
        <scheme val="minor"/>
      </rPr>
      <t>2</t>
    </r>
    <r>
      <rPr>
        <sz val="11"/>
        <color theme="1"/>
        <rFont val="Calibri"/>
        <family val="2"/>
        <scheme val="minor"/>
      </rPr>
      <t xml:space="preserve"> network operations. These electricity consumption default values are already aligned to a certain typical CO</t>
    </r>
    <r>
      <rPr>
        <vertAlign val="subscript"/>
        <sz val="11"/>
        <color theme="1"/>
        <rFont val="Calibri"/>
        <family val="2"/>
        <scheme val="minor"/>
      </rPr>
      <t>2</t>
    </r>
    <r>
      <rPr>
        <sz val="11"/>
        <color theme="1"/>
        <rFont val="Calibri"/>
        <family val="2"/>
        <scheme val="minor"/>
      </rPr>
      <t xml:space="preserve"> capture rate which may differ to the actual capture rate of the system, and a certain typical H</t>
    </r>
    <r>
      <rPr>
        <vertAlign val="subscript"/>
        <sz val="11"/>
        <color theme="1"/>
        <rFont val="Calibri"/>
        <family val="2"/>
        <scheme val="minor"/>
      </rPr>
      <t>2</t>
    </r>
    <r>
      <rPr>
        <sz val="11"/>
        <color theme="1"/>
        <rFont val="Calibri"/>
        <family val="2"/>
        <scheme val="minor"/>
      </rPr>
      <t xml:space="preserve"> pressure/purity which may differ to the actual output of the system.</t>
    </r>
  </si>
  <si>
    <t>All default values apply a 1.4x multiplier from the LCA tool central case, unless otherwise stated.</t>
  </si>
  <si>
    <t>Feedstock supply (for Feedstock extraction/cultivation/collection, storage, transport, pre-processing)</t>
  </si>
  <si>
    <t>Production Pathway</t>
  </si>
  <si>
    <t>Unit</t>
  </si>
  <si>
    <t>Default value</t>
  </si>
  <si>
    <t>LCA tool (central case)</t>
  </si>
  <si>
    <t>LCA tool (best case)</t>
  </si>
  <si>
    <t>LCA tool (worst case)</t>
  </si>
  <si>
    <t>Comments</t>
  </si>
  <si>
    <t xml:space="preserve"> </t>
  </si>
  <si>
    <t>Fossil natural gas SMR+CCS</t>
  </si>
  <si>
    <r>
      <t>gCO</t>
    </r>
    <r>
      <rPr>
        <vertAlign val="subscript"/>
        <sz val="11"/>
        <color rgb="FF000000"/>
        <rFont val="Calibri"/>
        <family val="2"/>
      </rPr>
      <t>2</t>
    </r>
    <r>
      <rPr>
        <sz val="11"/>
        <color rgb="FF000000"/>
        <rFont val="Calibri"/>
        <family val="2"/>
      </rPr>
      <t>e/MJ H</t>
    </r>
    <r>
      <rPr>
        <vertAlign val="subscript"/>
        <sz val="11"/>
        <color rgb="FF000000"/>
        <rFont val="Calibri"/>
        <family val="2"/>
      </rPr>
      <t>2</t>
    </r>
    <r>
      <rPr>
        <sz val="11"/>
        <color rgb="FF000000"/>
        <rFont val="Calibri"/>
        <family val="2"/>
      </rPr>
      <t xml:space="preserve"> (LHV)</t>
    </r>
  </si>
  <si>
    <t>No 1.4x multiplier applied. The weighted average GHG intensity of gas taken from the UK NTS is updated with 2024 UK net supply, piped import and LNG imports data (DESNZ Energy Trends 2025), combined with emissions intensities from NSTA (2025) and IEA (2025), and NTS loss data</t>
  </si>
  <si>
    <t>Fossil natural gas ATR+CCS</t>
  </si>
  <si>
    <t>Fossil natural gas POX+CCS</t>
  </si>
  <si>
    <t>Use projected</t>
  </si>
  <si>
    <t>Pathway not analysed</t>
  </si>
  <si>
    <t>Projected data must be used</t>
  </si>
  <si>
    <t xml:space="preserve">Refinery Off Gas ATR+CCS </t>
  </si>
  <si>
    <t>Food waste biomethane SMR+CCS</t>
  </si>
  <si>
    <t>Biogas and biomethane production are included in the Feedstock supply category emissions, not in processing</t>
  </si>
  <si>
    <t>Food waste biomethane ATR+CCS</t>
  </si>
  <si>
    <t>Foresty residue gasification+CCS</t>
  </si>
  <si>
    <t>Collection and transportation</t>
  </si>
  <si>
    <t>Biogenic fraction of RDF gasification+CCS</t>
  </si>
  <si>
    <t>Collection, RDF pre-processing and transportation</t>
  </si>
  <si>
    <t>Fossil fraction of RDF gasification+CCS</t>
  </si>
  <si>
    <t>Grid average electrolysis</t>
  </si>
  <si>
    <t>Grid electricity emissions are included in Energy supply, not in Feedstock supply</t>
  </si>
  <si>
    <t>Wind/solar electrolysis</t>
  </si>
  <si>
    <t>Wind/solar electricity emissions (nil) are included in Energy supply, not in Feedstock supply</t>
  </si>
  <si>
    <t>Nuclear electrolysis</t>
  </si>
  <si>
    <t>Nuclear electricity emissions are included in Energy supply, not in Feedstock supply</t>
  </si>
  <si>
    <t>Energy supply (electricity, steam, heat, upstream fuel supply emissions)</t>
  </si>
  <si>
    <t>These do not include natural gas used for furnace heating - all natural gas combustion emissions (from reformer and furnace), have to be included in the Process CO2 emissions category, and then CO2 capture reduces these emissions to atmosphere. Upstream emissions for supply natural gas used for furance heating are considered within the Feedstock Supply category, and not in this category</t>
  </si>
  <si>
    <t>Includes power input to ATR+CCS. These emissions do not include natural gas used for furnace heating - all natural gas combustion emissions (from reformer and furnace), have to be included in the Process CO2 emissions, and then CO2 capture reduces these emissions to atmosphere. Upstream emissions for supply natural gas used for furance heating are considered within the Feedstock Supply category, and not in this category. Best/Central/Worst cases are ordered by their overall pathway emissions, due to the ATR efficiency ranges, and not ordered by their power input assumptions</t>
  </si>
  <si>
    <t>Assumed same Energy Supply category default value as for Fossil natural gas ATR+CCS. This does not include gas used for furnace heating - all natural gas emissions (from reformer and furnace), have to be included in the process emissions, and then CO2 capture reduces these emissions to atmosphere</t>
  </si>
  <si>
    <t>Includes power input to SMR+CCS only - i.e. electricity used in biogas/biomethane production is included within feedstock emissions</t>
  </si>
  <si>
    <t>Includes power input to ATR+CCS - i.e. biogas/biomethane production is included within feedstock emissions</t>
  </si>
  <si>
    <t>No 1.4x multiplier applied. 50.1% LHV efficiency (from PEM 2020 mid-point of IRENA 2020 Green H2 cost reduction report) applied to GB or NI grid electricity factor for relevant calendar year of operations. LCA tool comparator data taken from 2025 grid intensity</t>
  </si>
  <si>
    <t>No 1.4x multiplier applied. 50.1% LHV efficiency utililsed with assumed T&amp;D losses</t>
  </si>
  <si>
    <t>No 1.4x multiplier applied. 50.1% LHV efficiency utililsed with UNECE (2022) nuclear electricity generation intensity and assumed T&amp;D losses</t>
  </si>
  <si>
    <t>Input materials (upstream material emissions, but not emissions from their use in the process)</t>
  </si>
  <si>
    <t>Water and MEA</t>
  </si>
  <si>
    <t>Assumed same input materials default value as Fossil natural gas ATR+CCS. Water and MEA</t>
  </si>
  <si>
    <t>Chemicals for gasification</t>
  </si>
  <si>
    <t>Chemicals and oxygen</t>
  </si>
  <si>
    <t>From water, HCl and NaOH</t>
  </si>
  <si>
    <t>Process CO2 generated (for comparison purposes only)</t>
  </si>
  <si>
    <t>This value is per MJ of biogenic H2 produced</t>
  </si>
  <si>
    <t>This value is per MJ of fossil H2 produced</t>
  </si>
  <si>
    <t>CO2 capture and network entry (for comparison purposes only)</t>
  </si>
  <si>
    <t>Already within Energy supply</t>
  </si>
  <si>
    <t>Grid electricity for CO2 compression, pipeline transport and injection already included within LCA tool Energy Supply emissions above</t>
  </si>
  <si>
    <t>CO2 sequestration (for comparison purposes only)</t>
  </si>
  <si>
    <t>Fugitive non-CO2 emissions (for comparison purposes only)</t>
  </si>
  <si>
    <t>Fossil Waste/Residue feedstock counterfactual emissions (for comparison purposes only)</t>
  </si>
  <si>
    <t>Grid electricity assumed to be displaced</t>
  </si>
  <si>
    <t>Total chain GHG emissions (for comparison purposes only, noting feedstock may differ/data may not be applicable to your pathway)</t>
  </si>
  <si>
    <t>NA</t>
  </si>
  <si>
    <t>Global warming potentials (GWP100), without climate feedbacks (Data Annex Table 1)</t>
  </si>
  <si>
    <t>Greenhouse gas</t>
  </si>
  <si>
    <r>
      <t>GWP factor (in CO</t>
    </r>
    <r>
      <rPr>
        <b/>
        <vertAlign val="subscript"/>
        <sz val="11"/>
        <rFont val="Calibri"/>
        <family val="2"/>
        <scheme val="minor"/>
      </rPr>
      <t>2e</t>
    </r>
    <r>
      <rPr>
        <b/>
        <sz val="11"/>
        <rFont val="Calibri"/>
        <family val="2"/>
        <scheme val="minor"/>
      </rPr>
      <t xml:space="preserve"> g/g)</t>
    </r>
  </si>
  <si>
    <t>Source</t>
  </si>
  <si>
    <r>
      <t>CO</t>
    </r>
    <r>
      <rPr>
        <vertAlign val="subscript"/>
        <sz val="11"/>
        <color rgb="FF000000"/>
        <rFont val="Calibri"/>
        <family val="2"/>
        <scheme val="minor"/>
      </rPr>
      <t>2</t>
    </r>
    <r>
      <rPr>
        <sz val="11"/>
        <color rgb="FF000000"/>
        <rFont val="Calibri"/>
        <family val="2"/>
        <scheme val="minor"/>
      </rPr>
      <t>, carbon dioxide</t>
    </r>
  </si>
  <si>
    <t>IPCC Fifth Assessment Reports (AR5), GWP100 without climate feedback</t>
  </si>
  <si>
    <r>
      <t>CH</t>
    </r>
    <r>
      <rPr>
        <vertAlign val="subscript"/>
        <sz val="11"/>
        <color rgb="FF000000"/>
        <rFont val="Calibri"/>
        <family val="2"/>
        <scheme val="minor"/>
      </rPr>
      <t>4</t>
    </r>
    <r>
      <rPr>
        <sz val="11"/>
        <color rgb="FF000000"/>
        <rFont val="Calibri"/>
        <family val="2"/>
        <scheme val="minor"/>
      </rPr>
      <t>, methane</t>
    </r>
  </si>
  <si>
    <r>
      <t>N</t>
    </r>
    <r>
      <rPr>
        <vertAlign val="subscript"/>
        <sz val="11"/>
        <color rgb="FF000000"/>
        <rFont val="Calibri"/>
        <family val="2"/>
        <scheme val="minor"/>
      </rPr>
      <t>2</t>
    </r>
    <r>
      <rPr>
        <sz val="11"/>
        <color rgb="FF000000"/>
        <rFont val="Calibri"/>
        <family val="2"/>
        <scheme val="minor"/>
      </rPr>
      <t>O, nitrous oxide</t>
    </r>
  </si>
  <si>
    <r>
      <t>SF</t>
    </r>
    <r>
      <rPr>
        <vertAlign val="subscript"/>
        <sz val="11"/>
        <color rgb="FF000000"/>
        <rFont val="Calibri"/>
        <family val="2"/>
        <scheme val="minor"/>
      </rPr>
      <t>6</t>
    </r>
  </si>
  <si>
    <t>HFC-23</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</si>
  <si>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</si>
  <si>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</si>
  <si>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</si>
  <si>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</si>
  <si>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</si>
  <si>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</si>
  <si>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</si>
  <si>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</si>
  <si>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</si>
  <si>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</si>
  <si>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</si>
  <si>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</si>
  <si>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</si>
  <si>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</si>
  <si>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</si>
  <si>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</si>
  <si>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</si>
  <si>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</si>
  <si>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Indirect Land Use Change (ILUC) factors for crop feedstock (Data Annex Table 2)</t>
  </si>
  <si>
    <t>Crop</t>
  </si>
  <si>
    <r>
      <t>gCO</t>
    </r>
    <r>
      <rPr>
        <b/>
        <vertAlign val="subscript"/>
        <sz val="11"/>
        <rFont val="Calibri"/>
        <family val="2"/>
        <scheme val="minor"/>
      </rPr>
      <t>2e</t>
    </r>
    <r>
      <rPr>
        <b/>
        <sz val="11"/>
        <rFont val="Calibri"/>
        <family val="2"/>
        <scheme val="minor"/>
      </rPr>
      <t>/MJ LHV feedstock</t>
    </r>
  </si>
  <si>
    <t>DESNZ LCHS Data Annex https://assets.publishing.service.gov.uk/media/6579cc770467eb001355f75b/uk-low-carbon-hydrogen-standard-data-annex-v3-december-2023.pdf</t>
  </si>
  <si>
    <t>Crude oil upstream intensity (Data Annex Table 3)</t>
  </si>
  <si>
    <t>Pathways that utilise crude oil as a feedstock shall use the country-specific delivered GHG Emission Intensity values in the table below to derive a weighted average for their crude oil mix. These values combine upstream production emissions and transport emissions to the UK mainland, and so are only applicable to UK refineries.</t>
  </si>
  <si>
    <t>Upstream production emissions in 2023 are taken from The Archie Initiative (2023) (https://app.archieinitiative.org/map?mode=oil) and converted to a per MJ LHV basis using regional average volumetric energy contents from Dixit et al (2023) (https://www.nature.com/articles/s41467-023-41701-z).</t>
  </si>
  <si>
    <t>The Archie Initiative was used to identify key production regions and ports, with pipeline distances calculated using great-circle distances (https://www.gpsvisualizer.com/calculators) and a representative tortuosity factor of 1.23x based on CPC pipeline 1,511km length vs 1,229km great-circle distance (https://www.chevron.com/worldwide/kazakhstan). Shipping distances to Immingham, UK from each port were calculated using Sea Distances (https://sea-distances.org/).</t>
  </si>
  <si>
    <t>Transport emissions are calculated using crude tanker shipping emissions per km from UK Government Conversion Factors 2025 (https://www.gov.uk/government/publications/greenhouse-gas-reporting-conversion-factors-2025), and pipeline electricity use per km from GREET (https://onlinelibrary.wiley.com/doi/am-pdf/10.1111/jiec.13262) combined with 2023 country grid electricity intensities from Ember, 2025 (https://ember-energy.org/data/yearly-electricity-data/), along with a crude oil LHV from UK DUKES 2025 (https://www.gov.uk/government/statistics/dukes-calorific-values).</t>
  </si>
  <si>
    <t>Country</t>
  </si>
  <si>
    <r>
      <t>gCO</t>
    </r>
    <r>
      <rPr>
        <b/>
        <vertAlign val="subscript"/>
        <sz val="11"/>
        <color theme="1"/>
        <rFont val="Calibri"/>
        <family val="2"/>
        <scheme val="minor"/>
      </rPr>
      <t>2</t>
    </r>
    <r>
      <rPr>
        <b/>
        <sz val="11"/>
        <color theme="1"/>
        <rFont val="Calibri"/>
        <family val="2"/>
        <scheme val="minor"/>
      </rPr>
      <t>e/MJ</t>
    </r>
    <r>
      <rPr>
        <b/>
        <vertAlign val="subscript"/>
        <sz val="11"/>
        <color theme="1"/>
        <rFont val="Calibri"/>
        <family val="2"/>
        <scheme val="minor"/>
      </rPr>
      <t>LHV</t>
    </r>
  </si>
  <si>
    <t>Albania</t>
  </si>
  <si>
    <t>Algeria</t>
  </si>
  <si>
    <t>Angola</t>
  </si>
  <si>
    <t>Argentina</t>
  </si>
  <si>
    <t>Australia</t>
  </si>
  <si>
    <t>Austria</t>
  </si>
  <si>
    <t>Azerbaijan</t>
  </si>
  <si>
    <t>Bahrain</t>
  </si>
  <si>
    <t>Brazil</t>
  </si>
  <si>
    <t>Brunei Darussalam</t>
  </si>
  <si>
    <t>Cameroon</t>
  </si>
  <si>
    <t>Canada</t>
  </si>
  <si>
    <t>Chad</t>
  </si>
  <si>
    <t>Chile</t>
  </si>
  <si>
    <t>China</t>
  </si>
  <si>
    <t>Colombia</t>
  </si>
  <si>
    <t>Congo</t>
  </si>
  <si>
    <t>Cote d'Ivoire</t>
  </si>
  <si>
    <t>Croatia</t>
  </si>
  <si>
    <t>Democratic Republic of Congo</t>
  </si>
  <si>
    <t>Denmark</t>
  </si>
  <si>
    <t>Ecuador</t>
  </si>
  <si>
    <t>Egypt</t>
  </si>
  <si>
    <t>Equatorial Guinea</t>
  </si>
  <si>
    <t>France</t>
  </si>
  <si>
    <t>Gabon</t>
  </si>
  <si>
    <t>Germany</t>
  </si>
  <si>
    <t>Ghana</t>
  </si>
  <si>
    <t>Greece</t>
  </si>
  <si>
    <t>Guatemala</t>
  </si>
  <si>
    <t>Guyana</t>
  </si>
  <si>
    <t>Hungary</t>
  </si>
  <si>
    <t>India</t>
  </si>
  <si>
    <t>Indonesia</t>
  </si>
  <si>
    <t>Iran</t>
  </si>
  <si>
    <t>Iraq</t>
  </si>
  <si>
    <t>Italy</t>
  </si>
  <si>
    <t>Japan</t>
  </si>
  <si>
    <t>Jordan</t>
  </si>
  <si>
    <t>Kazakhstan</t>
  </si>
  <si>
    <t>Kuwait</t>
  </si>
  <si>
    <t>Libya</t>
  </si>
  <si>
    <t>Malaysia</t>
  </si>
  <si>
    <t>Mexico</t>
  </si>
  <si>
    <t>Myanmar</t>
  </si>
  <si>
    <t>Netherlands</t>
  </si>
  <si>
    <t>New Zealand</t>
  </si>
  <si>
    <t>Niger</t>
  </si>
  <si>
    <t>Nigeria</t>
  </si>
  <si>
    <t>Norway</t>
  </si>
  <si>
    <t>Oman</t>
  </si>
  <si>
    <t>Pakistan</t>
  </si>
  <si>
    <t>Papua New Guinea</t>
  </si>
  <si>
    <t>Peru</t>
  </si>
  <si>
    <t>Philippines</t>
  </si>
  <si>
    <t>Poland</t>
  </si>
  <si>
    <t>Qatar</t>
  </si>
  <si>
    <t>Romania</t>
  </si>
  <si>
    <t>Russian Federation</t>
  </si>
  <si>
    <t>Saudi Arabia</t>
  </si>
  <si>
    <t>Serbia</t>
  </si>
  <si>
    <t>South Sudan</t>
  </si>
  <si>
    <t>Spain</t>
  </si>
  <si>
    <t>Sudan</t>
  </si>
  <si>
    <t>Suriname</t>
  </si>
  <si>
    <t>Syria</t>
  </si>
  <si>
    <t>Thailand</t>
  </si>
  <si>
    <t>Trinidad and Tobago</t>
  </si>
  <si>
    <t>Tunisia</t>
  </si>
  <si>
    <t>Turkey</t>
  </si>
  <si>
    <t>Turkmenistan</t>
  </si>
  <si>
    <t>Ukraine</t>
  </si>
  <si>
    <t>United Arab Emirates</t>
  </si>
  <si>
    <t>United Kingdom</t>
  </si>
  <si>
    <t>United States</t>
  </si>
  <si>
    <t>Uzbekistan</t>
  </si>
  <si>
    <t>Venezuela</t>
  </si>
  <si>
    <t>Vietnam</t>
  </si>
  <si>
    <t>Yemen</t>
  </si>
  <si>
    <t>Electricity sourced from specific generators (Data Annex Table 4)</t>
  </si>
  <si>
    <t>Typical emissions intensities are not provided for biomass or waste electricity generators given the diversity of input feedstocks and conversion efficiencies.</t>
  </si>
  <si>
    <t>If the hydrogen production facility (or Electricity Storage System) consuming electricity is co-located with the electricity generation asset, the values in the table below can be used directly.</t>
  </si>
  <si>
    <t>If the hydrogen production facility (or Electricity Storage System) consuming electricity is not co-located with the electricity generation asset, then any transmission and distribution (T&amp;D) losses will need to be accounted for, following Annex B guidance. For pre-operational facilities, the projected T&amp;D losses may be used instead</t>
  </si>
  <si>
    <t>Generator</t>
  </si>
  <si>
    <r>
      <t>gCO</t>
    </r>
    <r>
      <rPr>
        <b/>
        <vertAlign val="subscript"/>
        <sz val="11"/>
        <color theme="1"/>
        <rFont val="Calibri"/>
        <family val="2"/>
        <scheme val="minor"/>
      </rPr>
      <t>2</t>
    </r>
    <r>
      <rPr>
        <b/>
        <sz val="11"/>
        <color theme="1"/>
        <rFont val="Calibri"/>
        <family val="2"/>
        <scheme val="minor"/>
      </rPr>
      <t>e/kWh</t>
    </r>
    <r>
      <rPr>
        <b/>
        <vertAlign val="subscript"/>
        <sz val="11"/>
        <color theme="1"/>
        <rFont val="Calibri"/>
        <family val="2"/>
        <scheme val="minor"/>
      </rPr>
      <t>e</t>
    </r>
  </si>
  <si>
    <r>
      <t>gCO</t>
    </r>
    <r>
      <rPr>
        <b/>
        <vertAlign val="subscript"/>
        <sz val="11"/>
        <color theme="1"/>
        <rFont val="Calibri"/>
        <family val="2"/>
        <scheme val="minor"/>
      </rPr>
      <t>2</t>
    </r>
    <r>
      <rPr>
        <b/>
        <sz val="11"/>
        <color theme="1"/>
        <rFont val="Calibri"/>
        <family val="2"/>
        <scheme val="minor"/>
      </rPr>
      <t>e/MJ</t>
    </r>
    <r>
      <rPr>
        <b/>
        <vertAlign val="subscript"/>
        <sz val="11"/>
        <color theme="1"/>
        <rFont val="Calibri"/>
        <family val="2"/>
        <scheme val="minor"/>
      </rPr>
      <t>e</t>
    </r>
  </si>
  <si>
    <t>Sources &amp; supporting notes</t>
  </si>
  <si>
    <t>Onshore wind</t>
  </si>
  <si>
    <t>JEC (2020) Well-to-tank report v5. WDEL1. https://publications.jrc.ec.europa.eu/repository/handle/JRC119036</t>
  </si>
  <si>
    <t>Offshore wind</t>
  </si>
  <si>
    <t>Solar</t>
  </si>
  <si>
    <t>IPCC (2014) Technology-specific cost and performance parameters. Table A.III.2. https://www.ipcc.ch/site/assets/uploads/2018/02/ipcc_wg3_ar5_annex-iii.pdf</t>
  </si>
  <si>
    <t>Hydro-electric dam</t>
  </si>
  <si>
    <t>IPCC (2014) Technology-specific cost and performance parameters. Table A.III.2. https://www.ipcc.ch/site/assets/uploads/2018/02/ipcc_wg3_ar5_annex-iii.pdf. Note that UK methane emissions are uncertain, but are taken to be zero (rather than using IPCC global methane data), based on data received from G-RES modelling team regarding the 8 UK hydro reservoirs they have information for https://g-res.hydropower.org/</t>
  </si>
  <si>
    <t>Run-of-river hydro</t>
  </si>
  <si>
    <t>Geothermal</t>
  </si>
  <si>
    <t>IPCC (2014) Technology-specific cost and performance parameters. Table A.III.2. Assuming geothermal power generation has not led to any increase in venting of geological CO2. Any increase requires a projected emissions factor to be used. https://www.ipcc.ch/site/assets/uploads/2018/02/ipcc_wg3_ar5_annex-iii.pdf</t>
  </si>
  <si>
    <t>Natural gas CCGT</t>
  </si>
  <si>
    <t>JEC (2020) Well-to-tank report v5. GPEL1a. https://publications.jrc.ec.europa.eu/repository/handle/JRC119036</t>
  </si>
  <si>
    <t>Natural gas CCGT + CCS</t>
  </si>
  <si>
    <t>JEC (2020) Well-to-tank report v5. GPEL1c. https://publications.jrc.ec.europa.eu/repository/handle/JRC119036</t>
  </si>
  <si>
    <t>Oil</t>
  </si>
  <si>
    <t>JEC (2020) Well-to-tank report v5. FOEL1. https://publications.jrc.ec.europa.eu/repository/handle/JRC119036</t>
  </si>
  <si>
    <t>Coal</t>
  </si>
  <si>
    <t>JEC (2020) Well-to-tank report v5. KOEL1. https://publications.jrc.ec.europa.eu/repository/handle/JRC119036</t>
  </si>
  <si>
    <t>Coal + CCS</t>
  </si>
  <si>
    <t>JEC (2020) Well-to-tank report v5. KOEL2C. https://publications.jrc.ec.europa.eu/repository/handle/JRC119036</t>
  </si>
  <si>
    <t>Nuclear</t>
  </si>
  <si>
    <t>UNECE report (Table 14, EU28). Fossil and biogenic emissions only (no land use change emissions included). This value excludes construction (14%) and decomissioning (2%) emissions from the total emissions (using Figure 35 split). https://unece.org/sites/default/files/2022-04/LCA_3_FINAL%20March%202022.pdf</t>
  </si>
  <si>
    <t>Projected grid average electricity intensity for pre-operational facilities (Data Annex Table 5)</t>
  </si>
  <si>
    <t>For pre-operational hydrogen production facilities, or pre-operational electricity storage systems, the table below provides the future delivered GHG intensity of GB or NI grid average electricity to be used.</t>
  </si>
  <si>
    <t>Note that actual real-world grid average GHG intensity factors during facility operations will be different to these projections, as compliance with the Standard relies on using actual reported GB/NI data every 30 minutes.</t>
  </si>
  <si>
    <t>For GB, this annual GHG emission intensity data comes from the NESO FES Holistic Transition (ES1) excluding BECCS (https://www.nationalgrideso.com/future-energy/future-energy-scenarios-fes/fes-documents), and includes transmission and distribution losses, and minor generation nonCO2 emissions are added, but does not yet include any emisisons upstream of GB electricity generators. The 2025 value uses the generation-weighted intensity of GB delivered grid electricity from the NESO Historic Generation Mix (https://www.nationalgrideso.com/data-portal/historic-generation-mix), for the year-to-date (20th November 2025)</t>
  </si>
  <si>
    <t xml:space="preserve">For NI, this annual GHG emission intensity data comes from SONI Tomorrow's Energy Scenarios (TES): Self-Sustaining scenario for 2040 (https://www.soni.ltd.uk/future-energy/tomorrows-energy-scenarios), assuming a straight line from 2025 to 2040, given the lack of intermediate years' data from SONI TES. The 2025 value uses the demand-weighted intensity of NI delivered grid electricity from the EirGrid Dashboard (https://www.smartgriddashboard.com/ni/co2/) for year-to-date (20th November 2025). These values include transmission and distribution losses, and minor generation non CO2 emissions are added, but does not yet include any emisisons upstream of NI electricity generators. </t>
  </si>
  <si>
    <t>GB grid Transmission &amp; Distribution losses are based on data from NESO FES Holistic Transition (ED1) - see the Data Annex, Table 8</t>
  </si>
  <si>
    <t>NI grid Transmission &amp; Distribution losses are based on data from SONI TES: Self Sustaining scenario - see the Data Annex, Table 8</t>
  </si>
  <si>
    <t>Minor (~1.2%) added non-CO2 generation emissions are based on GHG and CO2 intensity data of electricity generation from UK Conversion Factors (2025) https://www.gov.uk/government/publications/greenhouse-gas-reporting-conversion-factors-2025</t>
  </si>
  <si>
    <t>Year</t>
  </si>
  <si>
    <r>
      <t xml:space="preserve"> Location grid electricity (gCO</t>
    </r>
    <r>
      <rPr>
        <b/>
        <vertAlign val="subscript"/>
        <sz val="11"/>
        <color rgb="FF000000"/>
        <rFont val="Calibri"/>
        <family val="2"/>
        <scheme val="minor"/>
      </rPr>
      <t>2</t>
    </r>
    <r>
      <rPr>
        <b/>
        <sz val="11"/>
        <color rgb="FF000000"/>
        <rFont val="Calibri"/>
        <family val="2"/>
        <scheme val="minor"/>
      </rPr>
      <t>e/kWh</t>
    </r>
    <r>
      <rPr>
        <b/>
        <vertAlign val="subscript"/>
        <sz val="11"/>
        <color rgb="FF000000"/>
        <rFont val="Calibri"/>
        <family val="2"/>
        <scheme val="minor"/>
      </rPr>
      <t>e</t>
    </r>
    <r>
      <rPr>
        <b/>
        <sz val="11"/>
        <color theme="1"/>
        <rFont val="Calibri"/>
        <family val="2"/>
        <scheme val="minor"/>
      </rPr>
      <t xml:space="preserve"> delivered)</t>
    </r>
  </si>
  <si>
    <r>
      <t xml:space="preserve"> GB grid electricity (gCO</t>
    </r>
    <r>
      <rPr>
        <b/>
        <vertAlign val="subscript"/>
        <sz val="11"/>
        <color rgb="FF000000"/>
        <rFont val="Calibri"/>
        <family val="2"/>
        <scheme val="minor"/>
      </rPr>
      <t>2</t>
    </r>
    <r>
      <rPr>
        <b/>
        <sz val="11"/>
        <color rgb="FF000000"/>
        <rFont val="Calibri"/>
        <family val="2"/>
        <scheme val="minor"/>
      </rPr>
      <t>e/kWh</t>
    </r>
    <r>
      <rPr>
        <b/>
        <vertAlign val="subscript"/>
        <sz val="11"/>
        <color rgb="FF000000"/>
        <rFont val="Calibri"/>
        <family val="2"/>
        <scheme val="minor"/>
      </rPr>
      <t>e</t>
    </r>
    <r>
      <rPr>
        <b/>
        <sz val="11"/>
        <color theme="1"/>
        <rFont val="Calibri"/>
        <family val="2"/>
        <scheme val="minor"/>
      </rPr>
      <t xml:space="preserve"> delivered)</t>
    </r>
  </si>
  <si>
    <r>
      <t xml:space="preserve"> GB grid electricity (gCO</t>
    </r>
    <r>
      <rPr>
        <b/>
        <vertAlign val="subscript"/>
        <sz val="11"/>
        <color rgb="FF000000"/>
        <rFont val="Calibri"/>
        <family val="2"/>
        <scheme val="minor"/>
      </rPr>
      <t>2</t>
    </r>
    <r>
      <rPr>
        <b/>
        <sz val="11"/>
        <color rgb="FF000000"/>
        <rFont val="Calibri"/>
        <family val="2"/>
        <scheme val="minor"/>
      </rPr>
      <t>e/MJ</t>
    </r>
    <r>
      <rPr>
        <b/>
        <vertAlign val="subscript"/>
        <sz val="11"/>
        <color rgb="FF000000"/>
        <rFont val="Calibri"/>
        <family val="2"/>
        <scheme val="minor"/>
      </rPr>
      <t xml:space="preserve">e </t>
    </r>
    <r>
      <rPr>
        <b/>
        <sz val="11"/>
        <color theme="1"/>
        <rFont val="Calibri"/>
        <family val="2"/>
        <scheme val="minor"/>
      </rPr>
      <t>delivered)</t>
    </r>
  </si>
  <si>
    <r>
      <t xml:space="preserve"> NI grid electricity (gCO</t>
    </r>
    <r>
      <rPr>
        <b/>
        <vertAlign val="subscript"/>
        <sz val="11"/>
        <color rgb="FF000000"/>
        <rFont val="Calibri"/>
        <family val="2"/>
        <scheme val="minor"/>
      </rPr>
      <t>2</t>
    </r>
    <r>
      <rPr>
        <b/>
        <sz val="11"/>
        <color rgb="FF000000"/>
        <rFont val="Calibri"/>
        <family val="2"/>
        <scheme val="minor"/>
      </rPr>
      <t>e/kWh</t>
    </r>
    <r>
      <rPr>
        <b/>
        <vertAlign val="subscript"/>
        <sz val="11"/>
        <color rgb="FF000000"/>
        <rFont val="Calibri"/>
        <family val="2"/>
        <scheme val="minor"/>
      </rPr>
      <t>e</t>
    </r>
    <r>
      <rPr>
        <b/>
        <sz val="11"/>
        <color theme="1"/>
        <rFont val="Calibri"/>
        <family val="2"/>
        <scheme val="minor"/>
      </rPr>
      <t xml:space="preserve"> delivered)</t>
    </r>
  </si>
  <si>
    <r>
      <t xml:space="preserve"> NI grid electricity (gCO</t>
    </r>
    <r>
      <rPr>
        <b/>
        <vertAlign val="subscript"/>
        <sz val="11"/>
        <color rgb="FF000000"/>
        <rFont val="Calibri"/>
        <family val="2"/>
        <scheme val="minor"/>
      </rPr>
      <t>2</t>
    </r>
    <r>
      <rPr>
        <b/>
        <sz val="11"/>
        <color rgb="FF000000"/>
        <rFont val="Calibri"/>
        <family val="2"/>
        <scheme val="minor"/>
      </rPr>
      <t>e/MJ</t>
    </r>
    <r>
      <rPr>
        <b/>
        <vertAlign val="subscript"/>
        <sz val="11"/>
        <color rgb="FF000000"/>
        <rFont val="Calibri"/>
        <family val="2"/>
        <scheme val="minor"/>
      </rPr>
      <t xml:space="preserve">e </t>
    </r>
    <r>
      <rPr>
        <b/>
        <sz val="11"/>
        <color theme="1"/>
        <rFont val="Calibri"/>
        <family val="2"/>
        <scheme val="minor"/>
      </rPr>
      <t>delivered)</t>
    </r>
  </si>
  <si>
    <t>Self-discharge loss values for different Electricity Storage Systems (Data Annex Table 6)</t>
  </si>
  <si>
    <t>Electricity Storage System operators shall use the 30 minute self-discharge loss values provided in the table below to estimate the self-discharge losses when updating the weighted average GHG intensity of the electricity storage system.</t>
  </si>
  <si>
    <t>In case the operator does no provide evidence of the type of battery chemistry, self-discharge data for nickel metal hydride shall be used.</t>
  </si>
  <si>
    <t>For any chemistries not listed, the battery operators shall provide a self-discharge loss value with supporting evidence.</t>
  </si>
  <si>
    <t>Battery chemistry</t>
  </si>
  <si>
    <t>Loss per month (for info only)</t>
  </si>
  <si>
    <t>Loss per 30 minutes</t>
  </si>
  <si>
    <t>Lithium ion battery</t>
  </si>
  <si>
    <t xml:space="preserve">Umweltbundesamt Table 3, Page 20, Li Ion Battery https://www.umweltbundesamt.de/sites/default/files/medien/publikation/long/4414.pdf </t>
  </si>
  <si>
    <t>Lead acid battery</t>
  </si>
  <si>
    <t xml:space="preserve">iSEA (2012) Technology Overview on Electricity Storage. https://sei.info.yorku.ca/files/2013/03/Sauer2.pdf </t>
  </si>
  <si>
    <t>Nickel cadmium battery</t>
  </si>
  <si>
    <t>Nickel metal hydride battery</t>
  </si>
  <si>
    <t>LSD-nickel metal hydride battery</t>
  </si>
  <si>
    <t>Zinc manganese battery</t>
  </si>
  <si>
    <t>Pumped storage hydroelectricity</t>
  </si>
  <si>
    <t>Compressed air energy storage</t>
  </si>
  <si>
    <t>Liquid air energy storage</t>
  </si>
  <si>
    <t>EPD Sciences (2014) The application of liquid air energy storage for large scale long duration solutions to grid balancing https://www.epj-conferences.org/articles/epjconf/pdf/2014/16/epjconf_e2c2013_03002.pdf</t>
  </si>
  <si>
    <t>Flywheel</t>
  </si>
  <si>
    <t>~100%</t>
  </si>
  <si>
    <t>Gravity-based energy storage</t>
  </si>
  <si>
    <t>Hunt, J. D. et al. (2023) Underground Gravity Energy Storage: A Solution for Long-Term Energy Storage. Energies. 16 (2), 825. https://www.mdpi.com/1996-1073/16/2/825</t>
  </si>
  <si>
    <t>Liquid CO2 energy storage</t>
  </si>
  <si>
    <t xml:space="preserve">Vecchi, A. et al. (2022) Carnot Battery development: A review on system performance, applications and commerical state-of-the-art. Journal of Energy Storage. Volume 55, Part 9. https://www.sciencedirect.com/science/article/pii/S2352152X22017704 </t>
  </si>
  <si>
    <t>Sensible heat energy storage</t>
  </si>
  <si>
    <t>Kebede, A. A. et al. (2022) A comprehensive review of stationary energy storage devices for large scale renewable energy sources grid integration. Renewable and Sustainable Energy Reviews. Volume 159. https://www.sciencedirect.com/science/article/pii/S1364032122001368</t>
  </si>
  <si>
    <t>Latent heat energy storage</t>
  </si>
  <si>
    <t>Thermochemical energy storage</t>
  </si>
  <si>
    <t>Supercapacitor</t>
  </si>
  <si>
    <t>Superconducting magnetic energy storage</t>
  </si>
  <si>
    <t>~99%</t>
  </si>
  <si>
    <t>Round Trip Efficiency values for different Electricity Storage Systems (Data Annex Table 7)</t>
  </si>
  <si>
    <t>Electricity Storage System</t>
  </si>
  <si>
    <t>Round trip efficiency</t>
  </si>
  <si>
    <t>Heating and cooling loss of battery Figures 18 and 19 https://onlinelibrary.wiley.com/doi/epdf/10.1002/ecj.12221
Cooling equipment COP efficiency Air chiller and water chiller https://www.sciencedirect.com/science/article/pii/S1876610214033372#:~:text=Under%20standard%20rating%20conditions%20at,6.39%20for%20water%2Dcooled%20chillers
Battery Charging and Discharging Losses: Frontiers of Mechanical Engineering, Table 1, https://link.springer.com/article/10.1007/s11465-018-0516-8</t>
  </si>
  <si>
    <t xml:space="preserve">McKinsey&amp;Company (2021) Net-zero power: Long duration energy storage for a renewable grid. https://www.mckinsey.com/~/media/mckinsey/business%20functions/sustainability/our%20insights/net%20zero%20power%20long%20duration%20energy%20storage%20for%20a%20renewable%20grid/net-zero-power-long-duration-energy-storage-for-a-renewable-grid.pdf </t>
  </si>
  <si>
    <t xml:space="preserve">Aneke, M. (2016) Energy storage technologies and real life applications - A state of the art review. Applied Energy, 179. pp. 350-377. https://eprints.whiterose.ac.uk/154479/1/2016_05_05_MA_Modified_Manuscript_NotMarked.pdf </t>
  </si>
  <si>
    <t>Projected Transmission &amp; Distribution losses for pre-operational facilities (Data Annex Table 8)</t>
  </si>
  <si>
    <t>For pre-operational hydrogen production facilities, or pre-operational electricity storage systems, the table below provides the future T&amp;D losses that should be assumed when projecting the delivered GHG intensity of electricity from specific generation facilities or from/to specific electricity storage systems.</t>
  </si>
  <si>
    <t>The GB losses are calculated from the NESO Future Energy Scenarios 2025 data assuming the Holistic Transition scenario (ED1) (https://www.nationalgrideso.com/future-energy/future-energy-scenarios-fes/fes-documents), and shall be used for GB pre-operational projects</t>
  </si>
  <si>
    <t>The GB transmission loss % is the transmission loss in TWh divided by the total system demand in TWh in the NESO FES Holistic scenario. The GB Distribution loss % is the distribution loss in TWh divided by the (total system demand TWh - transmission loss TWh) in the NESO FES Holistic scenario.</t>
  </si>
  <si>
    <t>The NI losses are calculated from the SONI Tomorrow's Energy Scenarios 2025 data and report, assuming the Self-Sustaining scenario. https://www.soni.ltd.uk/future-energy/tomorrows-energy-scenarios, and shall be used for NI pre-operational projects (regardless of the network connection between the PPA generator and consumer)</t>
  </si>
  <si>
    <t>The NI losses are calculated from TES Figure 6.5 Self-Sustaining, dividing Losses by the total of the demand rows including Losses. In the absence of more granular data, assumed 2035 value applies to 2031-35, 2040 value to 2036-40, 2045 value to 2041-45 and 2050 value to 2046-50. Current 8% loss from Full TES Report, page 63, assumed to apply to 2025-30.</t>
  </si>
  <si>
    <t>GB Transmission Loss</t>
  </si>
  <si>
    <t>GB Distribution Loss</t>
  </si>
  <si>
    <t>GB Total T&amp;D Loss</t>
  </si>
  <si>
    <t>NI Total T&amp;D Loss</t>
  </si>
  <si>
    <t>Fuel GHG intensity (production and supply, without combustion/conversion) (Data Annex Table 9)</t>
  </si>
  <si>
    <t>The GHG emission intensity factors in the table below aleady consider the typical transport emissions associated with delivery to a hydrogen production facility site, and so do not need any adjustment for transport.</t>
  </si>
  <si>
    <t>If using a fuel that is not listed in the table below, the GHG calculation methodology used within the RTFO (excluding any soil carbon accumulation credit, manure credit, degraded land credit, excess electricity credit or carbon capture and replacment/utilisation credit) should be used for calculating the delivered GHG emission intensity factor of this fuel.</t>
  </si>
  <si>
    <t>Fuel</t>
  </si>
  <si>
    <t>Diesel</t>
  </si>
  <si>
    <t>UK Government (2025) conversion factors for company reporting of greenhouse gas emissions: https://www.gov.uk/government/publications/greenhouse-gas-reporting-conversion-factors-2025</t>
  </si>
  <si>
    <t>Petrol</t>
  </si>
  <si>
    <t>Natural gas (transmission network)</t>
  </si>
  <si>
    <t>Gas grid mix from Energy Trends: UK gas, ET4.3 https://www.gov.uk/government/statistics/gas-section-4-energy-trends and Digest of UK Energy Statistics (DUKES): natural gas https://www.gov.uk/government/statistics/natural-gas-chapter-4-digest-of-united-kingdom-energy-statistics-dukes
GHG intensities from NSTA: Emissions Monitoring Report 2025 https://www.nstauthority.co.uk/news-publications/emissions-monitoring-report-2025/
with the exception of US LNG intensity from IEA: Assessing Emissions from LNG Supply and Abatement Options 2025 https://iea.blob.core.windows.net/assets/5ad737ee-750d-460e-8c33-fb9140f1043d/AssessingemissionsfromLNGsupplyandabatementoptions.pdf
Volumetric energy density of natural gas: The Energy Institute: Statistical review of world energy https://www.energyinst.org/statistical-review/about
LHV and HHV: UK Government Conversion Factors 2025 Full Set https://www.gov.uk/government/publications/greenhouse-gas-reporting-conversion-factors-2025 
Methane GWP: IPCC: Global Warming Potential Values (AR5 without ccfb GWP 100, Table 8.7) https://ghgprotocol.org/sites/default/files/ghgp/Global-Warming-Potential-Values%20%28Feb%2016%202016%29_1.pdf
NTS losses: ScienceDirect (Durham University): Assessing fugitive emissions of CH4 from high-pressure gas pipelines in the UK https://www.sciencedirect.com/science/article/pii/S0048969718306399
NTS own use: National Gas: Unaccounted for Gas https://www.nationalgas.com/balancing/unaccounted-gas-uag
Methane composition: UK Environment Agency: Material comparators for end-of-waste decisions https://assets.publishing.service.gov.uk/government/uploads/system/uploads/attachment_data/file/545567/Material_comparators_for_fuels_-_natural_gas.pdf</t>
  </si>
  <si>
    <t>Natural gas (intermediate/medium pressure distribution network)</t>
  </si>
  <si>
    <t>Gas grid mix from Energy Trends: UK gas, ET4.3 https://www.gov.uk/government/statistics/gas-section-4-energy-trends and Digest of UK Energy Statistics (DUKES): natural gas https://www.gov.uk/government/statistics/natural-gas-chapter-4-digest-of-united-kingdom-energy-statistics-dukes
GHG intensities from NSTA: Emissions Monitoring Report 2025 https://www.nstauthority.co.uk/news-publications/emissions-monitoring-report-2025/
with the exception of US LNG intensity from IEA: Assessing Emissions from LNG Supply and Abatement Options 2025 https://iea.blob.core.windows.net/assets/5ad737ee-750d-460e-8c33-fb9140f1043d/AssessingemissionsfromLNGsupplyandabatementoptions.pdf
Volumetric energy density of natural gas: The Energy Institute: Statistical review of world energy https://www.energyinst.org/statistical-review/about
LHV and HHV: UK Government Conversion Factors 2025 Full Set https://www.gov.uk/government/publications/greenhouse-gas-reporting-conversion-factors-2025 
Methane GWP: IPCC: Global Warming Potential Values (AR5 without ccfb GWP 100, Table 8.7) https://ghgprotocol.org/sites/default/files/ghgp/Global-Warming-Potential-Values%20%28Feb%2016%202016%29_1.pdf
NTS losses: ScienceDirect (Durham University): Assessing fugitive emissions of CH4 from high-pressure gas pipelines in the UK https://www.sciencedirect.com/science/article/pii/S0048969718306399
NTS own use: National Gas: Unaccounted for Gas https://www.nationalgas.com/balancing/unaccounted-gas-uag
Distribution shrinkage: Gas Governance (2025) https://www.gasgovernance.co.uk/shrinkage/aa2025
Methane composition: UK Environment Agency: Material comparators for end-of-waste decisions https://assets.publishing.service.gov.uk/government/uploads/system/uploads/attachment_data/file/545567/Material_comparators_for_fuels_-_natural_gas.pdf</t>
  </si>
  <si>
    <t>Natural gas (low pressure distribution network)</t>
  </si>
  <si>
    <t>Marine gas oil</t>
  </si>
  <si>
    <t>Fuel oil</t>
  </si>
  <si>
    <t>Fossil methanol</t>
  </si>
  <si>
    <t>JRC (2019) Definition of input data to assess GHG default emissions from biofuels in EU legislation: https://publications.jrc.ec.europa.eu/repository/handle/JRC115952</t>
  </si>
  <si>
    <t>Biomethanol</t>
  </si>
  <si>
    <t>Bioethanol</t>
  </si>
  <si>
    <t>Biodiesel FAME</t>
  </si>
  <si>
    <t>Biodiesel HVO</t>
  </si>
  <si>
    <t>Biomethane from wet manure (open digestate, no off-gas combustion) delivered via gas grid</t>
  </si>
  <si>
    <t>DfT (2024) RTFO and SAF Mandate Technical Guidance: https://www.gov.uk/government/publications/rtfo-and-saf-mandate-technical-information. Filling station compression emissions have been removed.</t>
  </si>
  <si>
    <t>Biomethane from wet manure (open digestate, off-gas combustion) delivered via gas grid</t>
  </si>
  <si>
    <t>Biomethane from wet manure (closed digestate, no off-gas combustion) delivered via gas grid</t>
  </si>
  <si>
    <t>Biomethane from wet manure (closed digestate, off-gas combustion) delivered via gas grid</t>
  </si>
  <si>
    <t>Biomethane from maize whole plant (open digestate, no off-gas combustion) delivered via gas grid</t>
  </si>
  <si>
    <t>Biomethane from maize whole plant (open digestate, off-gas combustion) delivered via gas grid</t>
  </si>
  <si>
    <t>Biomethane from maize whole plant (closed digestate, no off-gas combustion) delivered via gas grid</t>
  </si>
  <si>
    <t>Biomethane from maize whole plant (closed digestate, off-gas combustion) delivered via gas grid</t>
  </si>
  <si>
    <t>Biomethane from biowaste (open digestate, no off-gas combustion) delivered via gas grid</t>
  </si>
  <si>
    <t>Biomethane from biowaste (open digestate, off-gas combustion) delivered via gas grid</t>
  </si>
  <si>
    <t>Biomethane from biowaste (closed digestate, no off-gas combustion) delivered via gas grid</t>
  </si>
  <si>
    <t>Biomethane from biowaste (closed digestate, off-gas combustion) delivered via gas grid</t>
  </si>
  <si>
    <t>Biomethane from sewage sludge (closed digestate, off-gas combustion) delivered via gas grid</t>
  </si>
  <si>
    <t xml:space="preserve">JEC (2020) Well-to-tank report, OWCG3: https://publications.jrc.ec.europa.eu/repository/handle/JRC119036 </t>
  </si>
  <si>
    <t>Biomethane from wet manure (open digestate, no off-gas combustion) delivered via truck</t>
  </si>
  <si>
    <t>DfT (2024) RTFO and SAF Mandate Technical Guidance for biomethane production emissions: https://www.gov.uk/government/publications/rtfo-and-saf-mandate-technical-information. Trucking distance from Ricardo (2015) Biomethane for Transport from Landfill and Anaerobic Digestion: https://assets.publishing.service.gov.uk/media/5a7f191f40f0b62305b850e9/biomethane-for-transport.pdf. Diesel use from JEC (2020) Well-to-tank report: https://publications.jrc.ec.europa.eu/repository/handle/JRC119036 . Biomethane LHV from UK Government Conversion Factors (2025).</t>
  </si>
  <si>
    <t>Biomethane from wet manure (open digestate, off-gas combustion) delivered via truck</t>
  </si>
  <si>
    <t>Biomethane from wet manure (closed digestate, no off-gas combustion) delivered via truck</t>
  </si>
  <si>
    <t>Biomethane from wet manure (closed digestate, off-gas combustion) delivered via truck</t>
  </si>
  <si>
    <t>Biomethane from maize whole plant (open digestate, no off-gas combustion) delivered via truck</t>
  </si>
  <si>
    <t>Biomethane from maize whole plant (open digestate, off-gas combustion) delivered via truck</t>
  </si>
  <si>
    <t>Biomethane from maize whole plant (closed digestate, no off-gas combustion) delivered via truck</t>
  </si>
  <si>
    <t>Biomethane from maize whole plant (closed digestate, off-gas combustion) delivered via truck</t>
  </si>
  <si>
    <t>Biomethane from biowaste (open digestate, no off-gas combustion) delivered via truck</t>
  </si>
  <si>
    <t>Biomethane from biowaste (open digestate, off-gas combustion) delivered via truck</t>
  </si>
  <si>
    <t>Biomethane from biowaste (closed digestate, no off-gas combustion) delivered via truck</t>
  </si>
  <si>
    <t>Biomethane from biowaste (closed digestate, off-gas combustion) delivered via truck</t>
  </si>
  <si>
    <t>Biomethane from sewage sludge (closed digestate, off-gas combustion) delivered via truck</t>
  </si>
  <si>
    <t>Input materials (Data Annex Table 10)</t>
  </si>
  <si>
    <t>The following emissions intensities should be used with projected/actual material flow rates.</t>
  </si>
  <si>
    <t>These factors include manufacture of the material and implictly include transport to a typical project site, based on the references provided, although this may be made more explicit in future iterations.</t>
  </si>
  <si>
    <r>
      <t>These factors do not consider emissions resulting from the combustion or conversion of these input materials within the hydrogen production facility (these combustion/conversion emissions are to be covered within the Process CO</t>
    </r>
    <r>
      <rPr>
        <vertAlign val="subscript"/>
        <sz val="11"/>
        <color rgb="FF000000"/>
        <rFont val="Calibri"/>
        <family val="2"/>
      </rPr>
      <t>2</t>
    </r>
    <r>
      <rPr>
        <sz val="11"/>
        <color rgb="FF000000"/>
        <rFont val="Calibri"/>
        <family val="2"/>
      </rPr>
      <t xml:space="preserve"> emissions and Fugitive non-CO</t>
    </r>
    <r>
      <rPr>
        <vertAlign val="subscript"/>
        <sz val="11"/>
        <color rgb="FF000000"/>
        <rFont val="Calibri"/>
        <family val="2"/>
      </rPr>
      <t>2</t>
    </r>
    <r>
      <rPr>
        <sz val="11"/>
        <color rgb="FF000000"/>
        <rFont val="Calibri"/>
        <family val="2"/>
      </rPr>
      <t xml:space="preserve"> emissions categories).</t>
    </r>
  </si>
  <si>
    <t>If using a material that is not listed in the table below, the references given in the Non Typical data tab should be consulted to source and evidence a suitable GHG emission intensity factor input.</t>
  </si>
  <si>
    <t>Material</t>
  </si>
  <si>
    <r>
      <t>gCO</t>
    </r>
    <r>
      <rPr>
        <b/>
        <vertAlign val="subscript"/>
        <sz val="11"/>
        <color theme="1"/>
        <rFont val="Calibri"/>
        <family val="2"/>
        <scheme val="minor"/>
      </rPr>
      <t>2</t>
    </r>
    <r>
      <rPr>
        <b/>
        <sz val="11"/>
        <color theme="1"/>
        <rFont val="Calibri"/>
        <family val="2"/>
        <scheme val="minor"/>
      </rPr>
      <t>e/kg</t>
    </r>
  </si>
  <si>
    <t>Mains water</t>
  </si>
  <si>
    <t>Desalinated water onsite from grid power</t>
  </si>
  <si>
    <t>Fayyaz et al (2023) Life cycle assessment of reverse osmosis for high-salinity seawater desalination process: Potable and industrial water production. https://www.sciencedirect.com/science/article/abs/pii/S0959652622048739
Najjar et al (2021) Life cycle assessment of a seawater reverse osmosis plant powered by a hybrid energy system (fossil fuel and waste to energy) https://www.sciencedirect.com/science/article/pii/S2352484721005710</t>
  </si>
  <si>
    <t>Oxygen (liquid) onsite from grid power</t>
  </si>
  <si>
    <t>Hersari (2020): https://www.jgt.irangi.org/article_251658_2f9cc90ad987bb1250c10a292d975504.pdf</t>
  </si>
  <si>
    <t>Oxygen onsite from wind/solar</t>
  </si>
  <si>
    <t>Nil intensity, due to nil intensity of input power</t>
  </si>
  <si>
    <t>Nitrogen (gaseous) onsite from grid power</t>
  </si>
  <si>
    <t>Nitrogen (liquid) onsite from grid power</t>
  </si>
  <si>
    <t>Wu et al. (2020): https://www.sciencedirect.com/science/article/abs/pii/S0959652620330729</t>
  </si>
  <si>
    <t>Nitrogen onsite from wind/solar</t>
  </si>
  <si>
    <t>Sodium hydroxide (NaOH) solution</t>
  </si>
  <si>
    <t>EU Commission Implementing Regulation (EU) 2022/996 (14 June 2022) https://eur-lex.europa.eu/legal-content/EN/TXT/PDF/?uri=CELEX:02022R0996-20231230</t>
  </si>
  <si>
    <t>Potassium hydroxide (KOH) solution</t>
  </si>
  <si>
    <t>Calcium hydroxide (CaO, pure)</t>
  </si>
  <si>
    <r>
      <t>Calcium carbonate (CaCO</t>
    </r>
    <r>
      <rPr>
        <vertAlign val="subscript"/>
        <sz val="11"/>
        <color rgb="FF000000"/>
        <rFont val="Calibri"/>
        <family val="2"/>
      </rPr>
      <t>3</t>
    </r>
    <r>
      <rPr>
        <sz val="11"/>
        <color rgb="FF000000"/>
        <rFont val="Calibri"/>
        <family val="2"/>
      </rPr>
      <t>, pure)</t>
    </r>
  </si>
  <si>
    <t>GHG Protocol (2005) Calculation Tools for Estimating GHG emissions from pulp and paper mills: https://ghgprotocol.org/sites/default/files/2023-03/Pulp_and_Paper_Guidance.pdf</t>
  </si>
  <si>
    <r>
      <t>Sodium carbonate (Na</t>
    </r>
    <r>
      <rPr>
        <vertAlign val="subscript"/>
        <sz val="11"/>
        <color rgb="FF000000"/>
        <rFont val="Calibri"/>
        <family val="2"/>
      </rPr>
      <t>2</t>
    </r>
    <r>
      <rPr>
        <sz val="11"/>
        <color rgb="FF000000"/>
        <rFont val="Calibri"/>
        <family val="2"/>
      </rPr>
      <t>CO</t>
    </r>
    <r>
      <rPr>
        <vertAlign val="subscript"/>
        <sz val="11"/>
        <color rgb="FF000000"/>
        <rFont val="Calibri"/>
        <family val="2"/>
      </rPr>
      <t>3</t>
    </r>
    <r>
      <rPr>
        <sz val="11"/>
        <color rgb="FF000000"/>
        <rFont val="Calibri"/>
        <family val="2"/>
      </rPr>
      <t>, pure)</t>
    </r>
  </si>
  <si>
    <t>Sodium hypochlorite (NaClO)</t>
  </si>
  <si>
    <t>Euro Chlor (2022): https://www.eurochlor.org/wp-content/uploads/2022/02/2022-Euro-Chlor-Eco-profile.pdf</t>
  </si>
  <si>
    <r>
      <t>Sodium methoxide (NaCH</t>
    </r>
    <r>
      <rPr>
        <vertAlign val="subscript"/>
        <sz val="11"/>
        <color rgb="FF000000"/>
        <rFont val="Calibri"/>
        <family val="2"/>
      </rPr>
      <t>3</t>
    </r>
    <r>
      <rPr>
        <sz val="11"/>
        <color rgb="FF000000"/>
        <rFont val="Calibri"/>
        <family val="2"/>
      </rPr>
      <t>O)</t>
    </r>
  </si>
  <si>
    <r>
      <t>Sodium bisulphite (NaHSO</t>
    </r>
    <r>
      <rPr>
        <vertAlign val="subscript"/>
        <sz val="11"/>
        <color rgb="FF000000"/>
        <rFont val="Calibri"/>
        <family val="2"/>
      </rPr>
      <t>3</t>
    </r>
    <r>
      <rPr>
        <sz val="11"/>
        <color rgb="FF000000"/>
        <rFont val="Calibri"/>
        <family val="2"/>
      </rPr>
      <t>)</t>
    </r>
  </si>
  <si>
    <t>Winnepeg (2012): https://www.winnipeg.ca/finance/findata/matmgt/documents/2012/682-2012/682-2012_Appendix_H-WSTP_South_End_Plant_Process_Selection_Report/Appendix%207.pdf</t>
  </si>
  <si>
    <t>Salt (NaCl)</t>
  </si>
  <si>
    <t>Hydrochloric acid (HCl) solution</t>
  </si>
  <si>
    <r>
      <t>Sulphuric acid (H</t>
    </r>
    <r>
      <rPr>
        <vertAlign val="subscript"/>
        <sz val="11"/>
        <color rgb="FF000000"/>
        <rFont val="Calibri"/>
        <family val="2"/>
      </rPr>
      <t>2</t>
    </r>
    <r>
      <rPr>
        <sz val="11"/>
        <color rgb="FF000000"/>
        <rFont val="Calibri"/>
        <family val="2"/>
      </rPr>
      <t>SO</t>
    </r>
    <r>
      <rPr>
        <vertAlign val="subscript"/>
        <sz val="11"/>
        <color rgb="FF000000"/>
        <rFont val="Calibri"/>
        <family val="2"/>
      </rPr>
      <t>4</t>
    </r>
    <r>
      <rPr>
        <sz val="11"/>
        <color rgb="FF000000"/>
        <rFont val="Calibri"/>
        <family val="2"/>
      </rPr>
      <t>)</t>
    </r>
  </si>
  <si>
    <r>
      <t>Phosphoric acid (H</t>
    </r>
    <r>
      <rPr>
        <vertAlign val="subscript"/>
        <sz val="11"/>
        <color rgb="FF000000"/>
        <rFont val="Calibri"/>
        <family val="2"/>
      </rPr>
      <t>3</t>
    </r>
    <r>
      <rPr>
        <sz val="11"/>
        <color rgb="FF000000"/>
        <rFont val="Calibri"/>
        <family val="2"/>
      </rPr>
      <t>PO</t>
    </r>
    <r>
      <rPr>
        <vertAlign val="subscript"/>
        <sz val="11"/>
        <color rgb="FF000000"/>
        <rFont val="Calibri"/>
        <family val="2"/>
      </rPr>
      <t>4</t>
    </r>
    <r>
      <rPr>
        <sz val="11"/>
        <color rgb="FF000000"/>
        <rFont val="Calibri"/>
        <family val="2"/>
      </rPr>
      <t>)</t>
    </r>
  </si>
  <si>
    <r>
      <t>Boric acid (H</t>
    </r>
    <r>
      <rPr>
        <vertAlign val="subscript"/>
        <sz val="11"/>
        <color rgb="FF000000"/>
        <rFont val="Calibri"/>
        <family val="2"/>
      </rPr>
      <t>3</t>
    </r>
    <r>
      <rPr>
        <sz val="11"/>
        <color rgb="FF000000"/>
        <rFont val="Calibri"/>
        <family val="2"/>
      </rPr>
      <t>BO</t>
    </r>
    <r>
      <rPr>
        <vertAlign val="subscript"/>
        <sz val="11"/>
        <color rgb="FF000000"/>
        <rFont val="Calibri"/>
        <family val="2"/>
      </rPr>
      <t>3</t>
    </r>
    <r>
      <rPr>
        <sz val="11"/>
        <color rgb="FF000000"/>
        <rFont val="Calibri"/>
        <family val="2"/>
      </rPr>
      <t>)</t>
    </r>
  </si>
  <si>
    <t>Türkbay et al. (2022): https://hal.science/hal-03585831/document</t>
  </si>
  <si>
    <t>Lubrication oils</t>
  </si>
  <si>
    <t>Cyclohexane</t>
  </si>
  <si>
    <t>Monoethanolamine (MEA)</t>
  </si>
  <si>
    <t>Cuellar-Franca et al. (2016) A novel methodology for assessing the environmental sustainability of ionic liquids used for CO2 capture: https://pubs.rsc.org/en/content/articlepdf/2016/fd/c6fd00054a</t>
  </si>
  <si>
    <r>
      <t>Ammonia (NH</t>
    </r>
    <r>
      <rPr>
        <vertAlign val="subscript"/>
        <sz val="11"/>
        <color rgb="FF000000"/>
        <rFont val="Calibri"/>
        <family val="2"/>
      </rPr>
      <t>3</t>
    </r>
    <r>
      <rPr>
        <sz val="11"/>
        <color rgb="FF000000"/>
        <rFont val="Calibri"/>
        <family val="2"/>
      </rPr>
      <t>) from unabated natural gas</t>
    </r>
  </si>
  <si>
    <r>
      <t>Urea (CH</t>
    </r>
    <r>
      <rPr>
        <vertAlign val="subscript"/>
        <sz val="11"/>
        <color rgb="FF000000"/>
        <rFont val="Calibri"/>
        <family val="2"/>
      </rPr>
      <t>4</t>
    </r>
    <r>
      <rPr>
        <sz val="11"/>
        <color rgb="FF000000"/>
        <rFont val="Calibri"/>
        <family val="2"/>
      </rPr>
      <t>N</t>
    </r>
    <r>
      <rPr>
        <vertAlign val="subscript"/>
        <sz val="11"/>
        <color rgb="FF000000"/>
        <rFont val="Calibri"/>
        <family val="2"/>
      </rPr>
      <t>2</t>
    </r>
    <r>
      <rPr>
        <sz val="11"/>
        <color rgb="FF000000"/>
        <rFont val="Calibri"/>
        <family val="2"/>
      </rPr>
      <t>O) from unabated natural gas</t>
    </r>
  </si>
  <si>
    <t>Activated carbon</t>
  </si>
  <si>
    <t>Vilen et al (2022): https://www.sciencedirect.com/science/article/pii/S0301479722019296</t>
  </si>
  <si>
    <t>Pellet binder</t>
  </si>
  <si>
    <t>Chemigate (2020) https://chemigate.fi/en/chemigates-modified-starch-helps-protect-the-environment/</t>
  </si>
  <si>
    <t>Propylene glycol</t>
  </si>
  <si>
    <t>JRC (2019): Definition of input data to assess GHG default emissions from biofuels in EU legislation: https://publications.jrc.ec.europa.eu/repository/handle/JRC115952</t>
  </si>
  <si>
    <t>Ferric (Iron (III)) chloride</t>
  </si>
  <si>
    <t>GREET (2024) R&amp;D GREET: https://greet.anl.gov/index.php?content=greetdotnet</t>
  </si>
  <si>
    <t>Citric acid</t>
  </si>
  <si>
    <r>
      <t>Process CO</t>
    </r>
    <r>
      <rPr>
        <b/>
        <vertAlign val="subscript"/>
        <sz val="11"/>
        <color rgb="FF000000"/>
        <rFont val="Calibri"/>
        <family val="2"/>
      </rPr>
      <t>2</t>
    </r>
    <r>
      <rPr>
        <b/>
        <sz val="11"/>
        <color rgb="FF000000"/>
        <rFont val="Calibri"/>
        <family val="2"/>
      </rPr>
      <t xml:space="preserve"> emissions (Data Annex Table 11)</t>
    </r>
  </si>
  <si>
    <t>The following emissions intensities should be used with projected/actual flow rates.</t>
  </si>
  <si>
    <t>Note that these factors do not include the input production and supply of these feedstock/fuels to the hydrogen production site, which are considered in earlier emissions categories.</t>
  </si>
  <si>
    <r>
      <t>If using a feedstock, fuel or material that is not listed in the table below, the various references given in the Assumption tab should be consulted to source and evidence a suitable CO</t>
    </r>
    <r>
      <rPr>
        <vertAlign val="subscript"/>
        <sz val="11"/>
        <color rgb="FF000000"/>
        <rFont val="Calibri"/>
        <family val="2"/>
      </rPr>
      <t>2</t>
    </r>
    <r>
      <rPr>
        <sz val="11"/>
        <color rgb="FF000000"/>
        <rFont val="Calibri"/>
        <family val="2"/>
      </rPr>
      <t xml:space="preserve"> emission intensity.</t>
    </r>
  </si>
  <si>
    <r>
      <t>gCO</t>
    </r>
    <r>
      <rPr>
        <b/>
        <vertAlign val="subscript"/>
        <sz val="11"/>
        <color theme="1"/>
        <rFont val="Calibri"/>
        <family val="2"/>
        <scheme val="minor"/>
      </rPr>
      <t>2</t>
    </r>
    <r>
      <rPr>
        <b/>
        <sz val="11"/>
        <color theme="1"/>
        <rFont val="Calibri"/>
        <family val="2"/>
        <scheme val="minor"/>
      </rPr>
      <t>/MJ</t>
    </r>
    <r>
      <rPr>
        <b/>
        <vertAlign val="subscript"/>
        <sz val="11"/>
        <color theme="1"/>
        <rFont val="Calibri"/>
        <family val="2"/>
        <scheme val="minor"/>
      </rPr>
      <t>LHV</t>
    </r>
  </si>
  <si>
    <t>gC/kg</t>
  </si>
  <si>
    <t>Natural gas</t>
  </si>
  <si>
    <t>Hydrogen theoretical compression (Data Annex Table 12)</t>
  </si>
  <si>
    <t>Parameters</t>
  </si>
  <si>
    <t>Value</t>
  </si>
  <si>
    <t>Inlet pressure to compressor</t>
  </si>
  <si>
    <t>Hydrogen pressure chosen, unless Default data is selected for Energy Supply emissions category in which case 3MPa chosen</t>
  </si>
  <si>
    <t>Inlet temperature (To) to compressor</t>
  </si>
  <si>
    <t>⁰C</t>
  </si>
  <si>
    <t>Outlet pressure of compressor</t>
  </si>
  <si>
    <t>3MPa theoretical set point of the Low Carbon Hydrogen Standard is specified, unless Default data is selected for Energy Supply emissions category and desired hydrogen pressure is higher than 3MPa</t>
  </si>
  <si>
    <t>Initial specific volume (Vo)</t>
  </si>
  <si>
    <r>
      <t>m</t>
    </r>
    <r>
      <rPr>
        <vertAlign val="superscript"/>
        <sz val="11"/>
        <color rgb="FF000000"/>
        <rFont val="Calibri"/>
        <family val="2"/>
      </rPr>
      <t>3</t>
    </r>
    <r>
      <rPr>
        <sz val="11"/>
        <color rgb="FF000000"/>
        <rFont val="Calibri"/>
        <family val="2"/>
      </rPr>
      <t>/kg</t>
    </r>
  </si>
  <si>
    <t>Rounds temperature to the nearest 25 degrees, to match the specific volume formula</t>
  </si>
  <si>
    <t>Adiabatic coefficient (n)</t>
  </si>
  <si>
    <t>Specific compression work required, no losses</t>
  </si>
  <si>
    <t>MJ/kg</t>
  </si>
  <si>
    <t>Adiabatic efficiency (η)</t>
  </si>
  <si>
    <t>%</t>
  </si>
  <si>
    <t>Specific compression power with losses</t>
  </si>
  <si>
    <t>kWhe/kg</t>
  </si>
  <si>
    <t>GHG intensity of electricity used</t>
  </si>
  <si>
    <r>
      <t>gCO</t>
    </r>
    <r>
      <rPr>
        <vertAlign val="subscript"/>
        <sz val="11"/>
        <color rgb="FF000000"/>
        <rFont val="Calibri"/>
        <family val="2"/>
      </rPr>
      <t>2</t>
    </r>
    <r>
      <rPr>
        <sz val="11"/>
        <color rgb="FF000000"/>
        <rFont val="Calibri"/>
        <family val="2"/>
      </rPr>
      <t>e/kWhe</t>
    </r>
  </si>
  <si>
    <t>GHG emissions due to compression</t>
  </si>
  <si>
    <r>
      <t>gCO</t>
    </r>
    <r>
      <rPr>
        <b/>
        <vertAlign val="subscript"/>
        <sz val="11"/>
        <color rgb="FF000000"/>
        <rFont val="Calibri"/>
        <family val="2"/>
      </rPr>
      <t>2</t>
    </r>
    <r>
      <rPr>
        <b/>
        <sz val="11"/>
        <color rgb="FF000000"/>
        <rFont val="Calibri"/>
        <family val="2"/>
      </rPr>
      <t>e/MJ H</t>
    </r>
    <r>
      <rPr>
        <b/>
        <vertAlign val="subscript"/>
        <sz val="11"/>
        <color rgb="FF000000"/>
        <rFont val="Calibri"/>
        <family val="2"/>
      </rPr>
      <t>2</t>
    </r>
    <r>
      <rPr>
        <b/>
        <sz val="11"/>
        <color rgb="FF000000"/>
        <rFont val="Calibri"/>
        <family val="2"/>
      </rPr>
      <t xml:space="preserve"> (LHV)</t>
    </r>
  </si>
  <si>
    <t>Specific volume values</t>
  </si>
  <si>
    <r>
      <t>Temperature (</t>
    </r>
    <r>
      <rPr>
        <b/>
        <vertAlign val="superscript"/>
        <sz val="10"/>
        <rFont val="Calibri"/>
        <family val="2"/>
        <scheme val="minor"/>
      </rPr>
      <t>o</t>
    </r>
    <r>
      <rPr>
        <b/>
        <sz val="10"/>
        <rFont val="Calibri"/>
        <family val="2"/>
        <scheme val="minor"/>
      </rPr>
      <t>C)</t>
    </r>
  </si>
  <si>
    <t>α</t>
  </si>
  <si>
    <t>β</t>
  </si>
  <si>
    <r>
      <t>R</t>
    </r>
    <r>
      <rPr>
        <b/>
        <vertAlign val="superscript"/>
        <sz val="11"/>
        <color theme="1"/>
        <rFont val="Calibri"/>
        <family val="2"/>
        <scheme val="minor"/>
      </rPr>
      <t>2</t>
    </r>
  </si>
  <si>
    <t>Hydrogen theoretical purification (Data Annex Table 12)</t>
  </si>
  <si>
    <t>Purification energy with losses</t>
  </si>
  <si>
    <r>
      <t>kWhe/kgH</t>
    </r>
    <r>
      <rPr>
        <vertAlign val="subscript"/>
        <sz val="11"/>
        <rFont val="Calibri"/>
        <family val="2"/>
      </rPr>
      <t>2</t>
    </r>
  </si>
  <si>
    <t>Purification energy is required if purity &lt;99.9% by vol, or if purity is &gt;99.9% by vol but Default data is selected for Energy Supply emissions category</t>
  </si>
  <si>
    <t>GHG emissions due to purification</t>
  </si>
  <si>
    <t>Useful links and references to explore for Non Typical data values</t>
  </si>
  <si>
    <t>UK Low Carbon Hydrogen Standard &amp; Annexes</t>
  </si>
  <si>
    <t>https://www.gov.uk/government/publications/uk-low-carbon-hydrogen-standard-emissions-reporting-and-sustainability-criteria</t>
  </si>
  <si>
    <t>UK Low Carbon Hydrogen Standard - Data Annex</t>
  </si>
  <si>
    <t>UK Government conversion factors for Company Reporting. Year 2025</t>
  </si>
  <si>
    <t>https://www.gov.uk/government/publications/greenhouse-gas-reporting-conversion-factors-2025</t>
  </si>
  <si>
    <t>RTFO &amp; SAF Mandate technical guidance</t>
  </si>
  <si>
    <t>https://www.gov.uk/government/publications/rtfo-and-saf-mandate-technical-information</t>
  </si>
  <si>
    <t>RTFO Carbon Calculator</t>
  </si>
  <si>
    <t>https://www.gov.uk/government/publications/biofuels-carbon-calculator-rtfo</t>
  </si>
  <si>
    <t>RTFO and SAF Mandate standard data</t>
  </si>
  <si>
    <t>https://www.gov.uk/government/publications/rtfo-and-saf-mandate-standard-data</t>
  </si>
  <si>
    <t>The following links can provide useful data sources that may be relevant to the UK Low Carbon Hydrogen Standard</t>
  </si>
  <si>
    <t>EU Renewable Energy Directive III text</t>
  </si>
  <si>
    <t>https://eur-lex.europa.eu/legal-content/EN/TXT/PDF/?uri=CELEX:02018L2001-20231120</t>
  </si>
  <si>
    <t>EU Low Carbon Fuels Directive text</t>
  </si>
  <si>
    <t>https://eur-lex.europa.eu/legal-content/EN/TXT/PDF/?uri=OJ:L_202401788&amp;qid=1761352616178</t>
  </si>
  <si>
    <t>JEC WTT v5</t>
  </si>
  <si>
    <t>https://ec.europa.eu/jrc/en/publication/eur-scientific-and-technical-research-reports/jec-well-tank-report-v5</t>
  </si>
  <si>
    <t>JRC updated input data for biofuel GHG default values</t>
  </si>
  <si>
    <t>https://op.europa.eu/en/publication-detail/-/publication/7d6dd4ba-720a-11e9-9f05-01aa75ed71a1</t>
  </si>
  <si>
    <t>JRC updated data for solid/gaseous biogenic GHG default values</t>
  </si>
  <si>
    <t>https://publications.jrc.ec.europa.eu/repository/handle/JRC104759</t>
  </si>
  <si>
    <t>JRC LCA comparison of hydrogen delivery options</t>
  </si>
  <si>
    <t>https://publications.jrc.ec.europa.eu/repository/handle/JRC137953</t>
  </si>
  <si>
    <t>Biograce II biomass electricity, heating, cooling calculator (RED II compliant)</t>
  </si>
  <si>
    <t>https://www.biograce.net/biograce2/</t>
  </si>
  <si>
    <t>Biograce I biofuels calculator (RED I compliant)</t>
  </si>
  <si>
    <t>http://www.biograce.net/home</t>
  </si>
  <si>
    <t>EcoInvent database of GHG emissions</t>
  </si>
  <si>
    <t>https://ecoinvent.org/
https://web.archive.org/web/20190605065129/http://www.arb.ca.gov/fuels/lcfs/workgroups/lcfssustain/ISCC_EU_205_GHG_Calculation_and_GHG_Audit_2.3_eng.pdf</t>
  </si>
  <si>
    <t>IEA Net Zero Emissions by 2050 scenario</t>
  </si>
  <si>
    <t>https://iea.blob.core.windows.net/assets/deebef5d-0c34-4539-9d0c-10b13d840027/NetZeroby2050-ARoadmapfortheGlobalEnergySector_CORR.pdf</t>
  </si>
  <si>
    <t>Wind/solar electricity consignment of Electrolysis</t>
  </si>
  <si>
    <t>Supply chain step (Excel worksheet)</t>
  </si>
  <si>
    <t>UK Low Carbon Hydrogen Standard emissions category</t>
  </si>
  <si>
    <t>Projected or default data?</t>
  </si>
  <si>
    <r>
      <t xml:space="preserve">Step efficiency 
</t>
    </r>
    <r>
      <rPr>
        <b/>
        <sz val="10"/>
        <color rgb="FF000000"/>
        <rFont val="Calibri"/>
        <family val="2"/>
      </rPr>
      <t>(MJ</t>
    </r>
    <r>
      <rPr>
        <b/>
        <vertAlign val="subscript"/>
        <sz val="10"/>
        <color rgb="FF000000"/>
        <rFont val="Calibri"/>
        <family val="2"/>
      </rPr>
      <t>LHV</t>
    </r>
    <r>
      <rPr>
        <b/>
        <sz val="10"/>
        <color rgb="FF000000"/>
        <rFont val="Calibri"/>
        <family val="2"/>
      </rPr>
      <t xml:space="preserve"> main output/MJ</t>
    </r>
    <r>
      <rPr>
        <b/>
        <vertAlign val="subscript"/>
        <sz val="10"/>
        <color rgb="FF000000"/>
        <rFont val="Calibri"/>
        <family val="2"/>
      </rPr>
      <t>LHV</t>
    </r>
    <r>
      <rPr>
        <b/>
        <sz val="10"/>
        <color rgb="FF000000"/>
        <rFont val="Calibri"/>
        <family val="2"/>
      </rPr>
      <t xml:space="preserve"> main input)</t>
    </r>
  </si>
  <si>
    <r>
      <t xml:space="preserve">Cumulative backward chain efficiency 
</t>
    </r>
    <r>
      <rPr>
        <b/>
        <sz val="10"/>
        <color rgb="FF000000"/>
        <rFont val="Calibri"/>
        <family val="2"/>
      </rPr>
      <t>(MJ</t>
    </r>
    <r>
      <rPr>
        <b/>
        <vertAlign val="subscript"/>
        <sz val="10"/>
        <color rgb="FF000000"/>
        <rFont val="Calibri"/>
        <family val="2"/>
      </rPr>
      <t>LHV</t>
    </r>
    <r>
      <rPr>
        <b/>
        <sz val="10"/>
        <color rgb="FF000000"/>
        <rFont val="Calibri"/>
        <family val="2"/>
      </rPr>
      <t xml:space="preserve"> step main output/MJ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</si>
  <si>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GHG emissions from step,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step main output)</t>
    </r>
  </si>
  <si>
    <r>
      <t xml:space="preserve">GHG emissions from step,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</si>
  <si>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t>Allocation of GHG emissions to main output of each step</t>
  </si>
  <si>
    <t>Cumulative backward chain allocation of GHG emissions</t>
  </si>
  <si>
    <r>
      <t xml:space="preserve">Projected GHG emissions from step, WITH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</si>
  <si>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Default GHG emissions from step</t>
    </r>
    <r>
      <rPr>
        <b/>
        <sz val="10"/>
        <color rgb="FF000000"/>
        <rFont val="Calibri"/>
        <family val="2"/>
      </rPr>
      <t xml:space="preserve"> 
(gCO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</si>
  <si>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Selected GHG emissions from step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</si>
  <si>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Wind/solar PV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</si>
  <si>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</si>
  <si>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</si>
  <si>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Process CO</t>
    </r>
    <r>
      <rPr>
        <vertAlign val="subscript"/>
        <sz val="11"/>
        <color theme="10"/>
        <rFont val="Calibri"/>
        <family val="2"/>
      </rPr>
      <t>2</t>
    </r>
    <r>
      <rPr>
        <sz val="11"/>
        <color theme="10"/>
        <rFont val="Calibri"/>
        <family val="2"/>
      </rPr>
      <t xml:space="preserve"> emissions</t>
    </r>
  </si>
  <si>
    <t>Must be projected</t>
  </si>
  <si>
    <r>
      <t>CO</t>
    </r>
    <r>
      <rPr>
        <vertAlign val="subscript"/>
        <sz val="11"/>
        <color theme="10"/>
        <rFont val="Calibri"/>
        <family val="2"/>
      </rPr>
      <t>2</t>
    </r>
    <r>
      <rPr>
        <sz val="11"/>
        <color theme="10"/>
        <rFont val="Calibri"/>
        <family val="2"/>
      </rPr>
      <t xml:space="preserve"> capture and network entry</t>
    </r>
  </si>
  <si>
    <r>
      <t>CO</t>
    </r>
    <r>
      <rPr>
        <vertAlign val="subscript"/>
        <sz val="11"/>
        <color theme="10"/>
        <rFont val="Calibri"/>
        <family val="2"/>
      </rPr>
      <t>2</t>
    </r>
    <r>
      <rPr>
        <sz val="11"/>
        <color theme="10"/>
        <rFont val="Calibri"/>
        <family val="2"/>
      </rPr>
      <t xml:space="preserve"> sequestration</t>
    </r>
  </si>
  <si>
    <r>
      <t>Fugitive non-CO</t>
    </r>
    <r>
      <rPr>
        <vertAlign val="subscript"/>
        <sz val="11"/>
        <color theme="10"/>
        <rFont val="Calibri"/>
        <family val="2"/>
      </rPr>
      <t>2</t>
    </r>
    <r>
      <rPr>
        <sz val="11"/>
        <color theme="10"/>
        <rFont val="Calibri"/>
        <family val="2"/>
      </rPr>
      <t xml:space="preserve"> emissions</t>
    </r>
  </si>
  <si>
    <r>
      <t>Theoretical H</t>
    </r>
    <r>
      <rPr>
        <vertAlign val="subscript"/>
        <sz val="11"/>
        <color theme="10"/>
        <rFont val="Calibri"/>
        <family val="2"/>
      </rPr>
      <t>2</t>
    </r>
    <r>
      <rPr>
        <sz val="11"/>
        <color theme="10"/>
        <rFont val="Calibri"/>
        <family val="2"/>
      </rPr>
      <t xml:space="preserve"> Compression</t>
    </r>
  </si>
  <si>
    <t>Compression and purification</t>
  </si>
  <si>
    <t>Set formula if &lt;3 MPa, or default Energy supply and &gt;3 MPa</t>
  </si>
  <si>
    <t>Included within Energy Supply</t>
  </si>
  <si>
    <r>
      <t>Theoretical H</t>
    </r>
    <r>
      <rPr>
        <vertAlign val="subscript"/>
        <sz val="11"/>
        <color theme="10"/>
        <rFont val="Calibri"/>
        <family val="2"/>
      </rPr>
      <t>2</t>
    </r>
    <r>
      <rPr>
        <sz val="11"/>
        <color theme="10"/>
        <rFont val="Calibri"/>
        <family val="2"/>
      </rPr>
      <t xml:space="preserve"> Purification</t>
    </r>
  </si>
  <si>
    <t>Set formula if &lt;99.9% by vol, or default Energy supply and &gt;99.9%</t>
  </si>
  <si>
    <t>Total chain</t>
  </si>
  <si>
    <t>Standard threshold</t>
  </si>
  <si>
    <t>NB: the central, best and worst case values are specific to a certain electricity mix (in this case, 100% wind/solar electricity), so values in these columns may not be appropriate for comparison with your pathway.</t>
  </si>
  <si>
    <t>Nuclear electricity consignment of Electrolysis</t>
  </si>
  <si>
    <r>
      <t>Nuclear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</si>
  <si>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</si>
  <si>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</si>
  <si>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NB: the central, best and worst case values are specific to a certain electricity mix (in this case, 100% nuclear electricity), so values in these columns may not be appropriate for comparison with your pathway.</t>
  </si>
  <si>
    <t>Grid electricity consignment of Electrolysis</t>
  </si>
  <si>
    <r>
      <t>Grid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</si>
  <si>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</si>
  <si>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</si>
  <si>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NB: the central, best and worst case values are specific to a certain electricity mix (in this case, 100% grid electricity), so values in these columns may not be appropriate for comparison with your pathway.</t>
  </si>
  <si>
    <t>Stored electricity consignment of Electrolysis</t>
  </si>
  <si>
    <t>Other electricity consignment of Electrolysis</t>
  </si>
  <si>
    <t>Go to the summary GHG worksheet</t>
  </si>
  <si>
    <t>Type of flow</t>
  </si>
  <si>
    <t>Description of flow</t>
  </si>
  <si>
    <t>Further flow details (e.g. energy source, type, distance, temperature, pressure, purity, moisture content)</t>
  </si>
  <si>
    <t>Source / evidence (e.g. production reports, contracts, delivery notes, lab testing, model)</t>
  </si>
  <si>
    <t>Flow in from/out to:</t>
  </si>
  <si>
    <t>Does flow cross the GHG assessment boundary?</t>
  </si>
  <si>
    <t>Lower heating value [LHV] (MJ/kg dry)</t>
  </si>
  <si>
    <t>Reference for LHV</t>
  </si>
  <si>
    <t>Moisture content (kg water/kg as received)</t>
  </si>
  <si>
    <t>Reference for moisture content</t>
  </si>
  <si>
    <t>Equivalent energy flow for efficiencies (MWh/yr LHV)</t>
  </si>
  <si>
    <r>
      <t>Step efficiency (MJ</t>
    </r>
    <r>
      <rPr>
        <b/>
        <vertAlign val="subscript"/>
        <sz val="11"/>
        <color rgb="FF000098"/>
        <rFont val="Calibri"/>
        <family val="2"/>
      </rPr>
      <t>LHV</t>
    </r>
    <r>
      <rPr>
        <b/>
        <sz val="11"/>
        <color rgb="FF000098"/>
        <rFont val="Calibri"/>
        <family val="2"/>
      </rPr>
      <t xml:space="preserve"> main output/MJ</t>
    </r>
    <r>
      <rPr>
        <b/>
        <vertAlign val="subscript"/>
        <sz val="11"/>
        <color rgb="FF000098"/>
        <rFont val="Calibri"/>
        <family val="2"/>
      </rPr>
      <t>LHV</t>
    </r>
    <r>
      <rPr>
        <b/>
        <sz val="11"/>
        <color rgb="FF000098"/>
        <rFont val="Calibri"/>
        <family val="2"/>
      </rPr>
      <t xml:space="preserve"> electricity and heat inputs)</t>
    </r>
  </si>
  <si>
    <t>Equivalent energy flow for energy allocation (MWh/yr LHV)</t>
  </si>
  <si>
    <r>
      <t>Energy allocation (MJ</t>
    </r>
    <r>
      <rPr>
        <b/>
        <vertAlign val="subscript"/>
        <sz val="11"/>
        <color rgb="FF000098"/>
        <rFont val="Calibri"/>
        <family val="2"/>
      </rPr>
      <t>LHV</t>
    </r>
    <r>
      <rPr>
        <b/>
        <sz val="11"/>
        <color rgb="FF000098"/>
        <rFont val="Calibri"/>
        <family val="2"/>
      </rPr>
      <t>/MJ</t>
    </r>
    <r>
      <rPr>
        <b/>
        <vertAlign val="subscript"/>
        <sz val="11"/>
        <color rgb="FF000098"/>
        <rFont val="Calibri"/>
        <family val="2"/>
      </rPr>
      <t>LHV</t>
    </r>
    <r>
      <rPr>
        <b/>
        <sz val="11"/>
        <color rgb="FF000098"/>
        <rFont val="Calibri"/>
        <family val="2"/>
      </rPr>
      <t xml:space="preserve"> all products)</t>
    </r>
  </si>
  <si>
    <r>
      <t>GHG intensity 
(gCO</t>
    </r>
    <r>
      <rPr>
        <b/>
        <vertAlign val="subscript"/>
        <sz val="11"/>
        <color rgb="FF000098"/>
        <rFont val="Calibri"/>
        <family val="2"/>
      </rPr>
      <t>2</t>
    </r>
    <r>
      <rPr>
        <b/>
        <sz val="11"/>
        <color rgb="FF000098"/>
        <rFont val="Calibri"/>
        <family val="2"/>
      </rPr>
      <t>e/kg of material) - for flows with tonnes/yr units</t>
    </r>
  </si>
  <si>
    <r>
      <t>GHG intensity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of energy) - for flows with MWh/yr (LHV) units</t>
    </r>
  </si>
  <si>
    <t>Reference for GHG intensity</t>
  </si>
  <si>
    <r>
      <t>GHG emissions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step main output), WITHOUT allocation</t>
    </r>
  </si>
  <si>
    <t>Comments &amp; questions</t>
  </si>
  <si>
    <t>Step main input and (co)products</t>
  </si>
  <si>
    <t>Main feedstock</t>
  </si>
  <si>
    <t>None - please fill in electricity and water usage in sections below</t>
  </si>
  <si>
    <t>Main output</t>
  </si>
  <si>
    <t>Hydrogen (wind/solar + nuclear + grid + stored + other consignments)</t>
  </si>
  <si>
    <t>Co-products</t>
  </si>
  <si>
    <t>e.g. Exported steam</t>
  </si>
  <si>
    <t>e.g. Oxygen</t>
  </si>
  <si>
    <t>e.g. Co-product 3</t>
  </si>
  <si>
    <t>e.g. Co-product 4</t>
  </si>
  <si>
    <t>Wastes</t>
  </si>
  <si>
    <t>e.g. Wastewater (gross output)</t>
  </si>
  <si>
    <t>e.g. Spent catalysts</t>
  </si>
  <si>
    <t>Residues</t>
  </si>
  <si>
    <t>e.g. Sulphur</t>
  </si>
  <si>
    <t>e.g. Ash</t>
  </si>
  <si>
    <t>gCO2e/MJ wind or solar H2</t>
  </si>
  <si>
    <t>Energy supply - wind/solar hydrogen consignment (electricity). Include any wind/solar electricity used in onsite (non-theoretical) Compression &amp; Purification</t>
  </si>
  <si>
    <t>Energy</t>
  </si>
  <si>
    <t>e.g. Annual wind/solar electricity to electrolyser and de-ionisation of water and onsite compression/purification</t>
  </si>
  <si>
    <t>From Typical data tab</t>
  </si>
  <si>
    <t>gCO2e/MJ nuclear H2</t>
  </si>
  <si>
    <t>Energy supply - nuclear hydrogen consignment (electricity). Include any nuclear electricity used in onsite (non-theoretical) Compression &amp; Purification</t>
  </si>
  <si>
    <t>e.g. Annual nuclear electricity to electrolyser and de-ionisation of water and onsite compression/purification</t>
  </si>
  <si>
    <t>From Initial Questions tab</t>
  </si>
  <si>
    <t>gCO2e/MJ grid H2</t>
  </si>
  <si>
    <t>Energy supply - grid hydrogen consignment (electricity). Include any grid electricity used in onsite (non-theoretical) Compression &amp; Purification</t>
  </si>
  <si>
    <t>e.g. Annual grid electricity to electrolyser and de-ionisation of water and onsite compression/purification</t>
  </si>
  <si>
    <t>gCO2e/MJ stored elec H2</t>
  </si>
  <si>
    <t>Energy supply - "stored electricity source" hydrogen consignment (electricity). Include any "stored electricity source" used in onsite (non-theoretical) Compression &amp; Purification</t>
  </si>
  <si>
    <t>e.g. Annual stored electricity to electrolyser and de-ionisation of water and onsite compression/purification</t>
  </si>
  <si>
    <t>gCO2e/MJ other H2</t>
  </si>
  <si>
    <t>Energy supply - "other electricity source" hydrogen consignment (electricity). Include any "other electricity source" used in onsite (non-theoretical) Compression &amp; Purification</t>
  </si>
  <si>
    <t>e.g. Annual electricity to electrolyser and de-ionisation of water and onsite compression/purification</t>
  </si>
  <si>
    <t>gCO2e/MJ all H2</t>
  </si>
  <si>
    <t>Energy supply (steam, heat, upstream fuel supply emissions) used across all consignments, excluding consignment energy flows already listed above. Include any non-electricity energy sources used in onsite (non-theoretical) Compression &amp; Purification</t>
  </si>
  <si>
    <t>e.g. Imported steam (not generated onsite)</t>
  </si>
  <si>
    <t>Accounting for only the upstream supply chain to the plant within the GHG intensity (extraction, manufacturing and supply of the input).</t>
  </si>
  <si>
    <t>e.g. Imported heat (not generated onsite)</t>
  </si>
  <si>
    <t>Fuels</t>
  </si>
  <si>
    <t>e.g. Diesel</t>
  </si>
  <si>
    <t>Accounting for only the upstream supply chain to the plant within the GHG intensity (extraction, manufacturing and supply of the input). Record any CO2 released on use at the plant in Process CO2 generated table below</t>
  </si>
  <si>
    <t>e.g. Heating oil</t>
  </si>
  <si>
    <t>e.g. Coal</t>
  </si>
  <si>
    <r>
      <t>Input materials (upstream materials supply emissions, but not emissions from their use in the process - which are dealt with in Process CO</t>
    </r>
    <r>
      <rPr>
        <b/>
        <vertAlign val="subscript"/>
        <sz val="11"/>
        <color rgb="FF000098"/>
        <rFont val="Calibri"/>
        <family val="2"/>
      </rPr>
      <t>2</t>
    </r>
    <r>
      <rPr>
        <b/>
        <sz val="11"/>
        <color rgb="FF000098"/>
        <rFont val="Calibri"/>
        <family val="2"/>
      </rPr>
      <t xml:space="preserve"> generation and Fugitive non-CO</t>
    </r>
    <r>
      <rPr>
        <b/>
        <vertAlign val="subscript"/>
        <sz val="11"/>
        <color rgb="FF000098"/>
        <rFont val="Calibri"/>
        <family val="2"/>
      </rPr>
      <t>2</t>
    </r>
    <r>
      <rPr>
        <b/>
        <sz val="11"/>
        <color rgb="FF000098"/>
        <rFont val="Calibri"/>
        <family val="2"/>
      </rPr>
      <t xml:space="preserve"> emissions sections). Include any materials used in onsite (non-theoretical) Compression &amp; Purification</t>
    </r>
  </si>
  <si>
    <t>Water</t>
  </si>
  <si>
    <t>e.g. Mains water (gross input)</t>
  </si>
  <si>
    <t>Accounting for only the upstream supply chain to the plant within the GHG intensity</t>
  </si>
  <si>
    <t>Chemicals</t>
  </si>
  <si>
    <t>e.g. Acid</t>
  </si>
  <si>
    <t>e.g. Alkali solution</t>
  </si>
  <si>
    <t>Catalysts</t>
  </si>
  <si>
    <t>e.g. Catalyst</t>
  </si>
  <si>
    <r>
      <t>Process emissions generated in hydrogen production, prior to any CO</t>
    </r>
    <r>
      <rPr>
        <b/>
        <vertAlign val="subscript"/>
        <sz val="11"/>
        <color rgb="FF000098"/>
        <rFont val="Calibri"/>
        <family val="2"/>
      </rPr>
      <t>2</t>
    </r>
    <r>
      <rPr>
        <b/>
        <sz val="11"/>
        <color rgb="FF000098"/>
        <rFont val="Calibri"/>
        <family val="2"/>
      </rPr>
      <t xml:space="preserve"> capture</t>
    </r>
  </si>
  <si>
    <t>CO2 generated</t>
  </si>
  <si>
    <t>e.g. Fossil CO2 emissions generated from combustion/conversion/use of diesel, natural gas, other energy and input materials onsite</t>
  </si>
  <si>
    <t>IPCC Fifth Assessment Report (AR5), GWP100 without carbon feedbacks</t>
  </si>
  <si>
    <r>
      <t>CO</t>
    </r>
    <r>
      <rPr>
        <b/>
        <vertAlign val="subscript"/>
        <sz val="11"/>
        <color rgb="FF000098"/>
        <rFont val="Calibri"/>
        <family val="2"/>
      </rPr>
      <t>2</t>
    </r>
    <r>
      <rPr>
        <b/>
        <sz val="11"/>
        <color rgb="FF000098"/>
        <rFont val="Calibri"/>
        <family val="2"/>
      </rPr>
      <t xml:space="preserve"> capture and network entry (includes CO</t>
    </r>
    <r>
      <rPr>
        <b/>
        <vertAlign val="subscript"/>
        <sz val="11"/>
        <color rgb="FF000098"/>
        <rFont val="Calibri"/>
        <family val="2"/>
      </rPr>
      <t>2</t>
    </r>
    <r>
      <rPr>
        <b/>
        <sz val="11"/>
        <color rgb="FF000098"/>
        <rFont val="Calibri"/>
        <family val="2"/>
      </rPr>
      <t xml:space="preserve"> transport to network)</t>
    </r>
  </si>
  <si>
    <t>e.g. Electricity for CO2 capture</t>
  </si>
  <si>
    <t>From Initial questions tab</t>
  </si>
  <si>
    <t>e.g. Electricity for CO2 transport</t>
  </si>
  <si>
    <t>Likely to be UK grid electricity</t>
  </si>
  <si>
    <t>e.g. Diesel for CO2 transport</t>
  </si>
  <si>
    <t>Accounting for both supply and combustion of any fuel within the GHG intensity</t>
  </si>
  <si>
    <t>e.g. Gasoline for CO2 transport</t>
  </si>
  <si>
    <t>e.g. Electricity for CO2 entry into network</t>
  </si>
  <si>
    <r>
      <t>CO</t>
    </r>
    <r>
      <rPr>
        <b/>
        <vertAlign val="subscript"/>
        <sz val="11"/>
        <color rgb="FF000098"/>
        <rFont val="Calibri"/>
        <family val="2"/>
      </rPr>
      <t>2</t>
    </r>
    <r>
      <rPr>
        <b/>
        <sz val="11"/>
        <color rgb="FF000098"/>
        <rFont val="Calibri"/>
        <family val="2"/>
      </rPr>
      <t xml:space="preserve"> sequestration</t>
    </r>
  </si>
  <si>
    <t>CO2 sequestered</t>
  </si>
  <si>
    <t>e.g. Fossil CO2 captured and sequestered</t>
  </si>
  <si>
    <t>CH4 emissions</t>
  </si>
  <si>
    <t>e.g. Methane emitted, net of any mitigation</t>
  </si>
  <si>
    <t>N2O emissions</t>
  </si>
  <si>
    <t>e.g. N2O emitted, net of any mitigation</t>
  </si>
  <si>
    <t>SF6 emissions</t>
  </si>
  <si>
    <t>e.g. SF6 emitted, net of any mitigation</t>
  </si>
  <si>
    <t>HFC emissions</t>
  </si>
  <si>
    <t>e.g. HFC emitted, net of any mitigation</t>
  </si>
  <si>
    <t>User to input</t>
  </si>
  <si>
    <t>Step total (gCO2e/MJ wind or solar H2)</t>
  </si>
  <si>
    <t>Step total (gCO2e/MJ nuclear H2)</t>
  </si>
  <si>
    <t>Step total (gCO2e/MJ grid H2)</t>
  </si>
  <si>
    <t>Step total (gCO2e/MJ stored elec H2)</t>
  </si>
  <si>
    <t>Step total (gCO2e/MJ other H2)</t>
  </si>
  <si>
    <t>Other characteristics</t>
  </si>
  <si>
    <t>Operating hours</t>
  </si>
  <si>
    <t>Full-load equivalents</t>
  </si>
  <si>
    <t>hr/yr</t>
  </si>
  <si>
    <t>Electricity mix</t>
  </si>
  <si>
    <t>Other electricity</t>
  </si>
  <si>
    <t>Capture rate</t>
  </si>
  <si>
    <t>e.g. CCS capture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</si>
</sst>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3" formatCode="_-* #,##0.00_-;\-* #,##0.00_-;_-* &quot;-&quot;??_-;_-@_-"/>
    <numFmt numFmtId="164" formatCode="0.0000"/>
    <numFmt numFmtId="165" formatCode="dd\-mmm\-yyyy"/>
    <numFmt numFmtId="166" formatCode="0.000000"/>
    <numFmt numFmtId="167" formatCode="#,##0.0000"/>
    <numFmt numFmtId="168" formatCode="#,##0.0000000"/>
    <numFmt numFmtId="169" formatCode="0.00000"/>
    <numFmt numFmtId="170" formatCode="0.000"/>
    <numFmt numFmtId="171" formatCode="#,##0.000"/>
    <numFmt numFmtId="172" formatCode="0.0000000"/>
    <numFmt numFmtId="173" formatCode="#,##0.0"/>
    <numFmt numFmtId="174" formatCode="0.0"/>
    <numFmt numFmtId="175" formatCode="#,##0.00000"/>
    <numFmt numFmtId="176" formatCode="dd\ mmm\ yyyy"/>
    <numFmt numFmtId="177" formatCode="_-* #,##0.000_-;\-* #,##0.000_-;_-* &quot;-&quot;??_-;_-@_-"/>
    <numFmt numFmtId="178" formatCode="0.0%"/>
    <numFmt numFmtId="179" formatCode="0.000%"/>
    <numFmt numFmtId="180" formatCode="_-* #,##0.0000_-;\-* #,##0.0000_-;_-* &quot;-&quot;??_-;_-@_-"/>
    <numFmt numFmtId="181" formatCode="_-* #,##0.00000_-;\-* #,##0.00000_-;_-* &quot;-&quot;??_-;_-@_-"/>
    <numFmt numFmtId="182" formatCode="0.0000%"/>
    <numFmt numFmtId="183" formatCode="_-* #,##0_-;\-* #,##0_-;_-* &quot;&quot;??_-;_-@_-"/>
  </numFmts>
  <fonts count="103">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0" tint="-0.499984740745262"/>
      <name val="Calibri"/>
      <family val="2"/>
    </font>
    <font>
      <sz val="8"/>
      <color theme="0" tint="-0.499984740745262"/>
      <name val="Calibri"/>
      <family val="2"/>
    </font>
    <font>
      <b/>
      <sz val="11"/>
      <color theme="0"/>
      <name val="Calibri"/>
      <family val="2"/>
    </font>
    <font>
      <sz val="11"/>
      <color rgb="FF000098"/>
      <name val="Calibri"/>
      <family val="2"/>
    </font>
    <font>
      <b/>
      <sz val="11"/>
      <color rgb="FF000098"/>
      <name val="Calibri"/>
      <family val="2"/>
    </font>
    <font>
      <b/>
      <sz val="11"/>
      <color theme="7" tint="-0.499984740745262"/>
      <name val="Calibri"/>
      <family val="2"/>
    </font>
    <font>
      <sz val="11"/>
      <color theme="7" tint="-0.499984740745262"/>
      <name val="Calibri"/>
      <family val="2"/>
    </font>
    <font>
      <sz val="11"/>
      <color rgb="FF000000"/>
      <name val="Calibri"/>
      <family val="2"/>
    </font>
    <font>
      <sz val="10"/>
      <name val="Arial"/>
      <family val="2"/>
    </font>
    <font>
      <b/>
      <sz val="11"/>
      <color rgb="FF000000"/>
      <name val="Calibri"/>
      <family val="2"/>
    </font>
    <font>
      <sz val="11"/>
      <color indexed="8"/>
      <name val="Calibri"/>
      <family val="2"/>
    </font>
    <font>
      <sz val="10"/>
      <name val="Arial Cyr"/>
    </font>
    <font>
      <b/>
      <sz val="14"/>
      <name val="Calibri"/>
      <family val="2"/>
      <scheme val="minor"/>
    </font>
    <font>
      <b/>
      <sz val="10"/>
      <color indexed="8"/>
      <name val="Calibri"/>
      <family val="2"/>
      <scheme val="minor"/>
    </font>
    <font>
      <sz val="10"/>
      <color indexed="8"/>
      <name val="Calibri"/>
      <family val="2"/>
      <scheme val="minor"/>
    </font>
    <font>
      <sz val="11"/>
      <color rgb="FF000000"/>
      <name val="Calibri"/>
      <family val="2"/>
      <scheme val="minor"/>
    </font>
    <font>
      <b/>
      <sz val="11"/>
      <color rgb="FF000098"/>
      <name val="Calibri"/>
      <family val="2"/>
      <scheme val="minor"/>
    </font>
    <font>
      <b/>
      <sz val="11"/>
      <color indexed="8"/>
      <name val="Calibri"/>
      <family val="2"/>
      <scheme val="minor"/>
    </font>
    <font>
      <sz val="11"/>
      <color indexed="8"/>
      <name val="Calibri"/>
      <family val="2"/>
      <scheme val="minor"/>
    </font>
    <font>
      <b/>
      <sz val="12"/>
      <color indexed="8"/>
      <name val="Calibri"/>
      <family val="2"/>
      <scheme val="minor"/>
    </font>
    <font>
      <sz val="12"/>
      <color indexed="8"/>
      <name val="Calibri"/>
      <family val="2"/>
      <scheme val="minor"/>
    </font>
    <font>
      <b/>
      <sz val="11"/>
      <name val="Calibri"/>
      <family val="2"/>
      <scheme val="minor"/>
    </font>
    <font>
      <sz val="11"/>
      <name val="Calibri"/>
      <family val="2"/>
      <scheme val="minor"/>
    </font>
    <font>
      <sz val="10"/>
      <color rgb="FF000098"/>
      <name val="Calibri"/>
      <family val="2"/>
      <scheme val="minor"/>
    </font>
    <font>
      <sz val="10"/>
      <name val="Calibri"/>
      <family val="2"/>
      <scheme val="minor"/>
    </font>
    <font>
      <b/>
      <sz val="9"/>
      <color indexed="81"/>
      <name val="Tahoma"/>
      <family val="2"/>
    </font>
    <font>
      <sz val="9"/>
      <color indexed="81"/>
      <name val="Tahoma"/>
      <family val="2"/>
    </font>
    <font>
      <b/>
      <sz val="11"/>
      <name val="Calibri"/>
      <family val="2"/>
    </font>
    <font>
      <sz val="11"/>
      <color rgb="FFFF0000"/>
      <name val="Calibri"/>
      <family val="2"/>
    </font>
    <font>
      <b/>
      <i/>
      <sz val="11"/>
      <color rgb="FF000000"/>
      <name val="Calibri"/>
      <family val="2"/>
    </font>
    <font>
      <sz val="12"/>
      <color rgb="FF000000"/>
      <name val="Calibri"/>
      <family val="2"/>
    </font>
    <font>
      <u/>
      <sz val="11"/>
      <color rgb="FF000000"/>
      <name val="Calibri"/>
      <family val="2"/>
    </font>
    <font>
      <u/>
      <sz val="11"/>
      <color theme="10"/>
      <name val="Calibri"/>
      <family val="2"/>
    </font>
    <font>
      <b/>
      <sz val="11"/>
      <color indexed="8"/>
      <name val="Calibri"/>
      <family val="2"/>
    </font>
    <font>
      <sz val="11"/>
      <color theme="10"/>
      <name val="Calibri"/>
      <family val="2"/>
    </font>
    <font>
      <b/>
      <sz val="18"/>
      <color theme="3"/>
      <name val="Calibri"/>
      <family val="2"/>
      <scheme val="major"/>
    </font>
    <font>
      <sz val="11"/>
      <color theme="1"/>
      <name val="Arial"/>
      <family val="2"/>
    </font>
    <font>
      <sz val="11"/>
      <color indexed="9"/>
      <name val="Calibri"/>
      <family val="2"/>
    </font>
    <font>
      <sz val="10"/>
      <color rgb="FF000000"/>
      <name val="Arial"/>
      <family val="2"/>
    </font>
    <font>
      <sz val="11"/>
      <color theme="1"/>
      <name val="Times New Roman"/>
      <family val="2"/>
    </font>
    <font>
      <b/>
      <sz val="11"/>
      <color theme="1"/>
      <name val="Calibri"/>
      <family val="2"/>
      <scheme val="minor"/>
    </font>
    <font>
      <sz val="11"/>
      <color theme="0"/>
      <name val="Calibri"/>
      <family val="2"/>
      <scheme val="minor"/>
    </font>
    <font>
      <i/>
      <sz val="11"/>
      <color theme="2" tint="-0.499984740745262"/>
      <name val="Calibri"/>
      <family val="2"/>
    </font>
    <font>
      <b/>
      <vertAlign val="subscript"/>
      <sz val="11"/>
      <color rgb="FF000000"/>
      <name val="Calibri"/>
      <family val="2"/>
    </font>
    <font>
      <sz val="11"/>
      <color theme="0" tint="-0.249977111117893"/>
      <name val="Calibri"/>
      <family val="2"/>
      <scheme val="minor"/>
    </font>
    <font>
      <sz val="24"/>
      <color rgb="FFFF0000"/>
      <name val="Calibri"/>
      <family val="2"/>
    </font>
    <font>
      <b/>
      <sz val="11"/>
      <color rgb="FFFF0000"/>
      <name val="Calibri"/>
      <family val="2"/>
    </font>
    <font>
      <sz val="11"/>
      <color theme="0" tint="-0.34998626667073579"/>
      <name val="Calibri"/>
      <family val="2"/>
    </font>
    <font>
      <b/>
      <vertAlign val="subscript"/>
      <sz val="11"/>
      <name val="Calibri"/>
      <family val="2"/>
    </font>
    <font>
      <i/>
      <sz val="11"/>
      <color rgb="FF000000"/>
      <name val="Calibri"/>
      <family val="2"/>
    </font>
    <font>
      <b/>
      <sz val="22"/>
      <color rgb="FF000000"/>
      <name val="Calibri"/>
      <family val="2"/>
    </font>
    <font>
      <b/>
      <sz val="14"/>
      <name val="Calibri"/>
      <family val="2"/>
    </font>
    <font>
      <sz val="14"/>
      <color rgb="FF000000"/>
      <name val="Calibri"/>
      <family val="2"/>
    </font>
    <font>
      <b/>
      <vertAlign val="superscript"/>
      <sz val="10"/>
      <name val="Calibri"/>
      <family val="2"/>
      <scheme val="minor"/>
    </font>
    <font>
      <b/>
      <sz val="10"/>
      <name val="Calibri"/>
      <family val="2"/>
      <scheme val="minor"/>
    </font>
    <font>
      <b/>
      <i/>
      <sz val="11"/>
      <name val="Calibri"/>
      <family val="2"/>
    </font>
    <font>
      <b/>
      <u/>
      <sz val="14"/>
      <color theme="3"/>
      <name val="Calibri"/>
      <family val="2"/>
    </font>
    <font>
      <sz val="11"/>
      <color theme="1"/>
      <name val="Calibri"/>
      <family val="2"/>
    </font>
    <font>
      <b/>
      <sz val="12"/>
      <color rgb="FF000000"/>
      <name val="Calibri"/>
      <family val="2"/>
    </font>
    <font>
      <b/>
      <sz val="14"/>
      <color theme="10"/>
      <name val="Calibri"/>
      <family val="2"/>
    </font>
    <font>
      <b/>
      <sz val="14"/>
      <color rgb="FF000000"/>
      <name val="Calibri"/>
      <family val="2"/>
    </font>
    <font>
      <b/>
      <sz val="10"/>
      <color rgb="FF000000"/>
      <name val="Calibri"/>
      <family val="2"/>
    </font>
    <font>
      <b/>
      <vertAlign val="subscript"/>
      <sz val="10"/>
      <color rgb="FF000000"/>
      <name val="Calibri"/>
      <family val="2"/>
    </font>
    <font>
      <b/>
      <sz val="14"/>
      <color rgb="FF000000"/>
      <name val="Calibri"/>
      <family val="2"/>
      <scheme val="minor"/>
    </font>
    <font>
      <b/>
      <sz val="18"/>
      <color rgb="FF000000"/>
      <name val="Calibri"/>
      <family val="2"/>
    </font>
    <font>
      <b/>
      <vertAlign val="superscript"/>
      <sz val="11"/>
      <color theme="1"/>
      <name val="Calibri"/>
      <family val="2"/>
      <scheme val="minor"/>
    </font>
    <font>
      <i/>
      <sz val="11"/>
      <color theme="0" tint="-0.34998626667073579"/>
      <name val="Calibri"/>
      <family val="2"/>
    </font>
    <font>
      <b/>
      <sz val="11"/>
      <color theme="0" tint="-0.34998626667073579"/>
      <name val="Calibri"/>
      <family val="2"/>
    </font>
    <font>
      <b/>
      <i/>
      <sz val="11"/>
      <color theme="0" tint="-0.34998626667073579"/>
      <name val="Calibri"/>
      <family val="2"/>
    </font>
    <font>
      <b/>
      <i/>
      <vertAlign val="subscript"/>
      <sz val="11"/>
      <color theme="0" tint="-0.34998626667073579"/>
      <name val="Calibri"/>
      <family val="2"/>
    </font>
    <font>
      <b/>
      <vertAlign val="subscript"/>
      <sz val="11"/>
      <color rgb="FF000098"/>
      <name val="Calibri"/>
      <family val="2"/>
    </font>
    <font>
      <u/>
      <sz val="11"/>
      <name val="Calibri"/>
      <family val="2"/>
    </font>
    <font>
      <vertAlign val="subscript"/>
      <sz val="11"/>
      <color rgb="FF000000"/>
      <name val="Calibri"/>
      <family val="2"/>
    </font>
    <font>
      <i/>
      <sz val="11"/>
      <name val="Calibri"/>
      <family val="2"/>
    </font>
    <font>
      <vertAlign val="subscript"/>
      <sz val="11"/>
      <name val="Calibri"/>
      <family val="2"/>
    </font>
    <font>
      <u/>
      <sz val="11"/>
      <color theme="7" tint="-0.499984740745262"/>
      <name val="Calibri"/>
      <family val="2"/>
    </font>
    <font>
      <sz val="11"/>
      <color theme="0" tint="-0.249977111117893"/>
      <name val="Calibri"/>
      <family val="2"/>
    </font>
    <font>
      <u/>
      <sz val="11"/>
      <color theme="0"/>
      <name val="Calibri"/>
      <family val="2"/>
    </font>
    <font>
      <sz val="11"/>
      <color rgb="FFFF0000"/>
      <name val="Calibri"/>
      <family val="2"/>
      <scheme val="minor"/>
    </font>
    <font>
      <u/>
      <sz val="11"/>
      <color rgb="FFFF0000"/>
      <name val="Calibri"/>
      <family val="2"/>
    </font>
    <font>
      <sz val="8"/>
      <name val="Calibri"/>
      <family val="2"/>
    </font>
    <font>
      <u/>
      <sz val="16"/>
      <color theme="10"/>
      <name val="Calibri"/>
      <family val="2"/>
    </font>
    <font>
      <i/>
      <sz val="11"/>
      <color rgb="FFFF0000"/>
      <name val="Calibri"/>
      <family val="2"/>
    </font>
    <font>
      <sz val="10"/>
      <color rgb="FFFF0000"/>
      <name val="Calibri"/>
      <family val="2"/>
    </font>
    <font>
      <b/>
      <sz val="24"/>
      <color rgb="FFFF0000"/>
      <name val="Calibri"/>
      <family val="2"/>
    </font>
    <font>
      <vertAlign val="subscript"/>
      <sz val="11"/>
      <color theme="10"/>
      <name val="Calibri"/>
      <family val="2"/>
    </font>
    <font>
      <vertAlign val="superscript"/>
      <sz val="11"/>
      <color rgb="FF000000"/>
      <name val="Calibri"/>
      <family val="2"/>
    </font>
    <font>
      <vertAlign val="subscript"/>
      <sz val="11"/>
      <color rgb="FF000000"/>
      <name val="Calibri"/>
      <family val="2"/>
      <scheme val="minor"/>
    </font>
    <font>
      <b/>
      <sz val="18"/>
      <name val="Calibri"/>
      <family val="2"/>
    </font>
    <font>
      <b/>
      <u/>
      <sz val="16"/>
      <color theme="0"/>
      <name val="Calibri"/>
      <family val="2"/>
    </font>
    <font>
      <b/>
      <u/>
      <sz val="16"/>
      <name val="Calibri"/>
      <family val="2"/>
    </font>
    <font>
      <b/>
      <vertAlign val="subscript"/>
      <sz val="11"/>
      <color theme="1"/>
      <name val="Calibri"/>
      <family val="2"/>
      <scheme val="minor"/>
    </font>
    <font>
      <b/>
      <vertAlign val="subscript"/>
      <sz val="11"/>
      <color rgb="FF000000"/>
      <name val="Calibri"/>
      <family val="2"/>
      <scheme val="minor"/>
    </font>
    <font>
      <b/>
      <sz val="11"/>
      <color rgb="FF000000"/>
      <name val="Calibri"/>
      <family val="2"/>
      <scheme val="minor"/>
    </font>
    <font>
      <b/>
      <sz val="11"/>
      <color theme="0" tint="-0.34998626667073579"/>
      <name val="Calibri"/>
      <family val="2"/>
      <scheme val="minor"/>
    </font>
    <font>
      <b/>
      <vertAlign val="subscript"/>
      <sz val="11"/>
      <name val="Calibri"/>
      <family val="2"/>
      <scheme val="minor"/>
    </font>
    <font>
      <vertAlign val="subscript"/>
      <sz val="11"/>
      <color theme="1"/>
      <name val="Calibri"/>
      <family val="2"/>
      <scheme val="minor"/>
    </font>
  </fonts>
  <fills count="27">
    <fill>
      <patternFill patternType="none"/>
    </fill>
    <fill>
      <patternFill patternType="gray125"/>
    </fill>
    <fill>
      <patternFill patternType="solid">
        <fgColor rgb="FF1B429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6" tint="0.39994506668294322"/>
        <bgColor indexed="64"/>
      </patternFill>
    </fill>
    <fill>
      <patternFill patternType="solid">
        <fgColor theme="9" tint="0.59996337778862885"/>
        <bgColor indexed="64"/>
      </patternFill>
    </fill>
    <fill>
      <patternFill patternType="solid">
        <fgColor theme="0"/>
        <bgColor indexed="64"/>
      </patternFill>
    </fill>
    <fill>
      <patternFill patternType="solid">
        <fgColor theme="7" tint="0.79998168889431442"/>
        <bgColor indexed="64"/>
      </patternFill>
    </fill>
    <fill>
      <patternFill patternType="solid">
        <fgColor rgb="FFFF66CC"/>
        <bgColor indexed="64"/>
      </patternFill>
    </fill>
    <fill>
      <patternFill patternType="solid">
        <fgColor indexed="30"/>
      </patternFill>
    </fill>
    <fill>
      <patternFill patternType="solid">
        <fgColor theme="8" tint="0.39994506668294322"/>
        <bgColor indexed="64"/>
      </patternFill>
    </fill>
    <fill>
      <patternFill patternType="solid">
        <fgColor theme="2" tint="-9.9948118533890809E-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8"/>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bgColor indexed="64"/>
      </patternFill>
    </fill>
    <fill>
      <patternFill patternType="solid">
        <fgColor rgb="FFC7E8FA"/>
        <bgColor indexed="64"/>
      </patternFill>
    </fill>
    <fill>
      <patternFill patternType="solid">
        <fgColor rgb="FFFFDF9F"/>
        <bgColor indexed="64"/>
      </patternFill>
    </fill>
  </fills>
  <borders count="25">
    <border>
      <left/>
      <right/>
      <top/>
      <bottom/>
      <diagonal/>
    </border>
    <border>
      <left/>
      <right/>
      <top/>
      <bottom style="thick">
        <color rgb="FF6AB0E0"/>
      </bottom>
      <diagonal/>
    </border>
    <border>
      <left/>
      <right/>
      <top/>
      <bottom style="medium">
        <color rgb="FF6AB0E0"/>
      </bottom>
      <diagonal/>
    </border>
    <border>
      <left/>
      <right/>
      <top/>
      <bottom style="medium">
        <color theme="7" tint="-0.499984740745262"/>
      </bottom>
      <diagonal/>
    </border>
    <border>
      <left/>
      <right/>
      <top/>
      <bottom style="thin">
        <color theme="7" tint="-0.499984740745262"/>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diagonal/>
    </border>
    <border>
      <left/>
      <right style="hair">
        <color auto="1"/>
      </right>
      <top/>
      <bottom/>
      <diagonal/>
    </border>
  </borders>
  <cellStyleXfs count="68">
    <xf numFmtId="0" fontId="0" fillId="0" borderId="0"/>
    <xf numFmtId="3" fontId="5" fillId="5" borderId="0" applyNumberFormat="0" applyBorder="0"/>
    <xf numFmtId="3" fontId="5" fillId="4" borderId="0" applyNumberFormat="0" applyBorder="0">
      <protection locked="0"/>
    </xf>
    <xf numFmtId="3" fontId="5" fillId="3" borderId="0" applyNumberFormat="0" applyBorder="0"/>
    <xf numFmtId="0" fontId="8" fillId="2" borderId="1"/>
    <xf numFmtId="0" fontId="10" fillId="0" borderId="1"/>
    <xf numFmtId="0" fontId="12" fillId="6" borderId="4"/>
    <xf numFmtId="0" fontId="6" fillId="0" borderId="0"/>
    <xf numFmtId="0" fontId="7" fillId="0" borderId="0"/>
    <xf numFmtId="0" fontId="11" fillId="0" borderId="3"/>
    <xf numFmtId="0" fontId="9" fillId="0" borderId="2"/>
    <xf numFmtId="3" fontId="5" fillId="7" borderId="0" applyNumberFormat="0" applyBorder="0"/>
    <xf numFmtId="0" fontId="5" fillId="8" borderId="0" applyNumberFormat="0" applyBorder="0">
      <protection locked="0"/>
    </xf>
    <xf numFmtId="0" fontId="4" fillId="0" borderId="0"/>
    <xf numFmtId="0" fontId="14" fillId="0" borderId="0"/>
    <xf numFmtId="0" fontId="13" fillId="0" borderId="0"/>
    <xf numFmtId="43" fontId="13" fillId="0" borderId="0" applyFont="0" applyFill="0" applyBorder="0" applyAlignment="0" applyProtection="0"/>
    <xf numFmtId="0" fontId="13" fillId="0" borderId="0"/>
    <xf numFmtId="0" fontId="16" fillId="0" borderId="0"/>
    <xf numFmtId="0" fontId="17" fillId="0" borderId="0"/>
    <xf numFmtId="43" fontId="4" fillId="0" borderId="0" applyFont="0" applyFill="0" applyBorder="0" applyAlignment="0" applyProtection="0"/>
    <xf numFmtId="0" fontId="5" fillId="8" borderId="0" applyBorder="0">
      <protection locked="0"/>
    </xf>
    <xf numFmtId="43" fontId="13" fillId="0" borderId="0" applyFont="0" applyFill="0" applyBorder="0" applyAlignment="0" applyProtection="0"/>
    <xf numFmtId="9" fontId="13" fillId="0" borderId="0" applyFont="0" applyFill="0" applyBorder="0" applyAlignment="0" applyProtection="0"/>
    <xf numFmtId="0" fontId="3" fillId="0" borderId="0"/>
    <xf numFmtId="9" fontId="3" fillId="0" borderId="0" applyFont="0" applyFill="0" applyBorder="0" applyAlignment="0" applyProtection="0"/>
    <xf numFmtId="0" fontId="38" fillId="0" borderId="0" applyNumberFormat="0" applyFill="0" applyBorder="0" applyAlignment="0" applyProtection="0"/>
    <xf numFmtId="0" fontId="14" fillId="0" borderId="0"/>
    <xf numFmtId="0" fontId="42" fillId="0" borderId="0"/>
    <xf numFmtId="0" fontId="14" fillId="0" borderId="0"/>
    <xf numFmtId="0" fontId="42" fillId="0" borderId="0"/>
    <xf numFmtId="0" fontId="43" fillId="12" borderId="0" applyNumberFormat="0" applyBorder="0" applyAlignment="0" applyProtection="0"/>
    <xf numFmtId="43" fontId="2" fillId="0" borderId="0" applyFont="0" applyFill="0" applyBorder="0" applyAlignment="0" applyProtection="0"/>
    <xf numFmtId="0" fontId="30" fillId="13" borderId="0" applyNumberFormat="0" applyBorder="0" applyAlignment="0" applyProtection="0"/>
    <xf numFmtId="0" fontId="14"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8" fillId="0" borderId="0"/>
    <xf numFmtId="0" fontId="14" fillId="0" borderId="0"/>
    <xf numFmtId="0" fontId="14" fillId="0" borderId="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0" fontId="30" fillId="14" borderId="0" applyBorder="0" applyAlignment="0" applyProtection="0"/>
    <xf numFmtId="0" fontId="41" fillId="0" borderId="0" applyNumberFormat="0" applyFill="0" applyBorder="0" applyAlignment="0" applyProtection="0"/>
    <xf numFmtId="0" fontId="47" fillId="17" borderId="0" applyNumberFormat="0" applyBorder="0" applyAlignment="0" applyProtection="0"/>
  </cellStyleXfs>
  <cellXfs count="527">
    <xf numFmtId="0" fontId="0" fillId="0" borderId="0" xfId="0"/>
    <xf numFmtId="0" fontId="8" fillId="2" borderId="1" xfId="4" applyAlignment="1">
      <alignment wrapText="1"/>
    </xf>
    <xf numFmtId="0" fontId="4" fillId="0" borderId="0" xfId="13"/>
    <xf numFmtId="0" fontId="8" fillId="2" borderId="1" xfId="4"/>
    <xf numFmtId="0" fontId="21" fillId="0" borderId="0" xfId="17" applyFont="1"/>
    <xf numFmtId="0" fontId="22" fillId="0" borderId="1" xfId="5" applyFont="1" applyAlignment="1">
      <alignment wrapText="1"/>
    </xf>
    <xf numFmtId="0" fontId="28" fillId="0" borderId="5" xfId="13" applyFont="1" applyBorder="1" applyAlignment="1">
      <alignment vertical="center" wrapText="1"/>
    </xf>
    <xf numFmtId="16" fontId="28" fillId="0" borderId="5" xfId="13" applyNumberFormat="1" applyFont="1" applyBorder="1" applyAlignment="1">
      <alignment vertical="center" wrapText="1"/>
    </xf>
    <xf numFmtId="17" fontId="28" fillId="0" borderId="5" xfId="13" applyNumberFormat="1" applyFont="1" applyBorder="1" applyAlignment="1">
      <alignment vertical="center" wrapText="1"/>
    </xf>
    <xf numFmtId="0" fontId="29" fillId="0" borderId="2" xfId="10" applyFont="1"/>
    <xf numFmtId="0" fontId="21" fillId="0" borderId="0" xfId="17" applyFont="1" applyAlignment="1">
      <alignment horizontal="left"/>
    </xf>
    <xf numFmtId="0" fontId="10" fillId="0" borderId="1" xfId="5" applyAlignment="1">
      <alignment wrapText="1"/>
    </xf>
    <xf numFmtId="0" fontId="13" fillId="0" borderId="0" xfId="17"/>
    <xf numFmtId="0" fontId="13" fillId="0" borderId="0" xfId="17" applyAlignment="1">
      <alignment wrapText="1"/>
    </xf>
    <xf numFmtId="0" fontId="15" fillId="0" borderId="0" xfId="17" applyFont="1"/>
    <xf numFmtId="0" fontId="5" fillId="4" borderId="5" xfId="2" applyNumberFormat="1" applyBorder="1" applyAlignment="1">
      <alignment vertical="center"/>
      <protection locked="0"/>
    </xf>
    <xf numFmtId="0" fontId="33" fillId="4" borderId="5" xfId="2" applyNumberFormat="1" applyFont="1" applyBorder="1" applyAlignment="1">
      <alignment vertical="center"/>
      <protection locked="0"/>
    </xf>
    <xf numFmtId="0" fontId="5" fillId="0" borderId="0" xfId="17" applyFont="1"/>
    <xf numFmtId="0" fontId="5" fillId="0" borderId="0" xfId="17" applyFont="1" applyAlignment="1">
      <alignment wrapText="1"/>
    </xf>
    <xf numFmtId="0" fontId="0" fillId="0" borderId="0" xfId="17" applyFont="1"/>
    <xf numFmtId="43" fontId="5" fillId="4" borderId="5" xfId="22" applyFont="1" applyFill="1" applyBorder="1" applyAlignment="1" applyProtection="1">
      <alignment vertical="center" wrapText="1"/>
      <protection locked="0"/>
    </xf>
    <xf numFmtId="43" fontId="5" fillId="4" borderId="5" xfId="22" applyFont="1" applyFill="1" applyBorder="1" applyAlignment="1" applyProtection="1">
      <alignment vertical="center"/>
      <protection locked="0"/>
    </xf>
    <xf numFmtId="43" fontId="5" fillId="0" borderId="0" xfId="22" applyFont="1" applyAlignment="1">
      <alignment vertical="center" wrapText="1"/>
    </xf>
    <xf numFmtId="43" fontId="33" fillId="4" borderId="5" xfId="22" applyFont="1" applyFill="1" applyBorder="1" applyAlignment="1" applyProtection="1">
      <alignment vertical="center"/>
      <protection locked="0"/>
    </xf>
    <xf numFmtId="43" fontId="13" fillId="0" borderId="0" xfId="22" applyFont="1"/>
    <xf numFmtId="0" fontId="15" fillId="0" borderId="0" xfId="0" applyFont="1"/>
    <xf numFmtId="0" fontId="38" fillId="0" borderId="0" xfId="26"/>
    <xf numFmtId="0" fontId="35" fillId="0" borderId="0" xfId="0" applyFont="1"/>
    <xf numFmtId="0" fontId="0" fillId="0" borderId="6" xfId="0" applyBorder="1"/>
    <xf numFmtId="0" fontId="33" fillId="4" borderId="6" xfId="2" applyNumberFormat="1" applyFont="1" applyBorder="1" applyAlignment="1">
      <alignment vertical="center"/>
      <protection locked="0"/>
    </xf>
    <xf numFmtId="4" fontId="34" fillId="4" borderId="5" xfId="22" applyNumberFormat="1" applyFont="1" applyFill="1" applyBorder="1" applyAlignment="1" applyProtection="1">
      <alignment vertical="center"/>
      <protection locked="0"/>
    </xf>
    <xf numFmtId="4" fontId="8" fillId="2" borderId="1" xfId="4" applyNumberFormat="1" applyAlignment="1">
      <alignment wrapText="1"/>
    </xf>
    <xf numFmtId="4" fontId="39" fillId="0" borderId="0" xfId="17" applyNumberFormat="1" applyFont="1" applyAlignment="1">
      <alignment horizontal="right" vertical="top"/>
    </xf>
    <xf numFmtId="4" fontId="13" fillId="0" borderId="0" xfId="17" applyNumberFormat="1" applyAlignment="1">
      <alignment wrapText="1"/>
    </xf>
    <xf numFmtId="4" fontId="5" fillId="0" borderId="0" xfId="17" applyNumberFormat="1" applyFont="1" applyAlignment="1">
      <alignment wrapText="1"/>
    </xf>
    <xf numFmtId="4" fontId="5" fillId="0" borderId="0" xfId="22" applyNumberFormat="1" applyFont="1" applyAlignment="1">
      <alignment vertical="center" wrapText="1"/>
    </xf>
    <xf numFmtId="0" fontId="38" fillId="0" borderId="0" xfId="26" applyFill="1"/>
    <xf numFmtId="1" fontId="0" fillId="0" borderId="0" xfId="0" applyNumberFormat="1"/>
    <xf numFmtId="164" fontId="0" fillId="0" borderId="0" xfId="0" applyNumberFormat="1"/>
    <xf numFmtId="0" fontId="23" fillId="0" borderId="0" xfId="28" applyFont="1"/>
    <xf numFmtId="0" fontId="24" fillId="0" borderId="0" xfId="28" applyFont="1"/>
    <xf numFmtId="0" fontId="21" fillId="0" borderId="0" xfId="0" applyFont="1"/>
    <xf numFmtId="0" fontId="33" fillId="0" borderId="0" xfId="26" applyFont="1" applyFill="1" applyBorder="1" applyAlignment="1"/>
    <xf numFmtId="0" fontId="38" fillId="0" borderId="0" xfId="26" applyFill="1" applyBorder="1" applyAlignment="1"/>
    <xf numFmtId="0" fontId="34" fillId="0" borderId="0" xfId="0" applyFont="1"/>
    <xf numFmtId="181" fontId="5" fillId="4" borderId="5" xfId="22" applyNumberFormat="1" applyFont="1" applyFill="1" applyBorder="1" applyAlignment="1" applyProtection="1">
      <alignment vertical="center"/>
      <protection locked="0"/>
    </xf>
    <xf numFmtId="0" fontId="0" fillId="0" borderId="6" xfId="0" applyBorder="1" applyAlignment="1">
      <alignment horizontal="center" vertical="center"/>
    </xf>
    <xf numFmtId="9" fontId="5" fillId="10" borderId="6" xfId="0" applyNumberFormat="1" applyFont="1" applyFill="1" applyBorder="1" applyAlignment="1">
      <alignment horizontal="center" vertical="center"/>
    </xf>
    <xf numFmtId="173" fontId="0" fillId="10" borderId="6" xfId="0" applyNumberFormat="1" applyFill="1" applyBorder="1" applyAlignment="1">
      <alignment horizontal="center" vertical="center"/>
    </xf>
    <xf numFmtId="2" fontId="5" fillId="10" borderId="6" xfId="0" applyNumberFormat="1" applyFont="1" applyFill="1" applyBorder="1" applyAlignment="1">
      <alignment horizontal="center" vertical="center"/>
    </xf>
    <xf numFmtId="0" fontId="40" fillId="0" borderId="6" xfId="26" applyFont="1" applyFill="1" applyBorder="1" applyAlignment="1">
      <alignment vertical="center"/>
    </xf>
    <xf numFmtId="0" fontId="0" fillId="0" borderId="0" xfId="0" applyAlignment="1">
      <alignment vertical="center"/>
    </xf>
    <xf numFmtId="43" fontId="5" fillId="4" borderId="21" xfId="22" applyFont="1" applyFill="1" applyBorder="1" applyAlignment="1" applyProtection="1">
      <alignment vertical="center"/>
      <protection locked="0"/>
    </xf>
    <xf numFmtId="43" fontId="5" fillId="4" borderId="22" xfId="22" applyFont="1" applyFill="1" applyBorder="1" applyAlignment="1" applyProtection="1">
      <alignment vertical="center"/>
      <protection locked="0"/>
    </xf>
    <xf numFmtId="43" fontId="5" fillId="4" borderId="22" xfId="22" applyFont="1" applyFill="1" applyBorder="1" applyAlignment="1" applyProtection="1">
      <alignment vertical="center" wrapText="1"/>
      <protection locked="0"/>
    </xf>
    <xf numFmtId="0" fontId="33" fillId="0" borderId="0" xfId="2" applyNumberFormat="1" applyFont="1" applyFill="1" applyBorder="1" applyAlignment="1">
      <alignment vertical="center"/>
      <protection locked="0"/>
    </xf>
    <xf numFmtId="0" fontId="5" fillId="0" borderId="0" xfId="2" applyNumberFormat="1" applyFill="1" applyBorder="1" applyAlignment="1">
      <alignment vertical="center"/>
      <protection locked="0"/>
    </xf>
    <xf numFmtId="43" fontId="5" fillId="0" borderId="0" xfId="22" applyFont="1" applyFill="1" applyBorder="1" applyAlignment="1" applyProtection="1">
      <alignment vertical="center"/>
      <protection locked="0"/>
    </xf>
    <xf numFmtId="43" fontId="5" fillId="0" borderId="0" xfId="22" applyFont="1" applyFill="1" applyBorder="1" applyAlignment="1" applyProtection="1">
      <alignment vertical="center" wrapText="1"/>
      <protection locked="0"/>
    </xf>
    <xf numFmtId="4" fontId="5" fillId="0" borderId="0" xfId="22" applyNumberFormat="1" applyFont="1" applyFill="1" applyBorder="1" applyAlignment="1" applyProtection="1">
      <alignment vertical="center" wrapText="1"/>
      <protection locked="0"/>
    </xf>
    <xf numFmtId="43" fontId="33" fillId="0" borderId="0" xfId="22" applyFont="1" applyFill="1" applyBorder="1" applyAlignment="1" applyProtection="1">
      <alignment vertical="center"/>
      <protection locked="0"/>
    </xf>
    <xf numFmtId="4" fontId="34" fillId="0" borderId="0" xfId="22" applyNumberFormat="1" applyFont="1" applyFill="1" applyBorder="1" applyAlignment="1" applyProtection="1">
      <alignment vertical="center" wrapText="1"/>
      <protection locked="0"/>
    </xf>
    <xf numFmtId="43" fontId="34" fillId="0" borderId="0" xfId="22" applyFont="1" applyFill="1" applyBorder="1" applyAlignment="1" applyProtection="1">
      <alignment vertical="center"/>
      <protection locked="0"/>
    </xf>
    <xf numFmtId="0" fontId="53" fillId="0" borderId="0" xfId="0" applyFont="1"/>
    <xf numFmtId="0" fontId="33" fillId="0" borderId="0" xfId="2" applyNumberFormat="1" applyFont="1" applyFill="1" applyAlignment="1">
      <alignment vertical="center"/>
      <protection locked="0"/>
    </xf>
    <xf numFmtId="43" fontId="5" fillId="0" borderId="0" xfId="22" applyFont="1" applyAlignment="1" applyProtection="1">
      <alignment vertical="center"/>
      <protection locked="0"/>
    </xf>
    <xf numFmtId="0" fontId="51" fillId="0" borderId="0" xfId="0" applyFont="1" applyAlignment="1">
      <alignment vertical="center"/>
    </xf>
    <xf numFmtId="0" fontId="0" fillId="0" borderId="0" xfId="0" applyAlignment="1">
      <alignment wrapText="1"/>
    </xf>
    <xf numFmtId="0" fontId="33" fillId="0" borderId="0" xfId="17" applyFont="1"/>
    <xf numFmtId="43" fontId="33" fillId="0" borderId="0" xfId="22" applyFont="1"/>
    <xf numFmtId="43" fontId="33" fillId="0" borderId="0" xfId="22" applyFont="1" applyAlignment="1">
      <alignment wrapText="1"/>
    </xf>
    <xf numFmtId="4" fontId="33" fillId="0" borderId="0" xfId="22" applyNumberFormat="1" applyFont="1" applyAlignment="1">
      <alignment wrapText="1"/>
    </xf>
    <xf numFmtId="0" fontId="33" fillId="0" borderId="0" xfId="0" applyFont="1"/>
    <xf numFmtId="4" fontId="0" fillId="0" borderId="0" xfId="0" applyNumberFormat="1"/>
    <xf numFmtId="0" fontId="40" fillId="0" borderId="6" xfId="26" applyFont="1" applyBorder="1" applyAlignment="1">
      <alignment vertical="center"/>
    </xf>
    <xf numFmtId="0" fontId="65" fillId="16" borderId="6" xfId="26" applyFont="1" applyFill="1" applyBorder="1" applyAlignment="1">
      <alignment vertical="center"/>
    </xf>
    <xf numFmtId="9" fontId="57" fillId="0" borderId="6" xfId="0" applyNumberFormat="1" applyFont="1" applyBorder="1" applyAlignment="1">
      <alignment horizontal="center"/>
    </xf>
    <xf numFmtId="173" fontId="66" fillId="16" borderId="6" xfId="0" applyNumberFormat="1" applyFont="1" applyFill="1" applyBorder="1" applyAlignment="1">
      <alignment horizontal="center"/>
    </xf>
    <xf numFmtId="173" fontId="66" fillId="0" borderId="6" xfId="0" applyNumberFormat="1" applyFont="1" applyBorder="1" applyAlignment="1">
      <alignment horizontal="center"/>
    </xf>
    <xf numFmtId="0" fontId="64" fillId="15" borderId="6" xfId="0" applyFont="1" applyFill="1" applyBorder="1" applyAlignment="1">
      <alignment wrapText="1"/>
    </xf>
    <xf numFmtId="4" fontId="13" fillId="0" borderId="0" xfId="17" applyNumberFormat="1"/>
    <xf numFmtId="0" fontId="5" fillId="9" borderId="5" xfId="2" applyNumberFormat="1" applyFill="1" applyBorder="1" applyAlignment="1">
      <alignment vertical="center"/>
      <protection locked="0"/>
    </xf>
    <xf numFmtId="43" fontId="34" fillId="9" borderId="5" xfId="22" applyFont="1" applyFill="1" applyBorder="1" applyAlignment="1" applyProtection="1">
      <alignment vertical="center"/>
      <protection locked="0"/>
    </xf>
    <xf numFmtId="43" fontId="5" fillId="9" borderId="5" xfId="22" applyFont="1" applyFill="1" applyBorder="1" applyAlignment="1" applyProtection="1">
      <alignment vertical="center"/>
      <protection locked="0"/>
    </xf>
    <xf numFmtId="4" fontId="15" fillId="0" borderId="0" xfId="17" applyNumberFormat="1" applyFont="1"/>
    <xf numFmtId="4" fontId="0" fillId="0" borderId="0" xfId="17" applyNumberFormat="1" applyFont="1"/>
    <xf numFmtId="0" fontId="28" fillId="0" borderId="0" xfId="14" applyFont="1"/>
    <xf numFmtId="0" fontId="22" fillId="0" borderId="2" xfId="10" applyFont="1"/>
    <xf numFmtId="0" fontId="63" fillId="0" borderId="0" xfId="0" applyFont="1"/>
    <xf numFmtId="0" fontId="5" fillId="0" borderId="0" xfId="3" applyNumberFormat="1" applyFill="1"/>
    <xf numFmtId="0" fontId="5" fillId="0" borderId="0" xfId="1" applyNumberFormat="1" applyFill="1"/>
    <xf numFmtId="164" fontId="5" fillId="0" borderId="0" xfId="3" applyNumberFormat="1" applyFill="1"/>
    <xf numFmtId="164" fontId="33" fillId="0" borderId="0" xfId="0" applyNumberFormat="1" applyFont="1"/>
    <xf numFmtId="4" fontId="0" fillId="0" borderId="0" xfId="22" applyNumberFormat="1" applyFont="1" applyFill="1"/>
    <xf numFmtId="4" fontId="15" fillId="0" borderId="0" xfId="0" applyNumberFormat="1" applyFont="1"/>
    <xf numFmtId="3" fontId="0" fillId="0" borderId="0" xfId="0" applyNumberFormat="1"/>
    <xf numFmtId="4" fontId="0" fillId="0" borderId="0" xfId="17" applyNumberFormat="1" applyFont="1" applyAlignment="1">
      <alignment wrapText="1"/>
    </xf>
    <xf numFmtId="0" fontId="5" fillId="0" borderId="0" xfId="19" applyFont="1"/>
    <xf numFmtId="0" fontId="57" fillId="0" borderId="0" xfId="19" applyFont="1"/>
    <xf numFmtId="0" fontId="28" fillId="0" borderId="0" xfId="19" applyFont="1"/>
    <xf numFmtId="0" fontId="22" fillId="0" borderId="0" xfId="5" applyFont="1" applyBorder="1" applyAlignment="1">
      <alignment wrapText="1"/>
    </xf>
    <xf numFmtId="0" fontId="21" fillId="3" borderId="6" xfId="17" applyFont="1" applyFill="1" applyBorder="1"/>
    <xf numFmtId="0" fontId="69" fillId="0" borderId="0" xfId="17" applyFont="1"/>
    <xf numFmtId="0" fontId="33" fillId="4" borderId="6" xfId="2" applyNumberFormat="1" applyFont="1" applyBorder="1" applyAlignment="1">
      <alignment horizontal="right" vertical="center"/>
      <protection locked="0"/>
    </xf>
    <xf numFmtId="0" fontId="33" fillId="10" borderId="6" xfId="2" applyNumberFormat="1" applyFont="1" applyFill="1" applyBorder="1" applyAlignment="1">
      <alignment horizontal="right" vertical="center"/>
      <protection locked="0"/>
    </xf>
    <xf numFmtId="4" fontId="0" fillId="0" borderId="0" xfId="22" applyNumberFormat="1" applyFont="1"/>
    <xf numFmtId="4" fontId="5" fillId="0" borderId="0" xfId="1" applyNumberFormat="1" applyFill="1"/>
    <xf numFmtId="0" fontId="0" fillId="0" borderId="0" xfId="0" applyAlignment="1">
      <alignment horizontal="center"/>
    </xf>
    <xf numFmtId="4" fontId="5" fillId="0" borderId="0" xfId="17" applyNumberFormat="1" applyFont="1"/>
    <xf numFmtId="4" fontId="5" fillId="0" borderId="0" xfId="22" applyNumberFormat="1" applyFont="1" applyFill="1" applyBorder="1" applyAlignment="1" applyProtection="1">
      <alignment vertical="center"/>
      <protection locked="0"/>
    </xf>
    <xf numFmtId="0" fontId="33" fillId="22" borderId="6" xfId="2" applyNumberFormat="1" applyFont="1" applyFill="1" applyBorder="1" applyAlignment="1">
      <alignment horizontal="right" vertical="center"/>
      <protection locked="0"/>
    </xf>
    <xf numFmtId="0" fontId="10" fillId="15" borderId="0" xfId="10" applyFont="1" applyFill="1" applyBorder="1" applyAlignment="1">
      <alignment vertical="center"/>
    </xf>
    <xf numFmtId="43" fontId="33" fillId="15" borderId="0" xfId="22" applyFont="1" applyFill="1" applyAlignment="1" applyProtection="1">
      <alignment vertical="center" wrapText="1"/>
      <protection locked="0"/>
    </xf>
    <xf numFmtId="0" fontId="15" fillId="15" borderId="0" xfId="17" applyFont="1" applyFill="1"/>
    <xf numFmtId="4" fontId="15" fillId="15" borderId="6" xfId="17" applyNumberFormat="1" applyFont="1" applyFill="1" applyBorder="1" applyAlignment="1">
      <alignment wrapText="1"/>
    </xf>
    <xf numFmtId="0" fontId="5" fillId="15" borderId="0" xfId="2" applyNumberFormat="1" applyFill="1" applyBorder="1" applyAlignment="1">
      <alignment vertical="center"/>
      <protection locked="0"/>
    </xf>
    <xf numFmtId="43" fontId="5" fillId="15" borderId="0" xfId="22" applyFont="1" applyFill="1" applyBorder="1" applyAlignment="1" applyProtection="1">
      <alignment vertical="center"/>
      <protection locked="0"/>
    </xf>
    <xf numFmtId="43" fontId="5" fillId="15" borderId="0" xfId="22" applyFont="1" applyFill="1" applyBorder="1" applyAlignment="1" applyProtection="1">
      <alignment vertical="center" wrapText="1"/>
      <protection locked="0"/>
    </xf>
    <xf numFmtId="0" fontId="13" fillId="15" borderId="0" xfId="17" applyFill="1"/>
    <xf numFmtId="0" fontId="33" fillId="15" borderId="0" xfId="17" applyFont="1" applyFill="1" applyAlignment="1">
      <alignment vertical="center" wrapText="1"/>
    </xf>
    <xf numFmtId="43" fontId="33" fillId="15" borderId="0" xfId="22" applyFont="1" applyFill="1" applyAlignment="1">
      <alignment vertical="center" wrapText="1"/>
    </xf>
    <xf numFmtId="0" fontId="15" fillId="15" borderId="0" xfId="0" applyFont="1" applyFill="1"/>
    <xf numFmtId="0" fontId="15" fillId="15" borderId="0" xfId="17" applyFont="1" applyFill="1" applyAlignment="1">
      <alignment vertical="center" wrapText="1"/>
    </xf>
    <xf numFmtId="173" fontId="72" fillId="3" borderId="6" xfId="0" applyNumberFormat="1" applyFont="1" applyFill="1" applyBorder="1" applyAlignment="1">
      <alignment horizontal="center" vertical="center"/>
    </xf>
    <xf numFmtId="4" fontId="5" fillId="0" borderId="6" xfId="0" applyNumberFormat="1" applyFont="1" applyBorder="1" applyAlignment="1">
      <alignment horizontal="center"/>
    </xf>
    <xf numFmtId="0" fontId="28" fillId="0" borderId="6" xfId="0" applyFont="1" applyBorder="1"/>
    <xf numFmtId="0" fontId="5" fillId="0" borderId="6" xfId="0" applyFont="1" applyBorder="1"/>
    <xf numFmtId="4" fontId="28" fillId="0" borderId="6" xfId="0" applyNumberFormat="1" applyFont="1" applyBorder="1"/>
    <xf numFmtId="4" fontId="0" fillId="10" borderId="6" xfId="0" applyNumberFormat="1" applyFill="1" applyBorder="1" applyAlignment="1">
      <alignment horizontal="center" vertical="center"/>
    </xf>
    <xf numFmtId="43" fontId="0" fillId="0" borderId="0" xfId="0" applyNumberFormat="1"/>
    <xf numFmtId="0" fontId="74" fillId="3" borderId="9" xfId="0" applyFont="1" applyFill="1" applyBorder="1" applyAlignment="1">
      <alignment horizontal="center" wrapText="1"/>
    </xf>
    <xf numFmtId="0" fontId="74" fillId="3" borderId="6" xfId="0" applyFont="1" applyFill="1" applyBorder="1" applyAlignment="1">
      <alignment horizontal="center" wrapText="1"/>
    </xf>
    <xf numFmtId="0" fontId="10" fillId="0" borderId="1" xfId="5"/>
    <xf numFmtId="0" fontId="9" fillId="0" borderId="2" xfId="10"/>
    <xf numFmtId="0" fontId="0" fillId="0" borderId="0" xfId="0" applyAlignment="1">
      <alignment horizontal="left"/>
    </xf>
    <xf numFmtId="0" fontId="5" fillId="22" borderId="5" xfId="2" applyNumberFormat="1" applyFill="1" applyBorder="1" applyAlignment="1">
      <alignment vertical="center"/>
      <protection locked="0"/>
    </xf>
    <xf numFmtId="0" fontId="5" fillId="22" borderId="22" xfId="2" applyNumberFormat="1" applyFill="1" applyBorder="1" applyAlignment="1">
      <alignment vertical="center"/>
      <protection locked="0"/>
    </xf>
    <xf numFmtId="0" fontId="5" fillId="22" borderId="6" xfId="2" applyNumberFormat="1" applyFill="1" applyBorder="1" applyAlignment="1">
      <alignment vertical="center"/>
      <protection locked="0"/>
    </xf>
    <xf numFmtId="0" fontId="77" fillId="11" borderId="6" xfId="26" applyFont="1" applyFill="1" applyBorder="1" applyAlignment="1"/>
    <xf numFmtId="0" fontId="34" fillId="4" borderId="5" xfId="2" applyNumberFormat="1" applyFont="1" applyBorder="1" applyAlignment="1">
      <alignment vertical="center"/>
      <protection locked="0"/>
    </xf>
    <xf numFmtId="0" fontId="79" fillId="9" borderId="5" xfId="2" applyNumberFormat="1" applyFont="1" applyFill="1" applyBorder="1" applyAlignment="1">
      <alignment vertical="center"/>
      <protection locked="0"/>
    </xf>
    <xf numFmtId="0" fontId="52" fillId="4" borderId="5" xfId="2" applyNumberFormat="1" applyFont="1" applyBorder="1" applyAlignment="1">
      <alignment vertical="center"/>
      <protection locked="0"/>
    </xf>
    <xf numFmtId="0" fontId="52" fillId="4" borderId="22" xfId="2" applyNumberFormat="1" applyFont="1" applyBorder="1" applyAlignment="1">
      <alignment vertical="center"/>
      <protection locked="0"/>
    </xf>
    <xf numFmtId="0" fontId="51" fillId="0" borderId="0" xfId="17" applyFont="1"/>
    <xf numFmtId="0" fontId="73" fillId="15" borderId="0" xfId="0" applyFont="1" applyFill="1"/>
    <xf numFmtId="0" fontId="0" fillId="9" borderId="0" xfId="0" applyFill="1"/>
    <xf numFmtId="0" fontId="56" fillId="9" borderId="0" xfId="0" applyFont="1" applyFill="1" applyAlignment="1">
      <alignment vertical="top"/>
    </xf>
    <xf numFmtId="0" fontId="15" fillId="9" borderId="0" xfId="0" applyFont="1" applyFill="1" applyAlignment="1">
      <alignment vertical="top"/>
    </xf>
    <xf numFmtId="0" fontId="36" fillId="9" borderId="0" xfId="0" applyFont="1" applyFill="1" applyAlignment="1">
      <alignment horizontal="left" vertical="top" wrapText="1"/>
    </xf>
    <xf numFmtId="0" fontId="37" fillId="9" borderId="0" xfId="0" applyFont="1" applyFill="1"/>
    <xf numFmtId="176" fontId="0" fillId="9" borderId="0" xfId="0" quotePrefix="1" applyNumberFormat="1" applyFill="1" applyAlignment="1">
      <alignment horizontal="left"/>
    </xf>
    <xf numFmtId="0" fontId="64" fillId="15" borderId="11" xfId="0" applyFont="1" applyFill="1" applyBorder="1"/>
    <xf numFmtId="0" fontId="37" fillId="15" borderId="12" xfId="0" applyFont="1" applyFill="1" applyBorder="1"/>
    <xf numFmtId="176" fontId="0" fillId="15" borderId="13" xfId="0" quotePrefix="1" applyNumberFormat="1" applyFill="1" applyBorder="1" applyAlignment="1">
      <alignment horizontal="left"/>
    </xf>
    <xf numFmtId="0" fontId="33" fillId="9" borderId="14" xfId="2" applyNumberFormat="1" applyFont="1" applyFill="1" applyBorder="1" applyAlignment="1" applyProtection="1">
      <alignment vertical="center"/>
    </xf>
    <xf numFmtId="0" fontId="33" fillId="9" borderId="17" xfId="2" applyNumberFormat="1" applyFont="1" applyFill="1" applyBorder="1" applyAlignment="1" applyProtection="1">
      <alignment vertical="center"/>
    </xf>
    <xf numFmtId="0" fontId="0" fillId="0" borderId="0" xfId="0" applyAlignment="1">
      <alignment horizontal="right" vertical="center"/>
    </xf>
    <xf numFmtId="0" fontId="33" fillId="9" borderId="0" xfId="2" applyNumberFormat="1" applyFont="1" applyFill="1" applyBorder="1" applyAlignment="1" applyProtection="1">
      <alignment vertical="center"/>
    </xf>
    <xf numFmtId="0" fontId="64" fillId="15" borderId="11" xfId="0" applyFont="1" applyFill="1" applyBorder="1" applyAlignment="1">
      <alignment horizontal="left"/>
    </xf>
    <xf numFmtId="0" fontId="0" fillId="15" borderId="12" xfId="0" applyFill="1" applyBorder="1" applyAlignment="1">
      <alignment horizontal="left"/>
    </xf>
    <xf numFmtId="0" fontId="33" fillId="15" borderId="13" xfId="2" applyNumberFormat="1" applyFont="1" applyFill="1" applyBorder="1" applyAlignment="1" applyProtection="1">
      <alignment vertical="center"/>
    </xf>
    <xf numFmtId="0" fontId="33" fillId="9" borderId="0" xfId="2" applyNumberFormat="1" applyFont="1" applyFill="1" applyBorder="1" applyAlignment="1" applyProtection="1">
      <alignment horizontal="right" vertical="center"/>
    </xf>
    <xf numFmtId="0" fontId="33" fillId="15" borderId="9" xfId="2" applyNumberFormat="1" applyFont="1" applyFill="1" applyBorder="1" applyAlignment="1" applyProtection="1">
      <alignment horizontal="right" vertical="center"/>
    </xf>
    <xf numFmtId="0" fontId="15" fillId="9" borderId="0" xfId="0" applyFont="1" applyFill="1" applyAlignment="1">
      <alignment horizontal="right" vertical="center"/>
    </xf>
    <xf numFmtId="0" fontId="64" fillId="15" borderId="11" xfId="0" applyFont="1" applyFill="1" applyBorder="1" applyAlignment="1">
      <alignment horizontal="left" vertical="top"/>
    </xf>
    <xf numFmtId="0" fontId="15" fillId="15" borderId="13" xfId="0" applyFont="1" applyFill="1" applyBorder="1" applyAlignment="1">
      <alignment horizontal="left" vertical="top"/>
    </xf>
    <xf numFmtId="0" fontId="33" fillId="9" borderId="0" xfId="2" applyNumberFormat="1" applyFont="1" applyFill="1" applyAlignment="1" applyProtection="1">
      <alignment vertical="center"/>
    </xf>
    <xf numFmtId="0" fontId="36" fillId="15" borderId="12" xfId="0" applyFont="1" applyFill="1" applyBorder="1" applyAlignment="1">
      <alignment horizontal="left" vertical="top"/>
    </xf>
    <xf numFmtId="0" fontId="15" fillId="15" borderId="12" xfId="0" applyFont="1" applyFill="1" applyBorder="1" applyAlignment="1">
      <alignment horizontal="right" vertical="center"/>
    </xf>
    <xf numFmtId="0" fontId="0" fillId="9" borderId="7" xfId="0" applyFill="1" applyBorder="1" applyAlignment="1">
      <alignment horizontal="left" vertical="top"/>
    </xf>
    <xf numFmtId="0" fontId="15" fillId="0" borderId="14" xfId="0" applyFont="1" applyBorder="1" applyAlignment="1">
      <alignment horizontal="left" vertical="top"/>
    </xf>
    <xf numFmtId="0" fontId="8" fillId="9" borderId="0" xfId="0" applyFont="1" applyFill="1" applyAlignment="1">
      <alignment vertical="center" wrapText="1"/>
    </xf>
    <xf numFmtId="0" fontId="0" fillId="9" borderId="7" xfId="0" applyFill="1" applyBorder="1"/>
    <xf numFmtId="0" fontId="48" fillId="9" borderId="0" xfId="0" applyFont="1" applyFill="1"/>
    <xf numFmtId="0" fontId="0" fillId="9" borderId="0" xfId="0" applyFill="1" applyAlignment="1">
      <alignment horizontal="right" vertical="center"/>
    </xf>
    <xf numFmtId="0" fontId="8" fillId="9" borderId="0" xfId="0" applyFont="1" applyFill="1" applyAlignment="1">
      <alignment horizontal="center" vertical="center" wrapText="1"/>
    </xf>
    <xf numFmtId="0" fontId="33" fillId="9" borderId="20" xfId="2" applyNumberFormat="1" applyFont="1" applyFill="1" applyBorder="1" applyAlignment="1" applyProtection="1">
      <alignment vertical="center"/>
    </xf>
    <xf numFmtId="0" fontId="15" fillId="9" borderId="0" xfId="0" applyFont="1" applyFill="1" applyAlignment="1">
      <alignment horizontal="left"/>
    </xf>
    <xf numFmtId="0" fontId="0" fillId="9" borderId="7" xfId="0" applyFill="1" applyBorder="1" applyAlignment="1">
      <alignment horizontal="left"/>
    </xf>
    <xf numFmtId="0" fontId="33" fillId="15" borderId="12" xfId="2" applyNumberFormat="1" applyFont="1" applyFill="1" applyBorder="1" applyAlignment="1" applyProtection="1">
      <alignment horizontal="right" vertical="center"/>
    </xf>
    <xf numFmtId="0" fontId="15" fillId="9" borderId="0" xfId="0" applyFont="1" applyFill="1" applyAlignment="1">
      <alignment horizontal="left" vertical="top" wrapText="1"/>
    </xf>
    <xf numFmtId="0" fontId="70" fillId="9" borderId="0" xfId="0" applyFont="1" applyFill="1" applyAlignment="1">
      <alignment vertical="top"/>
    </xf>
    <xf numFmtId="0" fontId="58" fillId="9" borderId="0" xfId="0" applyFont="1" applyFill="1"/>
    <xf numFmtId="0" fontId="58" fillId="9" borderId="0" xfId="0" applyFont="1" applyFill="1" applyAlignment="1">
      <alignment vertical="top" wrapText="1"/>
    </xf>
    <xf numFmtId="9" fontId="33" fillId="4" borderId="6" xfId="2" applyNumberFormat="1" applyFont="1" applyBorder="1" applyAlignment="1">
      <alignment horizontal="right" vertical="center"/>
      <protection locked="0"/>
    </xf>
    <xf numFmtId="4" fontId="33" fillId="4" borderId="19" xfId="2" applyNumberFormat="1" applyFont="1" applyBorder="1" applyAlignment="1">
      <alignment horizontal="right" vertical="center"/>
      <protection locked="0"/>
    </xf>
    <xf numFmtId="179" fontId="33" fillId="4" borderId="6" xfId="2" applyNumberFormat="1" applyFont="1" applyBorder="1" applyAlignment="1">
      <alignment horizontal="right" vertical="center"/>
      <protection locked="0"/>
    </xf>
    <xf numFmtId="179" fontId="33" fillId="22" borderId="18" xfId="2" applyNumberFormat="1" applyFont="1" applyFill="1" applyBorder="1" applyAlignment="1">
      <alignment horizontal="right" vertical="center"/>
      <protection locked="0"/>
    </xf>
    <xf numFmtId="179" fontId="33" fillId="4" borderId="18" xfId="2" applyNumberFormat="1" applyFont="1" applyBorder="1" applyAlignment="1">
      <alignment horizontal="right" vertical="center"/>
      <protection locked="0"/>
    </xf>
    <xf numFmtId="4" fontId="5" fillId="10" borderId="5" xfId="22" applyNumberFormat="1" applyFont="1" applyFill="1" applyBorder="1" applyAlignment="1" applyProtection="1">
      <alignment vertical="center" wrapText="1"/>
    </xf>
    <xf numFmtId="178" fontId="5" fillId="10" borderId="5" xfId="2" applyNumberFormat="1" applyFill="1" applyBorder="1" applyAlignment="1" applyProtection="1">
      <alignment horizontal="center" vertical="center"/>
    </xf>
    <xf numFmtId="9" fontId="5" fillId="10" borderId="5" xfId="23" applyFont="1" applyFill="1" applyBorder="1" applyAlignment="1" applyProtection="1">
      <alignment horizontal="center" vertical="center"/>
    </xf>
    <xf numFmtId="43" fontId="33" fillId="0" borderId="0" xfId="22" applyFont="1" applyAlignment="1" applyProtection="1">
      <alignment vertical="center"/>
      <protection locked="0"/>
    </xf>
    <xf numFmtId="4" fontId="5" fillId="0" borderId="0" xfId="22" applyNumberFormat="1" applyFont="1" applyAlignment="1" applyProtection="1">
      <alignment vertical="center" wrapText="1"/>
      <protection locked="0"/>
    </xf>
    <xf numFmtId="43" fontId="0" fillId="0" borderId="0" xfId="17" applyNumberFormat="1" applyFont="1"/>
    <xf numFmtId="43" fontId="33" fillId="15" borderId="0" xfId="22" applyFont="1" applyFill="1" applyAlignment="1" applyProtection="1">
      <alignment vertical="center"/>
      <protection locked="0"/>
    </xf>
    <xf numFmtId="0" fontId="33" fillId="15" borderId="0" xfId="2" applyNumberFormat="1" applyFont="1" applyFill="1" applyAlignment="1">
      <alignment vertical="center"/>
      <protection locked="0"/>
    </xf>
    <xf numFmtId="43" fontId="5" fillId="0" borderId="0" xfId="22" applyFont="1" applyAlignment="1" applyProtection="1">
      <alignment vertical="center" wrapText="1"/>
      <protection locked="0"/>
    </xf>
    <xf numFmtId="43" fontId="34" fillId="0" borderId="0" xfId="22" applyFont="1" applyAlignment="1" applyProtection="1">
      <alignment vertical="center"/>
      <protection locked="0"/>
    </xf>
    <xf numFmtId="0" fontId="5" fillId="0" borderId="0" xfId="2" applyNumberFormat="1" applyFill="1" applyAlignment="1">
      <alignment vertical="center"/>
      <protection locked="0"/>
    </xf>
    <xf numFmtId="174" fontId="33" fillId="4" borderId="6" xfId="2" applyNumberFormat="1" applyFont="1" applyBorder="1" applyAlignment="1">
      <alignment horizontal="right" vertical="center"/>
      <protection locked="0"/>
    </xf>
    <xf numFmtId="0" fontId="38" fillId="15" borderId="6" xfId="26" applyFill="1" applyBorder="1" applyAlignment="1"/>
    <xf numFmtId="0" fontId="0" fillId="0" borderId="16" xfId="0" applyBorder="1"/>
    <xf numFmtId="0" fontId="0" fillId="0" borderId="17" xfId="0" applyBorder="1"/>
    <xf numFmtId="0" fontId="15" fillId="0" borderId="0" xfId="0" applyFont="1" applyAlignment="1">
      <alignment horizontal="right"/>
    </xf>
    <xf numFmtId="0" fontId="0" fillId="0" borderId="6" xfId="0" applyBorder="1" applyAlignment="1">
      <alignment horizontal="center"/>
    </xf>
    <xf numFmtId="0" fontId="0" fillId="0" borderId="8" xfId="0" applyBorder="1" applyAlignment="1">
      <alignment horizontal="center"/>
    </xf>
    <xf numFmtId="0" fontId="74" fillId="3" borderId="18" xfId="0" applyFont="1" applyFill="1" applyBorder="1" applyAlignment="1">
      <alignment horizontal="center" wrapText="1"/>
    </xf>
    <xf numFmtId="0" fontId="74" fillId="3" borderId="12" xfId="0" applyFont="1" applyFill="1" applyBorder="1" applyAlignment="1">
      <alignment horizontal="center" wrapText="1"/>
    </xf>
    <xf numFmtId="0" fontId="0" fillId="15" borderId="0" xfId="0" applyFill="1"/>
    <xf numFmtId="0" fontId="15" fillId="23" borderId="0" xfId="0" applyFont="1" applyFill="1"/>
    <xf numFmtId="0" fontId="0" fillId="23" borderId="0" xfId="0" applyFill="1"/>
    <xf numFmtId="0" fontId="23" fillId="15" borderId="0" xfId="28" applyFont="1" applyFill="1"/>
    <xf numFmtId="1" fontId="0" fillId="15" borderId="0" xfId="0" applyNumberFormat="1" applyFill="1"/>
    <xf numFmtId="164" fontId="0" fillId="15" borderId="0" xfId="0" applyNumberFormat="1" applyFill="1"/>
    <xf numFmtId="0" fontId="27" fillId="3" borderId="6" xfId="0" applyFont="1" applyFill="1" applyBorder="1" applyAlignment="1">
      <alignment horizontal="center"/>
    </xf>
    <xf numFmtId="0" fontId="27" fillId="3" borderId="6" xfId="67" applyFont="1" applyFill="1" applyBorder="1"/>
    <xf numFmtId="0" fontId="46" fillId="3" borderId="6" xfId="0" applyFont="1" applyFill="1" applyBorder="1"/>
    <xf numFmtId="0" fontId="27" fillId="3" borderId="19" xfId="0" applyFont="1" applyFill="1" applyBorder="1" applyAlignment="1">
      <alignment horizontal="center"/>
    </xf>
    <xf numFmtId="0" fontId="74" fillId="3" borderId="19" xfId="0" applyFont="1" applyFill="1" applyBorder="1" applyAlignment="1">
      <alignment horizontal="center" wrapText="1"/>
    </xf>
    <xf numFmtId="0" fontId="74" fillId="3" borderId="16" xfId="0" applyFont="1" applyFill="1" applyBorder="1" applyAlignment="1">
      <alignment horizontal="center" wrapText="1"/>
    </xf>
    <xf numFmtId="2" fontId="50" fillId="0" borderId="6" xfId="0" applyNumberFormat="1" applyFont="1" applyBorder="1" applyAlignment="1">
      <alignment horizontal="center"/>
    </xf>
    <xf numFmtId="0" fontId="82" fillId="0" borderId="6" xfId="0" applyFont="1" applyBorder="1"/>
    <xf numFmtId="0" fontId="33" fillId="0" borderId="0" xfId="0" applyFont="1" applyAlignment="1">
      <alignment horizontal="right"/>
    </xf>
    <xf numFmtId="4" fontId="15" fillId="0" borderId="0" xfId="22" applyNumberFormat="1" applyFont="1" applyAlignment="1">
      <alignment horizontal="right"/>
    </xf>
    <xf numFmtId="0" fontId="83" fillId="24" borderId="6" xfId="26" applyFont="1" applyFill="1" applyBorder="1"/>
    <xf numFmtId="0" fontId="77" fillId="0" borderId="0" xfId="26" applyFont="1" applyFill="1" applyBorder="1" applyAlignment="1"/>
    <xf numFmtId="0" fontId="38" fillId="22" borderId="6" xfId="26" applyFill="1" applyBorder="1"/>
    <xf numFmtId="0" fontId="4" fillId="0" borderId="0" xfId="13" applyProtection="1">
      <protection locked="0"/>
    </xf>
    <xf numFmtId="0" fontId="84" fillId="0" borderId="0" xfId="13" applyFont="1"/>
    <xf numFmtId="4" fontId="34" fillId="4" borderId="5" xfId="22" applyNumberFormat="1" applyFont="1" applyFill="1" applyBorder="1" applyAlignment="1" applyProtection="1">
      <alignment vertical="center" wrapText="1"/>
      <protection locked="0"/>
    </xf>
    <xf numFmtId="4" fontId="10" fillId="15" borderId="0" xfId="10" applyNumberFormat="1" applyFont="1" applyFill="1" applyBorder="1" applyAlignment="1">
      <alignment vertical="center"/>
    </xf>
    <xf numFmtId="4" fontId="5" fillId="4" borderId="5" xfId="22" applyNumberFormat="1" applyFont="1" applyFill="1" applyBorder="1" applyAlignment="1" applyProtection="1">
      <alignment vertical="center" wrapText="1"/>
      <protection locked="0"/>
    </xf>
    <xf numFmtId="4" fontId="5" fillId="4" borderId="21" xfId="22" applyNumberFormat="1" applyFont="1" applyFill="1" applyBorder="1" applyAlignment="1" applyProtection="1">
      <alignment vertical="center"/>
      <protection locked="0"/>
    </xf>
    <xf numFmtId="4" fontId="5" fillId="4" borderId="5" xfId="22" applyNumberFormat="1" applyFont="1" applyFill="1" applyBorder="1" applyAlignment="1" applyProtection="1">
      <alignment vertical="center"/>
      <protection locked="0"/>
    </xf>
    <xf numFmtId="4" fontId="33" fillId="15" borderId="0" xfId="22" applyNumberFormat="1" applyFont="1" applyFill="1" applyAlignment="1">
      <alignment vertical="center" wrapText="1"/>
    </xf>
    <xf numFmtId="4" fontId="5" fillId="4" borderId="22" xfId="22" applyNumberFormat="1" applyFont="1" applyFill="1" applyBorder="1" applyAlignment="1" applyProtection="1">
      <alignment vertical="center" wrapText="1"/>
      <protection locked="0"/>
    </xf>
    <xf numFmtId="0" fontId="34" fillId="0" borderId="0" xfId="0" applyFont="1" applyAlignment="1">
      <alignment horizontal="right"/>
    </xf>
    <xf numFmtId="0" fontId="85" fillId="0" borderId="0" xfId="26" applyFont="1" applyAlignment="1" applyProtection="1">
      <alignment horizontal="right" wrapText="1"/>
    </xf>
    <xf numFmtId="9" fontId="34" fillId="0" borderId="0" xfId="0" applyNumberFormat="1" applyFont="1" applyAlignment="1">
      <alignment horizontal="right"/>
    </xf>
    <xf numFmtId="0" fontId="85" fillId="0" borderId="0" xfId="26" applyFont="1" applyAlignment="1" applyProtection="1">
      <alignment horizontal="right"/>
    </xf>
    <xf numFmtId="0" fontId="40" fillId="10" borderId="6" xfId="26" applyFont="1" applyFill="1" applyBorder="1" applyAlignment="1">
      <alignment vertical="center"/>
    </xf>
    <xf numFmtId="173" fontId="15" fillId="10" borderId="6" xfId="0" applyNumberFormat="1" applyFont="1" applyFill="1" applyBorder="1" applyAlignment="1">
      <alignment horizontal="center" vertical="center"/>
    </xf>
    <xf numFmtId="0" fontId="0" fillId="9" borderId="0" xfId="0" applyFill="1" applyAlignment="1">
      <alignment horizontal="left"/>
    </xf>
    <xf numFmtId="0" fontId="0" fillId="9" borderId="7" xfId="0" applyFill="1" applyBorder="1" applyAlignment="1">
      <alignment vertical="top"/>
    </xf>
    <xf numFmtId="0" fontId="0" fillId="0" borderId="0" xfId="0" applyAlignment="1">
      <alignment horizontal="left" wrapText="1"/>
    </xf>
    <xf numFmtId="0" fontId="48" fillId="9" borderId="0" xfId="0" applyFont="1" applyFill="1" applyAlignment="1">
      <alignment vertical="top"/>
    </xf>
    <xf numFmtId="171" fontId="0" fillId="0" borderId="0" xfId="0" applyNumberFormat="1"/>
    <xf numFmtId="43" fontId="10" fillId="15" borderId="0" xfId="10" applyNumberFormat="1" applyFont="1" applyFill="1" applyBorder="1" applyAlignment="1">
      <alignment vertical="center"/>
    </xf>
    <xf numFmtId="0" fontId="15" fillId="9" borderId="0" xfId="0" applyFont="1" applyFill="1"/>
    <xf numFmtId="0" fontId="0" fillId="4" borderId="6" xfId="0" applyFill="1" applyBorder="1"/>
    <xf numFmtId="0" fontId="5" fillId="9" borderId="7" xfId="2" applyNumberFormat="1" applyFill="1" applyBorder="1" applyAlignment="1" applyProtection="1">
      <alignment vertical="center"/>
    </xf>
    <xf numFmtId="9" fontId="0" fillId="4" borderId="8" xfId="0" applyNumberFormat="1" applyFill="1" applyBorder="1"/>
    <xf numFmtId="0" fontId="0" fillId="22" borderId="6" xfId="0" applyFill="1" applyBorder="1"/>
    <xf numFmtId="0" fontId="15" fillId="9" borderId="0" xfId="0" applyFont="1" applyFill="1" applyAlignment="1">
      <alignment horizontal="right" wrapText="1"/>
    </xf>
    <xf numFmtId="0" fontId="33" fillId="9" borderId="0" xfId="2" applyNumberFormat="1" applyFont="1" applyFill="1" applyBorder="1" applyAlignment="1" applyProtection="1">
      <alignment horizontal="right" vertical="center" wrapText="1"/>
    </xf>
    <xf numFmtId="0" fontId="0" fillId="9" borderId="7" xfId="0" applyFill="1" applyBorder="1" applyAlignment="1">
      <alignment horizontal="left" vertical="top" wrapText="1"/>
    </xf>
    <xf numFmtId="0" fontId="0" fillId="0" borderId="6" xfId="0" applyBorder="1" applyAlignment="1">
      <alignment horizontal="left"/>
    </xf>
    <xf numFmtId="0" fontId="87" fillId="0" borderId="0" xfId="26" applyFont="1" applyProtection="1"/>
    <xf numFmtId="0" fontId="15" fillId="0" borderId="0" xfId="0" applyFont="1" applyAlignment="1">
      <alignment wrapText="1"/>
    </xf>
    <xf numFmtId="0" fontId="0" fillId="9" borderId="0" xfId="0" applyFill="1" applyAlignment="1">
      <alignment horizontal="right"/>
    </xf>
    <xf numFmtId="0" fontId="36" fillId="9" borderId="0" xfId="0" applyFont="1" applyFill="1" applyAlignment="1">
      <alignment horizontal="right" vertical="top" wrapText="1"/>
    </xf>
    <xf numFmtId="176" fontId="0" fillId="9" borderId="0" xfId="0" quotePrefix="1" applyNumberFormat="1" applyFill="1" applyAlignment="1">
      <alignment horizontal="right"/>
    </xf>
    <xf numFmtId="176" fontId="0" fillId="15" borderId="12" xfId="0" quotePrefix="1" applyNumberFormat="1" applyFill="1" applyBorder="1" applyAlignment="1">
      <alignment horizontal="right"/>
    </xf>
    <xf numFmtId="171" fontId="33" fillId="4" borderId="6" xfId="2" applyNumberFormat="1" applyFont="1" applyBorder="1" applyAlignment="1">
      <alignment horizontal="right" vertical="center"/>
      <protection locked="0"/>
    </xf>
    <xf numFmtId="0" fontId="33" fillId="9" borderId="0" xfId="2" applyNumberFormat="1" applyFont="1" applyFill="1" applyAlignment="1" applyProtection="1">
      <alignment horizontal="right" vertical="center"/>
    </xf>
    <xf numFmtId="9" fontId="61" fillId="10" borderId="6" xfId="2" applyNumberFormat="1" applyFont="1" applyFill="1" applyBorder="1" applyAlignment="1" applyProtection="1">
      <alignment horizontal="right" vertical="center"/>
    </xf>
    <xf numFmtId="0" fontId="15" fillId="9" borderId="0" xfId="0" applyFont="1" applyFill="1" applyAlignment="1">
      <alignment horizontal="right" vertical="top" wrapText="1"/>
    </xf>
    <xf numFmtId="0" fontId="0" fillId="0" borderId="0" xfId="0" applyAlignment="1">
      <alignment horizontal="right"/>
    </xf>
    <xf numFmtId="0" fontId="27" fillId="3" borderId="6" xfId="0" applyFont="1" applyFill="1" applyBorder="1" applyAlignment="1">
      <alignment horizontal="center" wrapText="1"/>
    </xf>
    <xf numFmtId="0" fontId="15" fillId="0" borderId="14" xfId="0" applyFont="1" applyBorder="1" applyAlignment="1">
      <alignment horizontal="left" vertical="center"/>
    </xf>
    <xf numFmtId="0" fontId="55" fillId="9" borderId="0" xfId="0" applyFont="1" applyFill="1"/>
    <xf numFmtId="9" fontId="55" fillId="9" borderId="0" xfId="0" applyNumberFormat="1" applyFont="1" applyFill="1"/>
    <xf numFmtId="0" fontId="83" fillId="24" borderId="6" xfId="26" applyFont="1" applyFill="1" applyBorder="1" applyAlignment="1"/>
    <xf numFmtId="171" fontId="61" fillId="10" borderId="6" xfId="2" applyNumberFormat="1" applyFont="1" applyFill="1" applyBorder="1" applyAlignment="1" applyProtection="1">
      <alignment horizontal="right" vertical="center"/>
    </xf>
    <xf numFmtId="4" fontId="5" fillId="10" borderId="22" xfId="22" applyNumberFormat="1" applyFont="1" applyFill="1" applyBorder="1" applyAlignment="1">
      <alignment vertical="center" wrapText="1"/>
    </xf>
    <xf numFmtId="0" fontId="38" fillId="0" borderId="6" xfId="26" applyFill="1" applyBorder="1"/>
    <xf numFmtId="0" fontId="0" fillId="9" borderId="6" xfId="0" applyFill="1" applyBorder="1" applyAlignment="1">
      <alignment horizontal="left"/>
    </xf>
    <xf numFmtId="4" fontId="33" fillId="0" borderId="0" xfId="22" applyNumberFormat="1" applyFont="1" applyAlignment="1">
      <alignment horizontal="right" wrapText="1"/>
    </xf>
    <xf numFmtId="4" fontId="33" fillId="0" borderId="0" xfId="22" applyNumberFormat="1" applyFont="1" applyFill="1" applyBorder="1" applyAlignment="1" applyProtection="1">
      <alignment horizontal="right" vertical="center" wrapText="1"/>
      <protection locked="0"/>
    </xf>
    <xf numFmtId="0" fontId="15" fillId="0" borderId="0" xfId="17" applyFont="1" applyAlignment="1">
      <alignment horizontal="right"/>
    </xf>
    <xf numFmtId="0" fontId="15" fillId="19" borderId="0" xfId="0" applyFont="1" applyFill="1"/>
    <xf numFmtId="0" fontId="15" fillId="18" borderId="0" xfId="0" applyFont="1" applyFill="1"/>
    <xf numFmtId="0" fontId="74" fillId="0" borderId="0" xfId="0" applyFont="1" applyAlignment="1">
      <alignment horizontal="center" wrapText="1"/>
    </xf>
    <xf numFmtId="173" fontId="72" fillId="0" borderId="0" xfId="0" applyNumberFormat="1" applyFont="1" applyAlignment="1">
      <alignment horizontal="center" vertical="center"/>
    </xf>
    <xf numFmtId="0" fontId="34" fillId="9" borderId="0" xfId="0" applyFont="1" applyFill="1"/>
    <xf numFmtId="0" fontId="34" fillId="9" borderId="0" xfId="0" applyFont="1" applyFill="1" applyAlignment="1">
      <alignment horizontal="left" vertical="top" wrapText="1"/>
    </xf>
    <xf numFmtId="0" fontId="89" fillId="9" borderId="0" xfId="0" applyFont="1" applyFill="1" applyAlignment="1">
      <alignment horizontal="left" vertical="top"/>
    </xf>
    <xf numFmtId="0" fontId="5" fillId="0" borderId="0" xfId="0" applyFont="1" applyAlignment="1">
      <alignment horizontal="right"/>
    </xf>
    <xf numFmtId="0" fontId="5" fillId="0" borderId="0" xfId="0" applyFont="1" applyAlignment="1">
      <alignment horizontal="left"/>
    </xf>
    <xf numFmtId="0" fontId="0" fillId="9" borderId="7" xfId="0" applyFill="1" applyBorder="1" applyAlignment="1">
      <alignment vertical="top" wrapText="1"/>
    </xf>
    <xf numFmtId="0" fontId="48" fillId="9" borderId="14" xfId="0" applyFont="1" applyFill="1" applyBorder="1" applyAlignment="1">
      <alignment vertical="top" wrapText="1"/>
    </xf>
    <xf numFmtId="4" fontId="33" fillId="0" borderId="0" xfId="17" applyNumberFormat="1" applyFont="1" applyAlignment="1">
      <alignment horizontal="right"/>
    </xf>
    <xf numFmtId="173" fontId="0" fillId="4" borderId="6" xfId="0" applyNumberFormat="1" applyFill="1" applyBorder="1" applyAlignment="1">
      <alignment horizontal="right"/>
    </xf>
    <xf numFmtId="0" fontId="22" fillId="0" borderId="1" xfId="5" applyFont="1"/>
    <xf numFmtId="0" fontId="18" fillId="0" borderId="0" xfId="19" applyFont="1"/>
    <xf numFmtId="0" fontId="19" fillId="0" borderId="0" xfId="18" applyFont="1" applyAlignment="1">
      <alignment vertical="top"/>
    </xf>
    <xf numFmtId="165" fontId="20" fillId="0" borderId="0" xfId="18" applyNumberFormat="1" applyFont="1" applyAlignment="1">
      <alignment vertical="top"/>
    </xf>
    <xf numFmtId="0" fontId="22" fillId="0" borderId="1" xfId="5" applyFont="1" applyAlignment="1">
      <alignment horizontal="center" wrapText="1"/>
    </xf>
    <xf numFmtId="0" fontId="23" fillId="0" borderId="0" xfId="18" applyFont="1" applyAlignment="1">
      <alignment vertical="top"/>
    </xf>
    <xf numFmtId="0" fontId="24" fillId="0" borderId="5" xfId="18" applyFont="1" applyBorder="1" applyAlignment="1">
      <alignment vertical="top"/>
    </xf>
    <xf numFmtId="0" fontId="24" fillId="0" borderId="5" xfId="18" applyFont="1" applyBorder="1" applyAlignment="1">
      <alignment horizontal="center" vertical="top"/>
    </xf>
    <xf numFmtId="4" fontId="24" fillId="0" borderId="0" xfId="18" applyNumberFormat="1" applyFont="1" applyAlignment="1">
      <alignment vertical="top"/>
    </xf>
    <xf numFmtId="166" fontId="24" fillId="0" borderId="5" xfId="18" applyNumberFormat="1" applyFont="1" applyBorder="1" applyAlignment="1">
      <alignment horizontal="center" vertical="top"/>
    </xf>
    <xf numFmtId="167" fontId="24" fillId="0" borderId="0" xfId="18" applyNumberFormat="1" applyFont="1" applyAlignment="1">
      <alignment vertical="top"/>
    </xf>
    <xf numFmtId="3" fontId="24" fillId="0" borderId="5" xfId="18" applyNumberFormat="1" applyFont="1" applyBorder="1" applyAlignment="1">
      <alignment horizontal="center" vertical="top"/>
    </xf>
    <xf numFmtId="168" fontId="23" fillId="0" borderId="0" xfId="18" applyNumberFormat="1" applyFont="1" applyAlignment="1">
      <alignment vertical="top"/>
    </xf>
    <xf numFmtId="165" fontId="24" fillId="0" borderId="5" xfId="18" applyNumberFormat="1" applyFont="1" applyBorder="1" applyAlignment="1">
      <alignment horizontal="center" vertical="top"/>
    </xf>
    <xf numFmtId="4" fontId="23" fillId="0" borderId="0" xfId="18" applyNumberFormat="1" applyFont="1" applyAlignment="1">
      <alignment vertical="top"/>
    </xf>
    <xf numFmtId="0" fontId="24" fillId="0" borderId="0" xfId="18" applyFont="1" applyAlignment="1">
      <alignment vertical="top"/>
    </xf>
    <xf numFmtId="165" fontId="24" fillId="0" borderId="0" xfId="18" applyNumberFormat="1" applyFont="1" applyAlignment="1">
      <alignment vertical="top"/>
    </xf>
    <xf numFmtId="0" fontId="25" fillId="0" borderId="0" xfId="18" applyFont="1" applyAlignment="1">
      <alignment vertical="top"/>
    </xf>
    <xf numFmtId="0" fontId="26" fillId="0" borderId="0" xfId="18" applyFont="1" applyAlignment="1">
      <alignment vertical="top"/>
    </xf>
    <xf numFmtId="165" fontId="26" fillId="0" borderId="0" xfId="18" applyNumberFormat="1" applyFont="1" applyAlignment="1">
      <alignment vertical="top"/>
    </xf>
    <xf numFmtId="169" fontId="24" fillId="0" borderId="5" xfId="18" applyNumberFormat="1" applyFont="1" applyBorder="1" applyAlignment="1">
      <alignment horizontal="center" vertical="top"/>
    </xf>
    <xf numFmtId="164" fontId="24" fillId="0" borderId="5" xfId="18" applyNumberFormat="1" applyFont="1" applyBorder="1" applyAlignment="1">
      <alignment horizontal="center" vertical="top"/>
    </xf>
    <xf numFmtId="170" fontId="23" fillId="0" borderId="5" xfId="18" applyNumberFormat="1" applyFont="1" applyBorder="1" applyAlignment="1">
      <alignment horizontal="center" vertical="top"/>
    </xf>
    <xf numFmtId="4" fontId="24" fillId="0" borderId="5" xfId="18" applyNumberFormat="1" applyFont="1" applyBorder="1" applyAlignment="1">
      <alignment horizontal="center" vertical="top"/>
    </xf>
    <xf numFmtId="170" fontId="24" fillId="0" borderId="5" xfId="18" applyNumberFormat="1" applyFont="1" applyBorder="1" applyAlignment="1">
      <alignment horizontal="center" vertical="top"/>
    </xf>
    <xf numFmtId="171" fontId="24" fillId="0" borderId="5" xfId="18" applyNumberFormat="1" applyFont="1" applyBorder="1" applyAlignment="1">
      <alignment horizontal="center" vertical="top"/>
    </xf>
    <xf numFmtId="1" fontId="24" fillId="0" borderId="5" xfId="18" applyNumberFormat="1" applyFont="1" applyBorder="1" applyAlignment="1">
      <alignment horizontal="center" vertical="top"/>
    </xf>
    <xf numFmtId="172" fontId="24" fillId="0" borderId="5" xfId="18" applyNumberFormat="1" applyFont="1" applyBorder="1" applyAlignment="1">
      <alignment horizontal="center" vertical="top"/>
    </xf>
    <xf numFmtId="170" fontId="27" fillId="0" borderId="5" xfId="19" applyNumberFormat="1" applyFont="1" applyBorder="1" applyAlignment="1">
      <alignment horizontal="center" vertical="top"/>
    </xf>
    <xf numFmtId="169" fontId="23" fillId="0" borderId="5" xfId="18" applyNumberFormat="1" applyFont="1" applyBorder="1" applyAlignment="1">
      <alignment horizontal="center" vertical="top"/>
    </xf>
    <xf numFmtId="166" fontId="23" fillId="0" borderId="0" xfId="18" applyNumberFormat="1" applyFont="1" applyAlignment="1">
      <alignment vertical="top"/>
    </xf>
    <xf numFmtId="0" fontId="27" fillId="0" borderId="5" xfId="19" applyFont="1" applyBorder="1" applyAlignment="1">
      <alignment horizontal="center" vertical="top"/>
    </xf>
    <xf numFmtId="173" fontId="24" fillId="0" borderId="5" xfId="18" applyNumberFormat="1" applyFont="1" applyBorder="1" applyAlignment="1">
      <alignment horizontal="center" vertical="top"/>
    </xf>
    <xf numFmtId="174" fontId="24" fillId="0" borderId="5" xfId="18" applyNumberFormat="1" applyFont="1" applyBorder="1" applyAlignment="1">
      <alignment horizontal="center" vertical="top"/>
    </xf>
    <xf numFmtId="2" fontId="24" fillId="0" borderId="5" xfId="18" applyNumberFormat="1" applyFont="1" applyBorder="1" applyAlignment="1">
      <alignment horizontal="center" vertical="top"/>
    </xf>
    <xf numFmtId="166" fontId="28" fillId="0" borderId="5" xfId="19" applyNumberFormat="1" applyFont="1" applyBorder="1" applyAlignment="1">
      <alignment horizontal="center" vertical="top"/>
    </xf>
    <xf numFmtId="175" fontId="24" fillId="0" borderId="5" xfId="18" applyNumberFormat="1" applyFont="1" applyBorder="1" applyAlignment="1">
      <alignment horizontal="center" vertical="top"/>
    </xf>
    <xf numFmtId="0" fontId="23" fillId="0" borderId="5" xfId="18" applyFont="1" applyBorder="1" applyAlignment="1">
      <alignment vertical="top"/>
    </xf>
    <xf numFmtId="0" fontId="90" fillId="0" borderId="0" xfId="17" applyFont="1"/>
    <xf numFmtId="173" fontId="15" fillId="10" borderId="6" xfId="0" applyNumberFormat="1" applyFont="1" applyFill="1" applyBorder="1" applyAlignment="1">
      <alignment horizontal="right"/>
    </xf>
    <xf numFmtId="0" fontId="83" fillId="21" borderId="6" xfId="26" applyFont="1" applyFill="1" applyBorder="1" applyAlignment="1"/>
    <xf numFmtId="0" fontId="34" fillId="19" borderId="0" xfId="0" applyFont="1" applyFill="1" applyAlignment="1">
      <alignment vertical="center"/>
    </xf>
    <xf numFmtId="0" fontId="0" fillId="19" borderId="0" xfId="0" applyFill="1"/>
    <xf numFmtId="0" fontId="34" fillId="18" borderId="0" xfId="0" applyFont="1" applyFill="1" applyAlignment="1">
      <alignment vertical="center"/>
    </xf>
    <xf numFmtId="0" fontId="0" fillId="18" borderId="0" xfId="0" applyFill="1"/>
    <xf numFmtId="0" fontId="34" fillId="23" borderId="0" xfId="0" applyFont="1" applyFill="1" applyAlignment="1">
      <alignment vertical="center"/>
    </xf>
    <xf numFmtId="0" fontId="34" fillId="15" borderId="0" xfId="0" applyFont="1" applyFill="1" applyAlignment="1">
      <alignment vertical="center"/>
    </xf>
    <xf numFmtId="0" fontId="0" fillId="10" borderId="6" xfId="0" applyFill="1" applyBorder="1" applyAlignment="1">
      <alignment horizontal="right" vertical="center"/>
    </xf>
    <xf numFmtId="173" fontId="0" fillId="10" borderId="6" xfId="0" applyNumberFormat="1" applyFill="1" applyBorder="1" applyAlignment="1">
      <alignment horizontal="right" vertical="center"/>
    </xf>
    <xf numFmtId="0" fontId="15" fillId="10" borderId="6" xfId="0" applyFont="1" applyFill="1" applyBorder="1" applyAlignment="1">
      <alignment horizontal="right" vertical="center"/>
    </xf>
    <xf numFmtId="168" fontId="0" fillId="0" borderId="0" xfId="0" applyNumberFormat="1"/>
    <xf numFmtId="4" fontId="50" fillId="0" borderId="6" xfId="0" applyNumberFormat="1" applyFont="1" applyBorder="1" applyAlignment="1">
      <alignment horizontal="center"/>
    </xf>
    <xf numFmtId="0" fontId="55" fillId="0" borderId="0" xfId="0" applyFont="1"/>
    <xf numFmtId="0" fontId="0" fillId="0" borderId="14" xfId="0" applyBorder="1"/>
    <xf numFmtId="9" fontId="61" fillId="10" borderId="6" xfId="2" applyNumberFormat="1" applyFont="1" applyFill="1" applyBorder="1" applyAlignment="1">
      <alignment horizontal="right" vertical="center"/>
      <protection locked="0"/>
    </xf>
    <xf numFmtId="0" fontId="56" fillId="9" borderId="0" xfId="0" applyFont="1" applyFill="1" applyAlignment="1">
      <alignment vertical="top" wrapText="1"/>
    </xf>
    <xf numFmtId="0" fontId="33" fillId="9" borderId="14" xfId="2" quotePrefix="1" applyNumberFormat="1" applyFont="1" applyFill="1" applyBorder="1" applyAlignment="1" applyProtection="1">
      <alignment vertical="center"/>
    </xf>
    <xf numFmtId="0" fontId="77" fillId="25" borderId="6" xfId="26" applyFont="1" applyFill="1" applyBorder="1" applyAlignment="1"/>
    <xf numFmtId="9" fontId="0" fillId="0" borderId="0" xfId="0" applyNumberFormat="1"/>
    <xf numFmtId="43" fontId="8" fillId="2" borderId="1" xfId="4" applyNumberFormat="1" applyAlignment="1">
      <alignment wrapText="1"/>
    </xf>
    <xf numFmtId="43" fontId="10" fillId="0" borderId="1" xfId="5" applyNumberFormat="1" applyAlignment="1">
      <alignment wrapText="1"/>
    </xf>
    <xf numFmtId="43" fontId="13" fillId="9" borderId="0" xfId="17" applyNumberFormat="1" applyFill="1"/>
    <xf numFmtId="2" fontId="0" fillId="0" borderId="0" xfId="0" applyNumberFormat="1"/>
    <xf numFmtId="9" fontId="5" fillId="4" borderId="5" xfId="23" applyFont="1" applyFill="1" applyBorder="1" applyAlignment="1" applyProtection="1">
      <alignment vertical="center"/>
      <protection locked="0"/>
    </xf>
    <xf numFmtId="177" fontId="5" fillId="4" borderId="5" xfId="22" applyNumberFormat="1" applyFont="1" applyFill="1" applyBorder="1" applyAlignment="1" applyProtection="1">
      <alignment vertical="center" wrapText="1"/>
      <protection locked="0"/>
    </xf>
    <xf numFmtId="177" fontId="5" fillId="0" borderId="0" xfId="22" applyNumberFormat="1" applyFont="1" applyFill="1" applyBorder="1" applyAlignment="1" applyProtection="1">
      <alignment vertical="center" wrapText="1"/>
      <protection locked="0"/>
    </xf>
    <xf numFmtId="177" fontId="5" fillId="0" borderId="0" xfId="22" applyNumberFormat="1" applyFont="1" applyAlignment="1" applyProtection="1">
      <alignment vertical="center" wrapText="1"/>
      <protection locked="0"/>
    </xf>
    <xf numFmtId="180" fontId="5" fillId="4" borderId="5" xfId="22" applyNumberFormat="1" applyFont="1" applyFill="1" applyBorder="1" applyAlignment="1" applyProtection="1">
      <alignment vertical="center"/>
      <protection locked="0"/>
    </xf>
    <xf numFmtId="177" fontId="5" fillId="15" borderId="0" xfId="22" applyNumberFormat="1" applyFont="1" applyFill="1" applyBorder="1" applyAlignment="1" applyProtection="1">
      <alignment vertical="center" wrapText="1"/>
      <protection locked="0"/>
    </xf>
    <xf numFmtId="0" fontId="28" fillId="0" borderId="0" xfId="0" applyFont="1"/>
    <xf numFmtId="171" fontId="33" fillId="4" borderId="18" xfId="2" applyNumberFormat="1" applyFont="1" applyBorder="1" applyAlignment="1">
      <alignment horizontal="right" vertical="center"/>
      <protection locked="0"/>
    </xf>
    <xf numFmtId="0" fontId="33" fillId="0" borderId="14" xfId="2" applyNumberFormat="1" applyFont="1" applyFill="1" applyBorder="1" applyAlignment="1" applyProtection="1">
      <alignment vertical="center"/>
    </xf>
    <xf numFmtId="4" fontId="33" fillId="0" borderId="0" xfId="22" applyNumberFormat="1" applyFont="1" applyFill="1" applyBorder="1" applyAlignment="1" applyProtection="1">
      <alignment horizontal="right"/>
      <protection locked="0"/>
    </xf>
    <xf numFmtId="4" fontId="5" fillId="15" borderId="0" xfId="22" applyNumberFormat="1" applyFont="1" applyFill="1" applyBorder="1" applyAlignment="1" applyProtection="1">
      <alignment vertical="center" wrapText="1"/>
      <protection locked="0"/>
    </xf>
    <xf numFmtId="4" fontId="5" fillId="0" borderId="23" xfId="22" applyNumberFormat="1" applyFont="1" applyFill="1" applyBorder="1" applyAlignment="1" applyProtection="1">
      <alignment vertical="center" wrapText="1"/>
      <protection locked="0"/>
    </xf>
    <xf numFmtId="4" fontId="34" fillId="0" borderId="0" xfId="22" applyNumberFormat="1" applyFont="1" applyAlignment="1">
      <alignment vertical="center" wrapText="1"/>
    </xf>
    <xf numFmtId="4" fontId="0" fillId="0" borderId="0" xfId="0" applyNumberFormat="1" applyAlignment="1">
      <alignment wrapText="1"/>
    </xf>
    <xf numFmtId="4" fontId="33" fillId="15" borderId="0" xfId="17" applyNumberFormat="1" applyFont="1" applyFill="1" applyAlignment="1">
      <alignment wrapText="1"/>
    </xf>
    <xf numFmtId="4" fontId="5" fillId="0" borderId="24" xfId="22" applyNumberFormat="1" applyFont="1" applyFill="1" applyBorder="1" applyAlignment="1" applyProtection="1">
      <alignment vertical="center" wrapText="1"/>
      <protection locked="0"/>
    </xf>
    <xf numFmtId="4" fontId="34" fillId="0" borderId="0" xfId="22" applyNumberFormat="1" applyFont="1" applyAlignment="1" applyProtection="1">
      <alignment vertical="center" wrapText="1"/>
      <protection locked="0"/>
    </xf>
    <xf numFmtId="4" fontId="34" fillId="4" borderId="22" xfId="22" applyNumberFormat="1" applyFont="1" applyFill="1" applyBorder="1" applyAlignment="1" applyProtection="1">
      <alignment vertical="center"/>
      <protection locked="0"/>
    </xf>
    <xf numFmtId="4" fontId="34" fillId="4" borderId="5" xfId="22" applyNumberFormat="1" applyFont="1" applyFill="1" applyBorder="1" applyAlignment="1" applyProtection="1">
      <alignment horizontal="right" vertical="center" wrapText="1"/>
      <protection locked="0"/>
    </xf>
    <xf numFmtId="4" fontId="15" fillId="0" borderId="0" xfId="17" applyNumberFormat="1" applyFont="1" applyAlignment="1">
      <alignment horizontal="right"/>
    </xf>
    <xf numFmtId="4" fontId="34" fillId="9" borderId="5" xfId="22" applyNumberFormat="1" applyFont="1" applyFill="1" applyBorder="1" applyAlignment="1" applyProtection="1">
      <alignment vertical="center"/>
      <protection locked="0"/>
    </xf>
    <xf numFmtId="4" fontId="5" fillId="9" borderId="5" xfId="22" applyNumberFormat="1" applyFont="1" applyFill="1" applyBorder="1" applyAlignment="1" applyProtection="1">
      <alignment vertical="center"/>
      <protection locked="0"/>
    </xf>
    <xf numFmtId="4" fontId="33" fillId="15" borderId="0" xfId="22" applyNumberFormat="1" applyFont="1" applyFill="1" applyAlignment="1" applyProtection="1">
      <alignment vertical="center" wrapText="1"/>
      <protection locked="0"/>
    </xf>
    <xf numFmtId="4" fontId="52" fillId="15" borderId="0" xfId="22" applyNumberFormat="1" applyFont="1" applyFill="1" applyAlignment="1" applyProtection="1">
      <alignment vertical="center" wrapText="1"/>
      <protection locked="0"/>
    </xf>
    <xf numFmtId="4" fontId="5" fillId="0" borderId="0" xfId="22" applyNumberFormat="1" applyFont="1" applyAlignment="1" applyProtection="1">
      <alignment vertical="center"/>
      <protection locked="0"/>
    </xf>
    <xf numFmtId="4" fontId="5" fillId="15" borderId="0" xfId="22" applyNumberFormat="1" applyFont="1" applyFill="1" applyBorder="1" applyAlignment="1" applyProtection="1">
      <alignment vertical="center"/>
      <protection locked="0"/>
    </xf>
    <xf numFmtId="4" fontId="33" fillId="0" borderId="0" xfId="17" applyNumberFormat="1" applyFont="1"/>
    <xf numFmtId="4" fontId="33" fillId="15" borderId="0" xfId="17" applyNumberFormat="1" applyFont="1" applyFill="1" applyAlignment="1">
      <alignment vertical="center" wrapText="1"/>
    </xf>
    <xf numFmtId="4" fontId="5" fillId="4" borderId="22" xfId="22" applyNumberFormat="1" applyFont="1" applyFill="1" applyBorder="1" applyAlignment="1" applyProtection="1">
      <alignment vertical="center"/>
      <protection locked="0"/>
    </xf>
    <xf numFmtId="4" fontId="5" fillId="4" borderId="5" xfId="23" applyNumberFormat="1" applyFont="1" applyFill="1" applyBorder="1" applyAlignment="1" applyProtection="1">
      <alignment vertical="center"/>
      <protection locked="0"/>
    </xf>
    <xf numFmtId="4" fontId="13" fillId="9" borderId="0" xfId="17" applyNumberFormat="1" applyFill="1"/>
    <xf numFmtId="4" fontId="34" fillId="0" borderId="0" xfId="22" applyNumberFormat="1" applyFont="1" applyFill="1" applyBorder="1" applyAlignment="1" applyProtection="1">
      <alignment vertical="center"/>
      <protection locked="0"/>
    </xf>
    <xf numFmtId="178" fontId="5" fillId="4" borderId="5" xfId="23" applyNumberFormat="1" applyFont="1" applyFill="1" applyBorder="1" applyAlignment="1" applyProtection="1">
      <alignment vertical="center"/>
      <protection locked="0"/>
    </xf>
    <xf numFmtId="178" fontId="34" fillId="4" borderId="5" xfId="23" applyNumberFormat="1" applyFont="1" applyFill="1" applyBorder="1" applyAlignment="1" applyProtection="1">
      <alignment vertical="center"/>
      <protection locked="0"/>
    </xf>
    <xf numFmtId="4" fontId="10" fillId="0" borderId="1" xfId="5" applyNumberFormat="1" applyAlignment="1">
      <alignment wrapText="1"/>
    </xf>
    <xf numFmtId="4" fontId="5" fillId="9" borderId="5" xfId="22" applyNumberFormat="1" applyFont="1" applyFill="1" applyBorder="1" applyAlignment="1" applyProtection="1">
      <alignment vertical="center" wrapText="1"/>
      <protection locked="0"/>
    </xf>
    <xf numFmtId="173" fontId="15" fillId="10" borderId="6" xfId="0" applyNumberFormat="1" applyFont="1" applyFill="1" applyBorder="1" applyAlignment="1">
      <alignment horizontal="center" vertical="center" wrapText="1"/>
    </xf>
    <xf numFmtId="4" fontId="0" fillId="10" borderId="6" xfId="0" applyNumberFormat="1" applyFill="1" applyBorder="1" applyAlignment="1">
      <alignment horizontal="center" vertical="center" wrapText="1"/>
    </xf>
    <xf numFmtId="164" fontId="0" fillId="10" borderId="6" xfId="0" applyNumberFormat="1" applyFill="1" applyBorder="1" applyAlignment="1">
      <alignment horizontal="center" vertical="center" wrapText="1"/>
    </xf>
    <xf numFmtId="4" fontId="0" fillId="0" borderId="6" xfId="0" applyNumberFormat="1" applyBorder="1" applyAlignment="1">
      <alignment horizontal="center"/>
    </xf>
    <xf numFmtId="43" fontId="0" fillId="10" borderId="6" xfId="22" applyFont="1" applyFill="1" applyBorder="1" applyAlignment="1">
      <alignment horizontal="right" vertical="center" wrapText="1"/>
    </xf>
    <xf numFmtId="4" fontId="34" fillId="0" borderId="0" xfId="17" applyNumberFormat="1" applyFont="1"/>
    <xf numFmtId="0" fontId="33" fillId="9" borderId="0" xfId="2" applyNumberFormat="1" applyFont="1" applyFill="1" applyAlignment="1" applyProtection="1">
      <alignment horizontal="left" vertical="center"/>
    </xf>
    <xf numFmtId="4" fontId="33" fillId="4" borderId="6" xfId="2" applyNumberFormat="1" applyFont="1" applyBorder="1" applyAlignment="1">
      <alignment horizontal="right" vertical="center"/>
      <protection locked="0"/>
    </xf>
    <xf numFmtId="4" fontId="15" fillId="19" borderId="6" xfId="17" applyNumberFormat="1" applyFont="1" applyFill="1" applyBorder="1" applyAlignment="1">
      <alignment horizontal="right"/>
    </xf>
    <xf numFmtId="4" fontId="15" fillId="16" borderId="6" xfId="17" applyNumberFormat="1" applyFont="1" applyFill="1" applyBorder="1" applyAlignment="1">
      <alignment horizontal="right"/>
    </xf>
    <xf numFmtId="4" fontId="15" fillId="15" borderId="6" xfId="17" applyNumberFormat="1" applyFont="1" applyFill="1" applyBorder="1" applyAlignment="1">
      <alignment horizontal="right" wrapText="1"/>
    </xf>
    <xf numFmtId="4" fontId="15" fillId="23" borderId="6" xfId="17" applyNumberFormat="1" applyFont="1" applyFill="1" applyBorder="1" applyAlignment="1">
      <alignment horizontal="right"/>
    </xf>
    <xf numFmtId="0" fontId="40" fillId="0" borderId="6" xfId="26" applyFont="1" applyFill="1" applyBorder="1" applyAlignment="1">
      <alignment vertical="center" wrapText="1"/>
    </xf>
    <xf numFmtId="0" fontId="40" fillId="0" borderId="6" xfId="26" applyFont="1" applyBorder="1" applyAlignment="1">
      <alignment vertical="center" wrapText="1"/>
    </xf>
    <xf numFmtId="0" fontId="48" fillId="9" borderId="0" xfId="0" applyFont="1" applyFill="1" applyAlignment="1">
      <alignment horizontal="left" vertical="center"/>
    </xf>
    <xf numFmtId="0" fontId="48" fillId="9" borderId="0" xfId="0" applyFont="1" applyFill="1" applyAlignment="1">
      <alignment horizontal="left" vertical="center" wrapText="1"/>
    </xf>
    <xf numFmtId="0" fontId="0" fillId="0" borderId="0" xfId="0" quotePrefix="1"/>
    <xf numFmtId="0" fontId="34" fillId="0" borderId="0" xfId="0" applyFont="1" applyAlignment="1">
      <alignment horizontal="left"/>
    </xf>
    <xf numFmtId="4" fontId="5" fillId="10" borderId="5" xfId="23" applyNumberFormat="1" applyFont="1" applyFill="1" applyBorder="1" applyAlignment="1" applyProtection="1">
      <alignment horizontal="right" vertical="center"/>
    </xf>
    <xf numFmtId="0" fontId="0" fillId="9" borderId="6" xfId="0" applyFill="1" applyBorder="1" applyAlignment="1">
      <alignment horizontal="left" vertical="center" wrapText="1"/>
    </xf>
    <xf numFmtId="0" fontId="0" fillId="9" borderId="6" xfId="0" applyFill="1" applyBorder="1" applyAlignment="1">
      <alignment vertical="center" wrapText="1"/>
    </xf>
    <xf numFmtId="0" fontId="58" fillId="9" borderId="0" xfId="0" applyFont="1" applyFill="1" applyAlignment="1">
      <alignment vertical="center" wrapText="1"/>
    </xf>
    <xf numFmtId="0" fontId="94" fillId="9" borderId="0" xfId="26" quotePrefix="1" applyFont="1" applyFill="1" applyAlignment="1" applyProtection="1">
      <alignment horizontal="left"/>
    </xf>
    <xf numFmtId="0" fontId="95" fillId="24" borderId="6" xfId="26" applyFont="1" applyFill="1" applyBorder="1" applyAlignment="1">
      <alignment horizontal="center" vertical="center" wrapText="1"/>
    </xf>
    <xf numFmtId="0" fontId="95" fillId="21" borderId="6" xfId="26" applyFont="1" applyFill="1" applyBorder="1" applyAlignment="1">
      <alignment horizontal="center" vertical="center" wrapText="1"/>
    </xf>
    <xf numFmtId="0" fontId="96" fillId="11" borderId="6" xfId="26" applyFont="1" applyFill="1" applyBorder="1" applyAlignment="1">
      <alignment horizontal="center" vertical="center" wrapText="1"/>
    </xf>
    <xf numFmtId="4" fontId="5" fillId="10" borderId="5" xfId="22" applyNumberFormat="1" applyFont="1" applyFill="1" applyBorder="1" applyAlignment="1" applyProtection="1">
      <alignment vertical="center"/>
    </xf>
    <xf numFmtId="4" fontId="33" fillId="15" borderId="0" xfId="22" applyNumberFormat="1" applyFont="1" applyFill="1" applyAlignment="1" applyProtection="1">
      <alignment vertical="center"/>
      <protection locked="0"/>
    </xf>
    <xf numFmtId="3" fontId="5" fillId="4" borderId="5" xfId="23" applyNumberFormat="1" applyFont="1" applyFill="1" applyBorder="1" applyAlignment="1" applyProtection="1">
      <alignment vertical="center"/>
      <protection locked="0"/>
    </xf>
    <xf numFmtId="0" fontId="48" fillId="9" borderId="0" xfId="0" applyFont="1" applyFill="1" applyAlignment="1">
      <alignment vertical="top" wrapText="1"/>
    </xf>
    <xf numFmtId="9" fontId="33" fillId="4" borderId="6" xfId="23" applyFont="1" applyFill="1" applyBorder="1" applyProtection="1">
      <protection locked="0"/>
    </xf>
    <xf numFmtId="4" fontId="15" fillId="26" borderId="6" xfId="17" applyNumberFormat="1" applyFont="1" applyFill="1" applyBorder="1" applyAlignment="1">
      <alignment horizontal="right" wrapText="1"/>
    </xf>
    <xf numFmtId="173" fontId="66" fillId="0" borderId="0" xfId="0" applyNumberFormat="1" applyFont="1" applyAlignment="1">
      <alignment horizontal="center"/>
    </xf>
    <xf numFmtId="0" fontId="34" fillId="26" borderId="0" xfId="0" applyFont="1" applyFill="1" applyAlignment="1">
      <alignment vertical="center"/>
    </xf>
    <xf numFmtId="0" fontId="15" fillId="26" borderId="0" xfId="0" applyFont="1" applyFill="1"/>
    <xf numFmtId="0" fontId="0" fillId="26" borderId="0" xfId="0" applyFill="1"/>
    <xf numFmtId="174" fontId="0" fillId="0" borderId="6" xfId="0" applyNumberFormat="1" applyBorder="1"/>
    <xf numFmtId="0" fontId="46" fillId="3" borderId="6" xfId="0" applyFont="1" applyFill="1" applyBorder="1" applyAlignment="1">
      <alignment wrapText="1"/>
    </xf>
    <xf numFmtId="9" fontId="0" fillId="0" borderId="6" xfId="23" applyFont="1" applyBorder="1"/>
    <xf numFmtId="182" fontId="0" fillId="0" borderId="6" xfId="23" applyNumberFormat="1" applyFont="1" applyBorder="1"/>
    <xf numFmtId="179" fontId="0" fillId="0" borderId="6" xfId="23" applyNumberFormat="1" applyFont="1" applyBorder="1"/>
    <xf numFmtId="178" fontId="0" fillId="0" borderId="6" xfId="23" applyNumberFormat="1" applyFont="1" applyBorder="1"/>
    <xf numFmtId="178" fontId="0" fillId="0" borderId="0" xfId="23" applyNumberFormat="1" applyFont="1" applyBorder="1"/>
    <xf numFmtId="2" fontId="0" fillId="0" borderId="6" xfId="0" applyNumberFormat="1" applyBorder="1" applyAlignment="1">
      <alignment horizontal="center"/>
    </xf>
    <xf numFmtId="4" fontId="5" fillId="0" borderId="8" xfId="0" applyNumberFormat="1" applyFont="1" applyBorder="1" applyAlignment="1">
      <alignment horizontal="center"/>
    </xf>
    <xf numFmtId="2" fontId="0" fillId="10" borderId="6" xfId="0" applyNumberFormat="1" applyFill="1" applyBorder="1" applyAlignment="1">
      <alignment horizontal="right" vertical="center"/>
    </xf>
    <xf numFmtId="9" fontId="0" fillId="10" borderId="6" xfId="0" applyNumberFormat="1" applyFill="1" applyBorder="1" applyAlignment="1">
      <alignment horizontal="right" vertical="center"/>
    </xf>
    <xf numFmtId="0" fontId="46" fillId="3" borderId="6" xfId="0" applyFont="1" applyFill="1" applyBorder="1" applyAlignment="1">
      <alignment horizontal="right"/>
    </xf>
    <xf numFmtId="0" fontId="46" fillId="3" borderId="6" xfId="0" applyFont="1" applyFill="1" applyBorder="1" applyAlignment="1">
      <alignment horizontal="right" wrapText="1"/>
    </xf>
    <xf numFmtId="0" fontId="100" fillId="3" borderId="6" xfId="0" applyFont="1" applyFill="1" applyBorder="1" applyAlignment="1">
      <alignment horizontal="right" wrapText="1"/>
    </xf>
    <xf numFmtId="9" fontId="53" fillId="0" borderId="6" xfId="23" applyFont="1" applyBorder="1"/>
    <xf numFmtId="9" fontId="53" fillId="0" borderId="6" xfId="23" applyFont="1" applyBorder="1" applyAlignment="1">
      <alignment horizontal="right"/>
    </xf>
    <xf numFmtId="10" fontId="0" fillId="0" borderId="6" xfId="23" applyNumberFormat="1" applyFont="1" applyBorder="1"/>
    <xf numFmtId="174" fontId="0" fillId="0" borderId="6" xfId="23" applyNumberFormat="1" applyFont="1" applyFill="1" applyBorder="1"/>
    <xf numFmtId="9" fontId="0" fillId="0" borderId="0" xfId="23" applyFont="1" applyBorder="1"/>
    <xf numFmtId="174" fontId="0" fillId="0" borderId="0" xfId="23" applyNumberFormat="1" applyFont="1" applyBorder="1"/>
    <xf numFmtId="2" fontId="50" fillId="0" borderId="0" xfId="0" applyNumberFormat="1" applyFont="1" applyAlignment="1">
      <alignment horizontal="center"/>
    </xf>
    <xf numFmtId="183" fontId="5" fillId="0" borderId="0" xfId="0" applyNumberFormat="1" applyFont="1" applyAlignment="1">
      <alignment horizontal="right"/>
    </xf>
    <xf numFmtId="0" fontId="52" fillId="0" borderId="0" xfId="0" applyFont="1" applyAlignment="1">
      <alignment horizontal="center" wrapText="1"/>
    </xf>
    <xf numFmtId="173" fontId="0" fillId="4" borderId="6" xfId="0" applyNumberFormat="1" applyFill="1" applyBorder="1" applyAlignment="1">
      <alignment horizontal="right" wrapText="1"/>
    </xf>
    <xf numFmtId="0" fontId="0" fillId="0" borderId="8" xfId="0" applyBorder="1"/>
    <xf numFmtId="3" fontId="0" fillId="0" borderId="6" xfId="0" applyNumberFormat="1" applyBorder="1"/>
    <xf numFmtId="0" fontId="21" fillId="15" borderId="0" xfId="17" applyFont="1" applyFill="1"/>
    <xf numFmtId="0" fontId="27" fillId="3" borderId="6" xfId="0" applyFont="1" applyFill="1" applyBorder="1"/>
    <xf numFmtId="174" fontId="0" fillId="0" borderId="6" xfId="23" applyNumberFormat="1" applyFont="1" applyBorder="1"/>
    <xf numFmtId="1" fontId="0" fillId="0" borderId="6" xfId="23" applyNumberFormat="1" applyFont="1" applyBorder="1"/>
    <xf numFmtId="0" fontId="38" fillId="0" borderId="0" xfId="26" applyAlignment="1">
      <alignment wrapText="1"/>
    </xf>
    <xf numFmtId="173" fontId="0" fillId="0" borderId="6" xfId="0" applyNumberFormat="1" applyBorder="1"/>
    <xf numFmtId="4" fontId="0" fillId="0" borderId="6" xfId="23" applyNumberFormat="1" applyFont="1" applyFill="1" applyBorder="1" applyAlignment="1"/>
    <xf numFmtId="4" fontId="0" fillId="0" borderId="6" xfId="0" applyNumberFormat="1" applyBorder="1"/>
    <xf numFmtId="0" fontId="15" fillId="15" borderId="9" xfId="0" applyFont="1" applyFill="1" applyBorder="1" applyAlignment="1">
      <alignment wrapText="1"/>
    </xf>
    <xf numFmtId="0" fontId="15" fillId="15" borderId="10" xfId="0" applyFont="1" applyFill="1" applyBorder="1" applyAlignment="1">
      <alignment wrapText="1"/>
    </xf>
    <xf numFmtId="0" fontId="15" fillId="15" borderId="8" xfId="0" applyFont="1" applyFill="1" applyBorder="1"/>
    <xf numFmtId="0" fontId="27" fillId="3" borderId="19" xfId="0" applyFont="1" applyFill="1" applyBorder="1" applyAlignment="1">
      <alignment horizontal="center" wrapText="1"/>
    </xf>
    <xf numFmtId="0" fontId="27" fillId="3" borderId="19" xfId="67" applyFont="1" applyFill="1" applyBorder="1"/>
    <xf numFmtId="0" fontId="15" fillId="15" borderId="9" xfId="0" applyFont="1" applyFill="1" applyBorder="1"/>
    <xf numFmtId="0" fontId="15" fillId="15" borderId="10" xfId="0" applyFont="1" applyFill="1" applyBorder="1"/>
    <xf numFmtId="0" fontId="1" fillId="0" borderId="0" xfId="13" applyFont="1"/>
    <xf numFmtId="0" fontId="1" fillId="0" borderId="0" xfId="0" applyFont="1"/>
    <xf numFmtId="0" fontId="1" fillId="9" borderId="6" xfId="0" applyFont="1" applyFill="1" applyBorder="1"/>
    <xf numFmtId="2" fontId="1" fillId="9" borderId="6" xfId="0" applyNumberFormat="1" applyFont="1" applyFill="1" applyBorder="1"/>
    <xf numFmtId="0" fontId="0" fillId="0" borderId="0" xfId="0" applyAlignment="1">
      <alignment horizontal="left" wrapText="1"/>
    </xf>
    <xf numFmtId="0" fontId="0" fillId="0" borderId="8" xfId="0" applyBorder="1" applyAlignment="1">
      <alignment horizontal="left"/>
    </xf>
    <xf numFmtId="0" fontId="0" fillId="0" borderId="9" xfId="0" applyBorder="1" applyAlignment="1">
      <alignment horizontal="left"/>
    </xf>
    <xf numFmtId="0" fontId="0" fillId="0" borderId="10"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0" fillId="0" borderId="0" xfId="0" applyAlignment="1">
      <alignment horizontal="left"/>
    </xf>
    <xf numFmtId="0" fontId="0" fillId="0" borderId="0" xfId="0" applyAlignment="1">
      <alignment horizontal="left" vertical="center" wrapText="1"/>
    </xf>
    <xf numFmtId="0" fontId="0" fillId="9" borderId="7" xfId="0" applyFill="1" applyBorder="1" applyAlignment="1">
      <alignment horizontal="left"/>
    </xf>
    <xf numFmtId="0" fontId="0" fillId="9" borderId="15" xfId="0" applyFill="1" applyBorder="1" applyAlignment="1">
      <alignment horizontal="left" vertical="top" wrapText="1"/>
    </xf>
    <xf numFmtId="0" fontId="0" fillId="9" borderId="7" xfId="0" applyFill="1" applyBorder="1" applyAlignment="1">
      <alignment horizontal="left" wrapText="1"/>
    </xf>
    <xf numFmtId="0" fontId="0" fillId="9" borderId="7" xfId="0" applyFill="1" applyBorder="1" applyAlignment="1">
      <alignment horizontal="left" vertical="top" wrapText="1"/>
    </xf>
    <xf numFmtId="0" fontId="0" fillId="9" borderId="0" xfId="0" applyFill="1" applyAlignment="1">
      <alignment horizontal="left"/>
    </xf>
    <xf numFmtId="0" fontId="64" fillId="15" borderId="11" xfId="0" applyFont="1" applyFill="1" applyBorder="1" applyAlignment="1">
      <alignment horizontal="left"/>
    </xf>
    <xf numFmtId="0" fontId="0" fillId="9" borderId="14" xfId="0" applyFill="1" applyBorder="1" applyAlignment="1">
      <alignment horizontal="left"/>
    </xf>
    <xf numFmtId="0" fontId="0" fillId="9" borderId="14" xfId="0" applyFill="1" applyBorder="1" applyAlignment="1">
      <alignment horizontal="left" wrapText="1"/>
    </xf>
    <xf numFmtId="0" fontId="88" fillId="9" borderId="0" xfId="0" applyFont="1" applyFill="1" applyAlignment="1">
      <alignment horizontal="center"/>
    </xf>
    <xf numFmtId="0" fontId="0" fillId="9" borderId="15" xfId="0" applyFill="1" applyBorder="1" applyAlignment="1">
      <alignment horizontal="left"/>
    </xf>
    <xf numFmtId="0" fontId="0" fillId="0" borderId="7" xfId="0" applyBorder="1" applyAlignment="1">
      <alignment horizontal="left" vertical="top" wrapText="1"/>
    </xf>
    <xf numFmtId="0" fontId="0" fillId="0" borderId="0" xfId="0" applyAlignment="1">
      <alignment horizontal="left" vertical="top" wrapText="1"/>
    </xf>
    <xf numFmtId="0" fontId="33" fillId="9" borderId="0" xfId="2" applyNumberFormat="1" applyFont="1" applyFill="1" applyAlignment="1" applyProtection="1">
      <alignment horizontal="left" vertical="center"/>
    </xf>
    <xf numFmtId="0" fontId="0" fillId="9" borderId="15" xfId="0" applyFill="1" applyBorder="1" applyAlignment="1">
      <alignment horizontal="left" vertical="top"/>
    </xf>
    <xf numFmtId="0" fontId="38" fillId="10" borderId="6" xfId="26" applyFill="1" applyBorder="1" applyAlignment="1" applyProtection="1">
      <alignment horizontal="center"/>
    </xf>
    <xf numFmtId="0" fontId="81" fillId="10" borderId="6" xfId="26" applyFont="1" applyFill="1" applyBorder="1" applyAlignment="1" applyProtection="1">
      <alignment horizontal="center"/>
    </xf>
    <xf numFmtId="0" fontId="40" fillId="0" borderId="18" xfId="26" applyFont="1" applyFill="1" applyBorder="1" applyAlignment="1">
      <alignment horizontal="left" vertical="center"/>
    </xf>
    <xf numFmtId="0" fontId="40" fillId="0" borderId="20" xfId="26" applyFont="1" applyFill="1" applyBorder="1" applyAlignment="1">
      <alignment horizontal="left" vertical="center"/>
    </xf>
    <xf numFmtId="0" fontId="40" fillId="0" borderId="19" xfId="26" applyFont="1" applyFill="1" applyBorder="1" applyAlignment="1">
      <alignment horizontal="left" vertical="center"/>
    </xf>
    <xf numFmtId="9" fontId="5" fillId="10" borderId="18" xfId="0" applyNumberFormat="1" applyFont="1" applyFill="1" applyBorder="1" applyAlignment="1">
      <alignment horizontal="center" vertical="center"/>
    </xf>
    <xf numFmtId="9" fontId="5" fillId="10" borderId="20" xfId="0" applyNumberFormat="1" applyFont="1" applyFill="1" applyBorder="1" applyAlignment="1">
      <alignment horizontal="center" vertical="center"/>
    </xf>
    <xf numFmtId="9" fontId="5" fillId="10" borderId="19" xfId="0" applyNumberFormat="1" applyFont="1" applyFill="1" applyBorder="1" applyAlignment="1">
      <alignment horizontal="center" vertical="center"/>
    </xf>
    <xf numFmtId="4" fontId="0" fillId="10" borderId="18" xfId="0" applyNumberFormat="1" applyFill="1" applyBorder="1" applyAlignment="1">
      <alignment horizontal="center" vertical="center"/>
    </xf>
    <xf numFmtId="4" fontId="0" fillId="10" borderId="20" xfId="0" applyNumberFormat="1" applyFill="1" applyBorder="1" applyAlignment="1">
      <alignment horizontal="center" vertical="center"/>
    </xf>
    <xf numFmtId="4" fontId="0" fillId="10" borderId="19" xfId="0" applyNumberFormat="1" applyFill="1" applyBorder="1" applyAlignment="1">
      <alignment horizontal="center" vertical="center"/>
    </xf>
    <xf numFmtId="9" fontId="0" fillId="10" borderId="18" xfId="0" applyNumberFormat="1" applyFill="1" applyBorder="1" applyAlignment="1">
      <alignment horizontal="center" vertical="center"/>
    </xf>
    <xf numFmtId="9" fontId="0" fillId="10" borderId="20" xfId="0" applyNumberFormat="1" applyFill="1" applyBorder="1" applyAlignment="1">
      <alignment horizontal="center" vertical="center"/>
    </xf>
    <xf numFmtId="9" fontId="0" fillId="10" borderId="19" xfId="0" applyNumberFormat="1" applyFill="1" applyBorder="1" applyAlignment="1">
      <alignment horizontal="center" vertical="center"/>
    </xf>
    <xf numFmtId="0" fontId="40" fillId="0" borderId="18" xfId="26" applyFont="1" applyBorder="1" applyAlignment="1">
      <alignment horizontal="left" vertical="center"/>
    </xf>
    <xf numFmtId="0" fontId="40" fillId="0" borderId="20" xfId="26" applyFont="1" applyBorder="1" applyAlignment="1">
      <alignment horizontal="left" vertical="center"/>
    </xf>
    <xf numFmtId="0" fontId="40" fillId="0" borderId="19" xfId="26" applyFont="1" applyBorder="1" applyAlignment="1">
      <alignment horizontal="left" vertical="center"/>
    </xf>
    <xf numFmtId="0" fontId="40" fillId="0" borderId="18" xfId="26" applyFont="1" applyBorder="1" applyAlignment="1">
      <alignment horizontal="left" vertical="center" wrapText="1"/>
    </xf>
    <xf numFmtId="0" fontId="40" fillId="0" borderId="19" xfId="26" applyFont="1" applyBorder="1" applyAlignment="1">
      <alignment horizontal="left" vertical="center" wrapText="1"/>
    </xf>
    <xf numFmtId="0" fontId="0" fillId="0" borderId="11"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62" fillId="20" borderId="8" xfId="0" applyFont="1" applyFill="1" applyBorder="1" applyAlignment="1">
      <alignment horizontal="center"/>
    </xf>
    <xf numFmtId="0" fontId="62" fillId="20" borderId="6" xfId="0" applyFont="1" applyFill="1" applyBorder="1" applyAlignment="1">
      <alignment horizontal="center"/>
    </xf>
  </cellXfs>
  <cellStyles count="68">
    <cellStyle name="60% - Accent1 4 2" xfId="31" xr:uid="{00000000-0005-0000-0000-000000000000}"/>
    <cellStyle name="Accent1" xfId="67" builtinId="29"/>
    <cellStyle name="Calculation - 1" xfId="3" xr:uid="{00000000-0005-0000-0000-000001000000}"/>
    <cellStyle name="Calculation - 2" xfId="1" xr:uid="{00000000-0005-0000-0000-000002000000}"/>
    <cellStyle name="Calculation - 3" xfId="11" xr:uid="{00000000-0005-0000-0000-000003000000}"/>
    <cellStyle name="Comma" xfId="22" builtinId="3"/>
    <cellStyle name="Comma 141" xfId="32" xr:uid="{00000000-0005-0000-0000-000005000000}"/>
    <cellStyle name="Comma 2" xfId="20" xr:uid="{00000000-0005-0000-0000-000006000000}"/>
    <cellStyle name="Comma 5" xfId="16" xr:uid="{00000000-0005-0000-0000-000007000000}"/>
    <cellStyle name="Free Entry" xfId="2" xr:uid="{00000000-0005-0000-0000-000008000000}"/>
    <cellStyle name="Heading - 1" xfId="5" xr:uid="{00000000-0005-0000-0000-000009000000}"/>
    <cellStyle name="Heading - 2" xfId="9" xr:uid="{00000000-0005-0000-0000-00000A000000}"/>
    <cellStyle name="Hyperlink" xfId="26" builtinId="8"/>
    <cellStyle name="Linked Cell 2 8" xfId="33" xr:uid="{00000000-0005-0000-0000-00000C000000}"/>
    <cellStyle name="Listed Input" xfId="12" xr:uid="{00000000-0005-0000-0000-00000D000000}"/>
    <cellStyle name="Listed Input 2" xfId="21" xr:uid="{00000000-0005-0000-0000-00000E000000}"/>
    <cellStyle name="Named Range" xfId="8" xr:uid="{00000000-0005-0000-0000-00000F000000}"/>
    <cellStyle name="Normal" xfId="0" builtinId="0" customBuiltin="1"/>
    <cellStyle name="Normal - Style1 2" xfId="34" xr:uid="{00000000-0005-0000-0000-000011000000}"/>
    <cellStyle name="Normal 10 10" xfId="35" xr:uid="{00000000-0005-0000-0000-000012000000}"/>
    <cellStyle name="Normal 10 10 4" xfId="36" xr:uid="{00000000-0005-0000-0000-000013000000}"/>
    <cellStyle name="Normal 10 10 5" xfId="37" xr:uid="{00000000-0005-0000-0000-000014000000}"/>
    <cellStyle name="Normal 10 13" xfId="38" xr:uid="{00000000-0005-0000-0000-000015000000}"/>
    <cellStyle name="Normal 119" xfId="39" xr:uid="{00000000-0005-0000-0000-000016000000}"/>
    <cellStyle name="Normal 119 2" xfId="40" xr:uid="{00000000-0005-0000-0000-000017000000}"/>
    <cellStyle name="Normal 134 2 2" xfId="41" xr:uid="{00000000-0005-0000-0000-000018000000}"/>
    <cellStyle name="Normal 155 2" xfId="42" xr:uid="{00000000-0005-0000-0000-000019000000}"/>
    <cellStyle name="Normal 156" xfId="43" xr:uid="{00000000-0005-0000-0000-00001A000000}"/>
    <cellStyle name="Normal 157" xfId="44" xr:uid="{00000000-0005-0000-0000-00001B000000}"/>
    <cellStyle name="Normal 164" xfId="45" xr:uid="{00000000-0005-0000-0000-00001C000000}"/>
    <cellStyle name="Normal 165" xfId="46" xr:uid="{00000000-0005-0000-0000-00001D000000}"/>
    <cellStyle name="Normal 166" xfId="47" xr:uid="{00000000-0005-0000-0000-00001E000000}"/>
    <cellStyle name="Normal 167" xfId="48" xr:uid="{00000000-0005-0000-0000-00001F000000}"/>
    <cellStyle name="Normal 168" xfId="49" xr:uid="{00000000-0005-0000-0000-000020000000}"/>
    <cellStyle name="Normal 169" xfId="50" xr:uid="{00000000-0005-0000-0000-000021000000}"/>
    <cellStyle name="Normal 170" xfId="51" xr:uid="{00000000-0005-0000-0000-000022000000}"/>
    <cellStyle name="Normal 2" xfId="13" xr:uid="{00000000-0005-0000-0000-000023000000}"/>
    <cellStyle name="Normal 2 10" xfId="52" xr:uid="{00000000-0005-0000-0000-000024000000}"/>
    <cellStyle name="Normal 2 2" xfId="30" xr:uid="{00000000-0005-0000-0000-000025000000}"/>
    <cellStyle name="Normal 2 2 9 3" xfId="53" xr:uid="{00000000-0005-0000-0000-000026000000}"/>
    <cellStyle name="Normal 2 24" xfId="54" xr:uid="{00000000-0005-0000-0000-000027000000}"/>
    <cellStyle name="Normal 2 25" xfId="55" xr:uid="{00000000-0005-0000-0000-000028000000}"/>
    <cellStyle name="Normal 2 61" xfId="17" xr:uid="{00000000-0005-0000-0000-000029000000}"/>
    <cellStyle name="Normal 3" xfId="24" xr:uid="{00000000-0005-0000-0000-00002A000000}"/>
    <cellStyle name="Normal 3 2" xfId="56" xr:uid="{00000000-0005-0000-0000-00002B000000}"/>
    <cellStyle name="Normal 3 2 2" xfId="29" xr:uid="{00000000-0005-0000-0000-00002C000000}"/>
    <cellStyle name="Normal 4" xfId="14" xr:uid="{00000000-0005-0000-0000-00002D000000}"/>
    <cellStyle name="Normal 4 2" xfId="15" xr:uid="{00000000-0005-0000-0000-00002E000000}"/>
    <cellStyle name="Normal 5" xfId="28" xr:uid="{00000000-0005-0000-0000-00002F000000}"/>
    <cellStyle name="Normal 56" xfId="27" xr:uid="{00000000-0005-0000-0000-000030000000}"/>
    <cellStyle name="Normal 83" xfId="57" xr:uid="{00000000-0005-0000-0000-000031000000}"/>
    <cellStyle name="Normal_Conversion_gal and bbl_final1_updated" xfId="18" xr:uid="{00000000-0005-0000-0000-000032000000}"/>
    <cellStyle name="Normal_European Ethanol SD model_15_clean" xfId="19" xr:uid="{00000000-0005-0000-0000-000034000000}"/>
    <cellStyle name="Per cent" xfId="23" builtinId="5"/>
    <cellStyle name="Percent 2" xfId="25" xr:uid="{00000000-0005-0000-0000-000036000000}"/>
    <cellStyle name="Percent 2 14" xfId="58" xr:uid="{00000000-0005-0000-0000-000037000000}"/>
    <cellStyle name="Percent 2 21 2" xfId="59" xr:uid="{00000000-0005-0000-0000-000038000000}"/>
    <cellStyle name="Percent 7 2 2 2 2" xfId="60" xr:uid="{00000000-0005-0000-0000-000039000000}"/>
    <cellStyle name="Percent 87" xfId="61" xr:uid="{00000000-0005-0000-0000-00003A000000}"/>
    <cellStyle name="Percent 90" xfId="62" xr:uid="{00000000-0005-0000-0000-00003B000000}"/>
    <cellStyle name="Percent 92" xfId="63" xr:uid="{00000000-0005-0000-0000-00003C000000}"/>
    <cellStyle name="Percent 98" xfId="64" xr:uid="{00000000-0005-0000-0000-00003D000000}"/>
    <cellStyle name="Reference" xfId="7" xr:uid="{00000000-0005-0000-0000-00003E000000}"/>
    <cellStyle name="Sheet Title" xfId="4" xr:uid="{00000000-0005-0000-0000-00003F000000}"/>
    <cellStyle name="Sub heading - 1" xfId="10" xr:uid="{00000000-0005-0000-0000-000040000000}"/>
    <cellStyle name="Sub heading - 2" xfId="6" xr:uid="{00000000-0005-0000-0000-000041000000}"/>
    <cellStyle name="Title 1" xfId="65" xr:uid="{00000000-0005-0000-0000-000042000000}"/>
    <cellStyle name="Title 3 2" xfId="66" xr:uid="{00000000-0005-0000-0000-000043000000}"/>
  </cellStyles>
  <dxfs count="57">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7" tint="0.79998168889431442"/>
        </patternFill>
      </fill>
    </dxf>
    <dxf>
      <fill>
        <patternFill>
          <bgColor rgb="FFFF0000"/>
        </patternFill>
      </fill>
    </dxf>
    <dxf>
      <fill>
        <patternFill patternType="solid">
          <fgColor theme="7" tint="0.59999389629810485"/>
          <bgColor theme="7" tint="0.59999389629810485"/>
        </patternFill>
      </fill>
    </dxf>
    <dxf>
      <fill>
        <patternFill patternType="solid">
          <fgColor theme="7" tint="0.59999389629810485"/>
          <bgColor theme="7" tint="0.59999389629810485"/>
        </patternFill>
      </fill>
    </dxf>
    <dxf>
      <font>
        <b/>
        <color theme="0"/>
      </font>
      <fill>
        <patternFill patternType="solid">
          <fgColor theme="7"/>
          <bgColor theme="7"/>
        </patternFill>
      </fill>
    </dxf>
    <dxf>
      <font>
        <b/>
        <color theme="0"/>
      </font>
      <fill>
        <patternFill patternType="solid">
          <fgColor theme="7"/>
          <bgColor theme="7"/>
        </patternFill>
      </fill>
    </dxf>
    <dxf>
      <font>
        <b/>
        <color theme="0"/>
      </font>
      <fill>
        <patternFill patternType="solid">
          <fgColor theme="7"/>
          <bgColor theme="7"/>
        </patternFill>
      </fill>
      <border>
        <top style="thick">
          <color theme="0"/>
        </top>
      </border>
    </dxf>
    <dxf>
      <font>
        <b/>
        <color theme="0"/>
      </font>
      <fill>
        <patternFill patternType="solid">
          <fgColor theme="7"/>
          <bgColor theme="7"/>
        </patternFill>
      </fill>
      <border>
        <bottom style="thick">
          <color theme="0"/>
        </bottom>
      </border>
    </dxf>
    <dxf>
      <font>
        <color theme="1"/>
      </font>
      <fill>
        <patternFill patternType="solid">
          <fgColor theme="7" tint="0.79998168889431442"/>
          <bgColor theme="7" tint="0.79998168889431442"/>
        </patternFill>
      </fill>
      <border>
        <vertical style="thin">
          <color theme="0"/>
        </vertical>
        <horizontal style="thin">
          <color theme="0"/>
        </horizontal>
      </border>
    </dxf>
    <dxf>
      <fill>
        <patternFill patternType="solid">
          <fgColor theme="6" tint="0.59999389629810485"/>
          <bgColor theme="6" tint="0.59999389629810485"/>
        </patternFill>
      </fill>
    </dxf>
    <dxf>
      <fill>
        <patternFill patternType="solid">
          <fgColor theme="6" tint="0.59999389629810485"/>
          <bgColor theme="6" tint="0.59999389629810485"/>
        </patternFill>
      </fill>
    </dxf>
    <dxf>
      <font>
        <b/>
        <color theme="0"/>
      </font>
      <fill>
        <patternFill patternType="solid">
          <fgColor theme="6"/>
          <bgColor theme="6"/>
        </patternFill>
      </fill>
    </dxf>
    <dxf>
      <font>
        <b/>
        <color theme="0"/>
      </font>
      <fill>
        <patternFill patternType="solid">
          <fgColor theme="6"/>
          <bgColor theme="6"/>
        </patternFill>
      </fill>
    </dxf>
    <dxf>
      <font>
        <b/>
        <color theme="0"/>
      </font>
      <fill>
        <patternFill patternType="solid">
          <fgColor theme="6"/>
          <bgColor theme="6"/>
        </patternFill>
      </fill>
      <border>
        <top style="thick">
          <color theme="0"/>
        </top>
      </border>
    </dxf>
    <dxf>
      <font>
        <b/>
        <color theme="0"/>
      </font>
      <fill>
        <patternFill patternType="solid">
          <fgColor theme="6"/>
          <bgColor theme="6"/>
        </patternFill>
      </fill>
      <border>
        <bottom style="thick">
          <color theme="0"/>
        </bottom>
      </border>
    </dxf>
    <dxf>
      <font>
        <color theme="1"/>
      </font>
      <fill>
        <patternFill patternType="solid">
          <fgColor theme="6" tint="0.79998168889431442"/>
          <bgColor theme="6" tint="0.79998168889431442"/>
        </patternFill>
      </fill>
      <border>
        <vertical style="thin">
          <color theme="0"/>
        </vertical>
        <horizontal style="thin">
          <color theme="0"/>
        </horizontal>
      </border>
    </dxf>
    <dxf>
      <fill>
        <patternFill patternType="solid">
          <fgColor theme="7" tint="0.79998168889431442"/>
          <bgColor theme="7" tint="0.79998168889431442"/>
        </patternFill>
      </fill>
    </dxf>
    <dxf>
      <fill>
        <patternFill patternType="solid">
          <fgColor theme="7" tint="0.79995117038483843"/>
          <bgColor theme="7" tint="0.59996337778862885"/>
        </patternFill>
      </fill>
    </dxf>
    <dxf>
      <font>
        <b/>
        <color theme="7" tint="-0.249977111117893"/>
      </font>
    </dxf>
    <dxf>
      <font>
        <b/>
        <color theme="7" tint="-0.249977111117893"/>
      </font>
    </dxf>
    <dxf>
      <font>
        <b/>
        <color theme="7" tint="-0.249977111117893"/>
      </font>
      <border>
        <top style="thin">
          <color theme="7"/>
        </top>
      </border>
    </dxf>
    <dxf>
      <font>
        <b/>
        <i val="0"/>
        <color theme="7" tint="-0.499984740745262"/>
      </font>
      <border>
        <bottom style="thin">
          <color theme="7"/>
        </bottom>
      </border>
    </dxf>
    <dxf>
      <font>
        <color theme="7" tint="-0.499984740745262"/>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5117038483843"/>
          <bgColor theme="6" tint="0.59996337778862885"/>
        </patternFill>
      </fill>
    </dxf>
    <dxf>
      <font>
        <b/>
        <color theme="6" tint="-0.249977111117893"/>
      </font>
    </dxf>
    <dxf>
      <font>
        <b/>
        <color theme="6" tint="-0.249977111117893"/>
      </font>
    </dxf>
    <dxf>
      <font>
        <b/>
        <color theme="6" tint="-0.249977111117893"/>
      </font>
      <border>
        <top style="thin">
          <color theme="6"/>
        </top>
      </border>
    </dxf>
    <dxf>
      <font>
        <b/>
        <i val="0"/>
        <color theme="5"/>
      </font>
      <border>
        <bottom style="thin">
          <color theme="6"/>
        </bottom>
      </border>
    </dxf>
    <dxf>
      <font>
        <color auto="1"/>
      </font>
      <border>
        <top style="thin">
          <color theme="6"/>
        </top>
        <bottom style="thin">
          <color theme="6"/>
        </bottom>
      </border>
    </dxf>
    <dxf>
      <border>
        <left style="thin">
          <color theme="7"/>
        </left>
      </border>
    </dxf>
    <dxf>
      <border>
        <left style="thin">
          <color theme="7"/>
        </left>
      </border>
    </dxf>
    <dxf>
      <border>
        <top style="thin">
          <color theme="7"/>
        </top>
      </border>
    </dxf>
    <dxf>
      <border>
        <top style="thin">
          <color theme="7"/>
        </top>
      </border>
    </dxf>
    <dxf>
      <font>
        <b/>
        <color theme="1"/>
      </font>
    </dxf>
    <dxf>
      <font>
        <b/>
        <color theme="1"/>
      </font>
    </dxf>
    <dxf>
      <font>
        <b/>
        <color theme="1"/>
      </font>
      <border>
        <top style="double">
          <color theme="7"/>
        </top>
      </border>
    </dxf>
    <dxf>
      <font>
        <b/>
        <color theme="0"/>
      </font>
      <fill>
        <patternFill patternType="solid">
          <fgColor theme="7"/>
          <bgColor theme="7"/>
        </patternFill>
      </fill>
    </dxf>
    <dxf>
      <font>
        <color theme="1"/>
      </font>
      <border>
        <left style="thin">
          <color theme="7"/>
        </left>
        <right style="thin">
          <color theme="7"/>
        </right>
        <top style="thin">
          <color theme="7"/>
        </top>
        <bottom style="thin">
          <color theme="7"/>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s>
  <tableStyles count="6" defaultTableStyle="TableStyleMedium2" defaultPivotStyle="PivotStyleLight16">
    <tableStyle name="E4tech Table Style_1" pivot="0" count="9" xr9:uid="{00000000-0011-0000-FFFF-FFFF00000000}">
      <tableStyleElement type="wholeTable" dxfId="56"/>
      <tableStyleElement type="headerRow" dxfId="55"/>
      <tableStyleElement type="totalRow" dxfId="54"/>
      <tableStyleElement type="firstColumn" dxfId="53"/>
      <tableStyleElement type="lastColumn" dxfId="52"/>
      <tableStyleElement type="firstRowStripe" dxfId="51"/>
      <tableStyleElement type="secondRowStripe" dxfId="50"/>
      <tableStyleElement type="firstColumnStripe" dxfId="49"/>
      <tableStyleElement type="secondColumnStripe" dxfId="48"/>
    </tableStyle>
    <tableStyle name="E4tech Table Style_2" pivot="0" count="9" xr9:uid="{00000000-0011-0000-FFFF-FFFF01000000}">
      <tableStyleElement type="wholeTable" dxfId="47"/>
      <tableStyleElement type="headerRow" dxfId="46"/>
      <tableStyleElement type="totalRow" dxfId="45"/>
      <tableStyleElement type="firstColumn" dxfId="44"/>
      <tableStyleElement type="lastColumn" dxfId="43"/>
      <tableStyleElement type="firstRowStripe" dxfId="42"/>
      <tableStyleElement type="secondRowStripe" dxfId="41"/>
      <tableStyleElement type="firstColumnStripe" dxfId="40"/>
      <tableStyleElement type="secondColumnStripe" dxfId="39"/>
    </tableStyle>
    <tableStyle name="E4tech Table Style_3" pivot="0" count="7" xr9:uid="{00000000-0011-0000-FFFF-FFFF02000000}">
      <tableStyleElement type="wholeTable" dxfId="38"/>
      <tableStyleElement type="headerRow" dxfId="37"/>
      <tableStyleElement type="totalRow" dxfId="36"/>
      <tableStyleElement type="firstColumn" dxfId="35"/>
      <tableStyleElement type="lastColumn" dxfId="34"/>
      <tableStyleElement type="firstRowStripe" dxfId="33"/>
      <tableStyleElement type="firstColumnStripe" dxfId="32"/>
    </tableStyle>
    <tableStyle name="E4tech Table Style_4" pivot="0" count="7" xr9:uid="{00000000-0011-0000-FFFF-FFFF03000000}">
      <tableStyleElement type="wholeTable" dxfId="31"/>
      <tableStyleElement type="headerRow" dxfId="30"/>
      <tableStyleElement type="totalRow" dxfId="29"/>
      <tableStyleElement type="firstColumn" dxfId="28"/>
      <tableStyleElement type="lastColumn" dxfId="27"/>
      <tableStyleElement type="firstRowStripe" dxfId="26"/>
      <tableStyleElement type="firstColumnStripe" dxfId="25"/>
    </tableStyle>
    <tableStyle name="E4tech Table Style_5" pivot="0" count="7" xr9:uid="{00000000-0011-0000-FFFF-FFFF04000000}">
      <tableStyleElement type="wholeTable" dxfId="24"/>
      <tableStyleElement type="headerRow" dxfId="23"/>
      <tableStyleElement type="totalRow" dxfId="22"/>
      <tableStyleElement type="firstColumn" dxfId="21"/>
      <tableStyleElement type="lastColumn" dxfId="20"/>
      <tableStyleElement type="firstRowStripe" dxfId="19"/>
      <tableStyleElement type="firstColumnStripe" dxfId="18"/>
    </tableStyle>
    <tableStyle name="E4tech Table Style_6" pivot="0" count="7" xr9:uid="{00000000-0011-0000-FFFF-FFFF05000000}">
      <tableStyleElement type="wholeTable" dxfId="17"/>
      <tableStyleElement type="headerRow" dxfId="16"/>
      <tableStyleElement type="totalRow" dxfId="15"/>
      <tableStyleElement type="firstColumn" dxfId="14"/>
      <tableStyleElement type="lastColumn" dxfId="13"/>
      <tableStyleElement type="firstRowStripe" dxfId="12"/>
      <tableStyleElement type="firstColumnStripe" dxfId="11"/>
    </tableStyle>
  </tableStyles>
  <colors>
    <mruColors>
      <color rgb="FFC7E8FA"/>
      <color rgb="FFFFDF9F"/>
      <color rgb="FFFF66CC"/>
      <color rgb="FF996633"/>
      <color rgb="FF5B9BD5"/>
      <color rgb="FFCCFF66"/>
      <color rgb="FFFF9900"/>
      <color rgb="FF99CC00"/>
      <color rgb="FFE2B700"/>
      <color rgb="FFEA8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27213</xdr:colOff>
      <xdr:row>0</xdr:row>
      <xdr:rowOff>326572</xdr:rowOff>
    </xdr:from>
    <xdr:to>
      <xdr:col>4</xdr:col>
      <xdr:colOff>65608</xdr:colOff>
      <xdr:row>40</xdr:row>
      <xdr:rowOff>80411</xdr:rowOff>
    </xdr:to>
    <xdr:sp macro="" textlink="">
      <xdr:nvSpPr>
        <xdr:cNvPr id="3" name="Rectangle 1">
          <a:extLst>
            <a:ext uri="{FF2B5EF4-FFF2-40B4-BE49-F238E27FC236}">
              <a16:creationId xmlns:a16="http://schemas.microsoft.com/office/drawing/2014/main" id="{B7EDEF2B-31E4-4C97-8515-C473C602F68D}"/>
            </a:ext>
          </a:extLst>
        </xdr:cNvPr>
        <xdr:cNvSpPr/>
      </xdr:nvSpPr>
      <xdr:spPr>
        <a:xfrm>
          <a:off x="367392" y="326572"/>
          <a:ext cx="18557716" cy="22586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257175</xdr:colOff>
      <xdr:row>2</xdr:row>
      <xdr:rowOff>28575</xdr:rowOff>
    </xdr:from>
    <xdr:to>
      <xdr:col>2</xdr:col>
      <xdr:colOff>1274175</xdr:colOff>
      <xdr:row>7</xdr:row>
      <xdr:rowOff>142875</xdr:rowOff>
    </xdr:to>
    <xdr:pic>
      <xdr:nvPicPr>
        <xdr:cNvPr id="2" name="Picture 1" descr="DESNZ Logo">
          <a:extLst>
            <a:ext uri="{FF2B5EF4-FFF2-40B4-BE49-F238E27FC236}">
              <a16:creationId xmlns:a16="http://schemas.microsoft.com/office/drawing/2014/main" id="{367F0173-4BBD-4E67-F8E3-8E809F6168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 y="409575"/>
          <a:ext cx="1807575" cy="1066800"/>
        </a:xfrm>
        <a:prstGeom prst="rect">
          <a:avLst/>
        </a:prstGeom>
      </xdr:spPr>
    </xdr:pic>
    <xdr:clientData/>
  </xdr:twoCellAnchor>
  <xdr:twoCellAnchor editAs="oneCell">
    <xdr:from>
      <xdr:col>2</xdr:col>
      <xdr:colOff>1384300</xdr:colOff>
      <xdr:row>2</xdr:row>
      <xdr:rowOff>25399</xdr:rowOff>
    </xdr:from>
    <xdr:to>
      <xdr:col>2</xdr:col>
      <xdr:colOff>3284950</xdr:colOff>
      <xdr:row>5</xdr:row>
      <xdr:rowOff>161924</xdr:rowOff>
    </xdr:to>
    <xdr:pic>
      <xdr:nvPicPr>
        <xdr:cNvPr id="5" name="Picture 5">
          <a:extLst>
            <a:ext uri="{FF2B5EF4-FFF2-40B4-BE49-F238E27FC236}">
              <a16:creationId xmlns:a16="http://schemas.microsoft.com/office/drawing/2014/main" id="{C810193F-96F8-41D3-BC78-00F9442D67F9}"/>
            </a:ext>
          </a:extLst>
        </xdr:cNvPr>
        <xdr:cNvPicPr>
          <a:picLocks/>
        </xdr:cNvPicPr>
      </xdr:nvPicPr>
      <xdr:blipFill>
        <a:blip xmlns:r="http://schemas.openxmlformats.org/officeDocument/2006/relationships" r:embed="rId2"/>
        <a:stretch>
          <a:fillRect/>
        </a:stretch>
      </xdr:blipFill>
      <xdr:spPr>
        <a:xfrm>
          <a:off x="2508250" y="406399"/>
          <a:ext cx="1907000" cy="708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1079499</xdr:colOff>
      <xdr:row>13</xdr:row>
      <xdr:rowOff>127000</xdr:rowOff>
    </xdr:from>
    <xdr:to>
      <xdr:col>26</xdr:col>
      <xdr:colOff>140771</xdr:colOff>
      <xdr:row>19</xdr:row>
      <xdr:rowOff>120800</xdr:rowOff>
    </xdr:to>
    <xdr:pic>
      <xdr:nvPicPr>
        <xdr:cNvPr id="4" name="Picture 3">
          <a:extLst>
            <a:ext uri="{FF2B5EF4-FFF2-40B4-BE49-F238E27FC236}">
              <a16:creationId xmlns:a16="http://schemas.microsoft.com/office/drawing/2014/main" id="{F8443970-8181-BC6A-4286-169F486BA6C9}"/>
            </a:ext>
          </a:extLst>
        </xdr:cNvPr>
        <xdr:cNvPicPr>
          <a:picLocks noChangeAspect="1"/>
        </xdr:cNvPicPr>
      </xdr:nvPicPr>
      <xdr:blipFill>
        <a:blip xmlns:r="http://schemas.openxmlformats.org/officeDocument/2006/relationships" r:embed="rId1"/>
        <a:stretch>
          <a:fillRect/>
        </a:stretch>
      </xdr:blipFill>
      <xdr:spPr>
        <a:xfrm>
          <a:off x="1672166" y="2518833"/>
          <a:ext cx="15261180" cy="1076475"/>
        </a:xfrm>
        <a:prstGeom prst="rect">
          <a:avLst/>
        </a:prstGeom>
      </xdr:spPr>
    </xdr:pic>
    <xdr:clientData/>
  </xdr:twoCellAnchor>
  <xdr:twoCellAnchor editAs="oneCell">
    <xdr:from>
      <xdr:col>1</xdr:col>
      <xdr:colOff>0</xdr:colOff>
      <xdr:row>23</xdr:row>
      <xdr:rowOff>0</xdr:rowOff>
    </xdr:from>
    <xdr:to>
      <xdr:col>26</xdr:col>
      <xdr:colOff>76519</xdr:colOff>
      <xdr:row>27</xdr:row>
      <xdr:rowOff>28378</xdr:rowOff>
    </xdr:to>
    <xdr:pic>
      <xdr:nvPicPr>
        <xdr:cNvPr id="11" name="Picture 10">
          <a:extLst>
            <a:ext uri="{FF2B5EF4-FFF2-40B4-BE49-F238E27FC236}">
              <a16:creationId xmlns:a16="http://schemas.microsoft.com/office/drawing/2014/main" id="{468AC844-CCAA-4060-8A81-8D3C6BDDD2DF}"/>
            </a:ext>
          </a:extLst>
        </xdr:cNvPr>
        <xdr:cNvPicPr>
          <a:picLocks noChangeAspect="1"/>
        </xdr:cNvPicPr>
      </xdr:nvPicPr>
      <xdr:blipFill>
        <a:blip xmlns:r="http://schemas.openxmlformats.org/officeDocument/2006/relationships" r:embed="rId2"/>
        <a:stretch>
          <a:fillRect/>
        </a:stretch>
      </xdr:blipFill>
      <xdr:spPr>
        <a:xfrm>
          <a:off x="600075" y="4791075"/>
          <a:ext cx="16383319" cy="758628"/>
        </a:xfrm>
        <a:prstGeom prst="rect">
          <a:avLst/>
        </a:prstGeom>
      </xdr:spPr>
    </xdr:pic>
    <xdr:clientData/>
  </xdr:twoCellAnchor>
  <xdr:twoCellAnchor editAs="oneCell">
    <xdr:from>
      <xdr:col>0</xdr:col>
      <xdr:colOff>564982</xdr:colOff>
      <xdr:row>61</xdr:row>
      <xdr:rowOff>522034</xdr:rowOff>
    </xdr:from>
    <xdr:to>
      <xdr:col>26</xdr:col>
      <xdr:colOff>124420</xdr:colOff>
      <xdr:row>69</xdr:row>
      <xdr:rowOff>142037</xdr:rowOff>
    </xdr:to>
    <xdr:pic>
      <xdr:nvPicPr>
        <xdr:cNvPr id="16" name="Picture 6">
          <a:extLst>
            <a:ext uri="{FF2B5EF4-FFF2-40B4-BE49-F238E27FC236}">
              <a16:creationId xmlns:a16="http://schemas.microsoft.com/office/drawing/2014/main" id="{FD73F60D-92E8-4AD2-8FA3-61542A719E97}"/>
            </a:ext>
          </a:extLst>
        </xdr:cNvPr>
        <xdr:cNvPicPr>
          <a:picLocks noChangeAspect="1"/>
        </xdr:cNvPicPr>
      </xdr:nvPicPr>
      <xdr:blipFill rotWithShape="1">
        <a:blip xmlns:r="http://schemas.openxmlformats.org/officeDocument/2006/relationships" r:embed="rId3"/>
        <a:srcRect b="57222"/>
        <a:stretch/>
      </xdr:blipFill>
      <xdr:spPr>
        <a:xfrm>
          <a:off x="564982" y="13121771"/>
          <a:ext cx="16423534" cy="1461336"/>
        </a:xfrm>
        <a:prstGeom prst="rect">
          <a:avLst/>
        </a:prstGeom>
      </xdr:spPr>
    </xdr:pic>
    <xdr:clientData/>
  </xdr:twoCellAnchor>
  <xdr:twoCellAnchor editAs="oneCell">
    <xdr:from>
      <xdr:col>1</xdr:col>
      <xdr:colOff>1069833</xdr:colOff>
      <xdr:row>30</xdr:row>
      <xdr:rowOff>54928</xdr:rowOff>
    </xdr:from>
    <xdr:to>
      <xdr:col>26</xdr:col>
      <xdr:colOff>113645</xdr:colOff>
      <xdr:row>59</xdr:row>
      <xdr:rowOff>161924</xdr:rowOff>
    </xdr:to>
    <xdr:pic>
      <xdr:nvPicPr>
        <xdr:cNvPr id="3" name="Picture 2">
          <a:extLst>
            <a:ext uri="{FF2B5EF4-FFF2-40B4-BE49-F238E27FC236}">
              <a16:creationId xmlns:a16="http://schemas.microsoft.com/office/drawing/2014/main" id="{713CE0CB-9BD1-821E-2A09-71797ABD0B75}"/>
            </a:ext>
          </a:extLst>
        </xdr:cNvPr>
        <xdr:cNvPicPr>
          <a:picLocks noChangeAspect="1"/>
        </xdr:cNvPicPr>
      </xdr:nvPicPr>
      <xdr:blipFill>
        <a:blip xmlns:r="http://schemas.openxmlformats.org/officeDocument/2006/relationships" r:embed="rId4"/>
        <a:stretch>
          <a:fillRect/>
        </a:stretch>
      </xdr:blipFill>
      <xdr:spPr>
        <a:xfrm>
          <a:off x="1669908" y="6112828"/>
          <a:ext cx="15350612" cy="6142672"/>
        </a:xfrm>
        <a:prstGeom prst="rect">
          <a:avLst/>
        </a:prstGeom>
      </xdr:spPr>
    </xdr:pic>
    <xdr:clientData/>
  </xdr:twoCellAnchor>
  <xdr:twoCellAnchor editAs="oneCell">
    <xdr:from>
      <xdr:col>1</xdr:col>
      <xdr:colOff>1132672</xdr:colOff>
      <xdr:row>71</xdr:row>
      <xdr:rowOff>76675</xdr:rowOff>
    </xdr:from>
    <xdr:to>
      <xdr:col>26</xdr:col>
      <xdr:colOff>149225</xdr:colOff>
      <xdr:row>83</xdr:row>
      <xdr:rowOff>76063</xdr:rowOff>
    </xdr:to>
    <xdr:pic>
      <xdr:nvPicPr>
        <xdr:cNvPr id="5" name="Picture 4">
          <a:extLst>
            <a:ext uri="{FF2B5EF4-FFF2-40B4-BE49-F238E27FC236}">
              <a16:creationId xmlns:a16="http://schemas.microsoft.com/office/drawing/2014/main" id="{0B8D77C0-43C5-BA34-C048-40DD13478D04}"/>
            </a:ext>
          </a:extLst>
        </xdr:cNvPr>
        <xdr:cNvPicPr>
          <a:picLocks noChangeAspect="1"/>
        </xdr:cNvPicPr>
      </xdr:nvPicPr>
      <xdr:blipFill>
        <a:blip xmlns:r="http://schemas.openxmlformats.org/officeDocument/2006/relationships" r:embed="rId5"/>
        <a:stretch>
          <a:fillRect/>
        </a:stretch>
      </xdr:blipFill>
      <xdr:spPr>
        <a:xfrm>
          <a:off x="1732747" y="14926150"/>
          <a:ext cx="15323353" cy="21710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189757</xdr:colOff>
      <xdr:row>44</xdr:row>
      <xdr:rowOff>98123</xdr:rowOff>
    </xdr:from>
    <xdr:to>
      <xdr:col>28</xdr:col>
      <xdr:colOff>85725</xdr:colOff>
      <xdr:row>73</xdr:row>
      <xdr:rowOff>7424</xdr:rowOff>
    </xdr:to>
    <xdr:pic>
      <xdr:nvPicPr>
        <xdr:cNvPr id="15" name="Picture 14">
          <a:extLst>
            <a:ext uri="{FF2B5EF4-FFF2-40B4-BE49-F238E27FC236}">
              <a16:creationId xmlns:a16="http://schemas.microsoft.com/office/drawing/2014/main" id="{D6719E31-7369-E70E-4256-9FD6882FEA29}"/>
            </a:ext>
          </a:extLst>
        </xdr:cNvPr>
        <xdr:cNvPicPr>
          <a:picLocks noChangeAspect="1"/>
        </xdr:cNvPicPr>
      </xdr:nvPicPr>
      <xdr:blipFill rotWithShape="1">
        <a:blip xmlns:r="http://schemas.openxmlformats.org/officeDocument/2006/relationships" r:embed="rId1"/>
        <a:srcRect t="689" b="-1"/>
        <a:stretch/>
      </xdr:blipFill>
      <xdr:spPr>
        <a:xfrm>
          <a:off x="799357" y="9623123"/>
          <a:ext cx="16351993" cy="5160751"/>
        </a:xfrm>
        <a:prstGeom prst="rect">
          <a:avLst/>
        </a:prstGeom>
      </xdr:spPr>
    </xdr:pic>
    <xdr:clientData/>
  </xdr:twoCellAnchor>
  <xdr:twoCellAnchor editAs="oneCell">
    <xdr:from>
      <xdr:col>0</xdr:col>
      <xdr:colOff>592990</xdr:colOff>
      <xdr:row>122</xdr:row>
      <xdr:rowOff>73402</xdr:rowOff>
    </xdr:from>
    <xdr:to>
      <xdr:col>26</xdr:col>
      <xdr:colOff>112392</xdr:colOff>
      <xdr:row>136</xdr:row>
      <xdr:rowOff>63501</xdr:rowOff>
    </xdr:to>
    <xdr:pic>
      <xdr:nvPicPr>
        <xdr:cNvPr id="11" name="Picture 10">
          <a:extLst>
            <a:ext uri="{FF2B5EF4-FFF2-40B4-BE49-F238E27FC236}">
              <a16:creationId xmlns:a16="http://schemas.microsoft.com/office/drawing/2014/main" id="{3D9EDE1A-3161-D1EB-5065-A6CFB75185CC}"/>
            </a:ext>
          </a:extLst>
        </xdr:cNvPr>
        <xdr:cNvPicPr>
          <a:picLocks noChangeAspect="1"/>
        </xdr:cNvPicPr>
      </xdr:nvPicPr>
      <xdr:blipFill>
        <a:blip xmlns:r="http://schemas.openxmlformats.org/officeDocument/2006/relationships" r:embed="rId2"/>
        <a:stretch>
          <a:fillRect/>
        </a:stretch>
      </xdr:blipFill>
      <xdr:spPr>
        <a:xfrm>
          <a:off x="592990" y="24009727"/>
          <a:ext cx="15369002" cy="2526924"/>
        </a:xfrm>
        <a:prstGeom prst="rect">
          <a:avLst/>
        </a:prstGeom>
      </xdr:spPr>
    </xdr:pic>
    <xdr:clientData/>
  </xdr:twoCellAnchor>
  <xdr:twoCellAnchor editAs="oneCell">
    <xdr:from>
      <xdr:col>1</xdr:col>
      <xdr:colOff>57150</xdr:colOff>
      <xdr:row>101</xdr:row>
      <xdr:rowOff>104775</xdr:rowOff>
    </xdr:from>
    <xdr:to>
      <xdr:col>26</xdr:col>
      <xdr:colOff>102864</xdr:colOff>
      <xdr:row>117</xdr:row>
      <xdr:rowOff>28223</xdr:rowOff>
    </xdr:to>
    <xdr:pic>
      <xdr:nvPicPr>
        <xdr:cNvPr id="459" name="Picture 458">
          <a:extLst>
            <a:ext uri="{FF2B5EF4-FFF2-40B4-BE49-F238E27FC236}">
              <a16:creationId xmlns:a16="http://schemas.microsoft.com/office/drawing/2014/main" id="{28E4A162-3F84-9842-9A33-EEC365D881C0}"/>
            </a:ext>
          </a:extLst>
        </xdr:cNvPr>
        <xdr:cNvPicPr>
          <a:picLocks noChangeAspect="1"/>
        </xdr:cNvPicPr>
      </xdr:nvPicPr>
      <xdr:blipFill>
        <a:blip xmlns:r="http://schemas.openxmlformats.org/officeDocument/2006/relationships" r:embed="rId3"/>
        <a:stretch>
          <a:fillRect/>
        </a:stretch>
      </xdr:blipFill>
      <xdr:spPr>
        <a:xfrm>
          <a:off x="666750" y="20193000"/>
          <a:ext cx="15288889" cy="2822223"/>
        </a:xfrm>
        <a:prstGeom prst="rect">
          <a:avLst/>
        </a:prstGeom>
      </xdr:spPr>
    </xdr:pic>
    <xdr:clientData/>
  </xdr:twoCellAnchor>
  <xdr:twoCellAnchor editAs="oneCell">
    <xdr:from>
      <xdr:col>0</xdr:col>
      <xdr:colOff>600075</xdr:colOff>
      <xdr:row>133</xdr:row>
      <xdr:rowOff>161925</xdr:rowOff>
    </xdr:from>
    <xdr:to>
      <xdr:col>8</xdr:col>
      <xdr:colOff>76424</xdr:colOff>
      <xdr:row>141</xdr:row>
      <xdr:rowOff>130248</xdr:rowOff>
    </xdr:to>
    <xdr:pic>
      <xdr:nvPicPr>
        <xdr:cNvPr id="449" name="Picture 448">
          <a:extLst>
            <a:ext uri="{FF2B5EF4-FFF2-40B4-BE49-F238E27FC236}">
              <a16:creationId xmlns:a16="http://schemas.microsoft.com/office/drawing/2014/main" id="{98FF0FDE-46DA-637E-A18B-56E2AA610BBD}"/>
            </a:ext>
          </a:extLst>
        </xdr:cNvPr>
        <xdr:cNvPicPr>
          <a:picLocks noChangeAspect="1"/>
        </xdr:cNvPicPr>
      </xdr:nvPicPr>
      <xdr:blipFill>
        <a:blip xmlns:r="http://schemas.openxmlformats.org/officeDocument/2006/relationships" r:embed="rId4"/>
        <a:stretch>
          <a:fillRect/>
        </a:stretch>
      </xdr:blipFill>
      <xdr:spPr>
        <a:xfrm>
          <a:off x="600075" y="26088975"/>
          <a:ext cx="4353149" cy="1416123"/>
        </a:xfrm>
        <a:prstGeom prst="rect">
          <a:avLst/>
        </a:prstGeom>
      </xdr:spPr>
    </xdr:pic>
    <xdr:clientData/>
  </xdr:twoCellAnchor>
  <xdr:twoCellAnchor>
    <xdr:from>
      <xdr:col>1</xdr:col>
      <xdr:colOff>420380</xdr:colOff>
      <xdr:row>133</xdr:row>
      <xdr:rowOff>58092</xdr:rowOff>
    </xdr:from>
    <xdr:to>
      <xdr:col>24</xdr:col>
      <xdr:colOff>373460</xdr:colOff>
      <xdr:row>144</xdr:row>
      <xdr:rowOff>105826</xdr:rowOff>
    </xdr:to>
    <xdr:grpSp>
      <xdr:nvGrpSpPr>
        <xdr:cNvPr id="26" name="Group 25">
          <a:extLst>
            <a:ext uri="{FF2B5EF4-FFF2-40B4-BE49-F238E27FC236}">
              <a16:creationId xmlns:a16="http://schemas.microsoft.com/office/drawing/2014/main" id="{B39A01A0-820B-423C-B065-FC87A78AB698}"/>
            </a:ext>
          </a:extLst>
        </xdr:cNvPr>
        <xdr:cNvGrpSpPr/>
      </xdr:nvGrpSpPr>
      <xdr:grpSpPr>
        <a:xfrm>
          <a:off x="1029980" y="25766067"/>
          <a:ext cx="13973880" cy="2038459"/>
          <a:chOff x="1183580" y="19485727"/>
          <a:chExt cx="13816214" cy="1942259"/>
        </a:xfrm>
      </xdr:grpSpPr>
      <xdr:sp macro="" textlink="">
        <xdr:nvSpPr>
          <xdr:cNvPr id="634" name="TextBox 82">
            <a:extLst>
              <a:ext uri="{FF2B5EF4-FFF2-40B4-BE49-F238E27FC236}">
                <a16:creationId xmlns:a16="http://schemas.microsoft.com/office/drawing/2014/main" id="{7B9787A2-993A-4976-BB8F-80C45774F216}"/>
              </a:ext>
            </a:extLst>
          </xdr:cNvPr>
          <xdr:cNvSpPr txBox="1"/>
        </xdr:nvSpPr>
        <xdr:spPr>
          <a:xfrm>
            <a:off x="1183580" y="20889528"/>
            <a:ext cx="3407879" cy="5384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Other characteristics of the process that are not necessarily inputs or outputs </a:t>
            </a:r>
            <a:r>
              <a:rPr lang="en-GB" sz="1100" baseline="0"/>
              <a:t>should be provided here. </a:t>
            </a:r>
            <a:endParaRPr lang="en-GB" sz="1100"/>
          </a:p>
        </xdr:txBody>
      </xdr:sp>
      <xdr:cxnSp macro="">
        <xdr:nvCxnSpPr>
          <xdr:cNvPr id="791" name="Straight Arrow Connector 83">
            <a:extLst>
              <a:ext uri="{FF2B5EF4-FFF2-40B4-BE49-F238E27FC236}">
                <a16:creationId xmlns:a16="http://schemas.microsoft.com/office/drawing/2014/main" id="{AA3C0775-1138-4EE0-A183-0699967DF0F9}"/>
              </a:ext>
            </a:extLst>
          </xdr:cNvPr>
          <xdr:cNvCxnSpPr>
            <a:stCxn id="634" idx="0"/>
          </xdr:cNvCxnSpPr>
        </xdr:nvCxnSpPr>
        <xdr:spPr>
          <a:xfrm flipV="1">
            <a:off x="2887520" y="20156395"/>
            <a:ext cx="497996" cy="7331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6" name="TextBox 86">
            <a:extLst>
              <a:ext uri="{FF2B5EF4-FFF2-40B4-BE49-F238E27FC236}">
                <a16:creationId xmlns:a16="http://schemas.microsoft.com/office/drawing/2014/main" id="{320F206C-2550-411F-ABD7-307FBE157B76}"/>
              </a:ext>
            </a:extLst>
          </xdr:cNvPr>
          <xdr:cNvSpPr txBox="1"/>
        </xdr:nvSpPr>
        <xdr:spPr>
          <a:xfrm>
            <a:off x="11764282" y="20542703"/>
            <a:ext cx="3235512" cy="6504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total is calculated at the bottom of each processing worksheet and is linked to the relevant</a:t>
            </a:r>
            <a:r>
              <a:rPr lang="en-GB" sz="1100" baseline="0"/>
              <a:t> Sum</a:t>
            </a:r>
            <a:r>
              <a:rPr lang="en-GB" sz="1100"/>
              <a:t>mary worksheet to provide the result.</a:t>
            </a:r>
          </a:p>
        </xdr:txBody>
      </xdr:sp>
      <xdr:sp macro="" textlink="">
        <xdr:nvSpPr>
          <xdr:cNvPr id="799" name="Rectangle 92">
            <a:extLst>
              <a:ext uri="{FF2B5EF4-FFF2-40B4-BE49-F238E27FC236}">
                <a16:creationId xmlns:a16="http://schemas.microsoft.com/office/drawing/2014/main" id="{A76ADB7C-9270-4F8F-AD9D-CCB31706C4D7}"/>
              </a:ext>
            </a:extLst>
          </xdr:cNvPr>
          <xdr:cNvSpPr/>
        </xdr:nvSpPr>
        <xdr:spPr>
          <a:xfrm>
            <a:off x="12125485" y="19485727"/>
            <a:ext cx="2608666" cy="58900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794" name="Straight Arrow Connector 88">
            <a:extLst>
              <a:ext uri="{FF2B5EF4-FFF2-40B4-BE49-F238E27FC236}">
                <a16:creationId xmlns:a16="http://schemas.microsoft.com/office/drawing/2014/main" id="{C12A26EC-85FF-45A0-BAA5-208C78741890}"/>
              </a:ext>
            </a:extLst>
          </xdr:cNvPr>
          <xdr:cNvCxnSpPr>
            <a:stCxn id="796" idx="0"/>
          </xdr:cNvCxnSpPr>
        </xdr:nvCxnSpPr>
        <xdr:spPr>
          <a:xfrm flipV="1">
            <a:off x="13382039" y="20093835"/>
            <a:ext cx="347277" cy="4488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257175</xdr:colOff>
      <xdr:row>141</xdr:row>
      <xdr:rowOff>38100</xdr:rowOff>
    </xdr:from>
    <xdr:to>
      <xdr:col>14</xdr:col>
      <xdr:colOff>95250</xdr:colOff>
      <xdr:row>145</xdr:row>
      <xdr:rowOff>133350</xdr:rowOff>
    </xdr:to>
    <xdr:sp macro="" textlink="">
      <xdr:nvSpPr>
        <xdr:cNvPr id="80" name="TextBox 7">
          <a:extLst>
            <a:ext uri="{FF2B5EF4-FFF2-40B4-BE49-F238E27FC236}">
              <a16:creationId xmlns:a16="http://schemas.microsoft.com/office/drawing/2014/main" id="{51A0F5C6-24F7-41A3-A6E1-EB7699041926}"/>
            </a:ext>
          </a:extLst>
        </xdr:cNvPr>
        <xdr:cNvSpPr txBox="1"/>
      </xdr:nvSpPr>
      <xdr:spPr>
        <a:xfrm>
          <a:off x="5133975" y="23650575"/>
          <a:ext cx="3495675" cy="8191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 </a:t>
          </a:r>
          <a:r>
            <a:rPr lang="en-GB" sz="1100" baseline="0">
              <a:solidFill>
                <a:schemeClr val="dk1"/>
              </a:solidFill>
              <a:effectLst/>
              <a:latin typeface="+mn-lt"/>
              <a:ea typeface="+mn-ea"/>
              <a:cs typeface="+mn-cs"/>
            </a:rPr>
            <a:t>The capture rate is used to calculate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captured in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sequestration category.</a:t>
          </a:r>
          <a:endParaRPr lang="en-GB" sz="1100"/>
        </a:p>
      </xdr:txBody>
    </xdr:sp>
    <xdr:clientData/>
  </xdr:twoCellAnchor>
  <xdr:twoCellAnchor>
    <xdr:from>
      <xdr:col>1</xdr:col>
      <xdr:colOff>0</xdr:colOff>
      <xdr:row>97</xdr:row>
      <xdr:rowOff>3173</xdr:rowOff>
    </xdr:from>
    <xdr:to>
      <xdr:col>29</xdr:col>
      <xdr:colOff>230538</xdr:colOff>
      <xdr:row>121</xdr:row>
      <xdr:rowOff>105706</xdr:rowOff>
    </xdr:to>
    <xdr:grpSp>
      <xdr:nvGrpSpPr>
        <xdr:cNvPr id="458" name="Group 457">
          <a:extLst>
            <a:ext uri="{FF2B5EF4-FFF2-40B4-BE49-F238E27FC236}">
              <a16:creationId xmlns:a16="http://schemas.microsoft.com/office/drawing/2014/main" id="{51E063BD-EF9E-4878-A041-D4AE22231D62}"/>
            </a:ext>
          </a:extLst>
        </xdr:cNvPr>
        <xdr:cNvGrpSpPr/>
      </xdr:nvGrpSpPr>
      <xdr:grpSpPr>
        <a:xfrm>
          <a:off x="609600" y="19157948"/>
          <a:ext cx="17299338" cy="4474508"/>
          <a:chOff x="612321" y="14954250"/>
          <a:chExt cx="17372489" cy="4388573"/>
        </a:xfrm>
      </xdr:grpSpPr>
      <xdr:pic>
        <xdr:nvPicPr>
          <xdr:cNvPr id="69" name="Picture 68">
            <a:extLst>
              <a:ext uri="{FF2B5EF4-FFF2-40B4-BE49-F238E27FC236}">
                <a16:creationId xmlns:a16="http://schemas.microsoft.com/office/drawing/2014/main" id="{76C9D9E8-5F0C-4BB2-B83D-75BF9819B872}"/>
              </a:ext>
            </a:extLst>
          </xdr:cNvPr>
          <xdr:cNvPicPr>
            <a:picLocks noChangeAspect="1"/>
          </xdr:cNvPicPr>
        </xdr:nvPicPr>
        <xdr:blipFill rotWithShape="1">
          <a:blip xmlns:r="http://schemas.openxmlformats.org/officeDocument/2006/relationships" r:embed="rId5"/>
          <a:srcRect t="14298" b="50239"/>
          <a:stretch/>
        </xdr:blipFill>
        <xdr:spPr>
          <a:xfrm>
            <a:off x="612321" y="14954250"/>
            <a:ext cx="17372489" cy="877524"/>
          </a:xfrm>
          <a:prstGeom prst="rect">
            <a:avLst/>
          </a:prstGeom>
        </xdr:spPr>
      </xdr:pic>
      <xdr:grpSp>
        <xdr:nvGrpSpPr>
          <xdr:cNvPr id="25" name="Group 24">
            <a:extLst>
              <a:ext uri="{FF2B5EF4-FFF2-40B4-BE49-F238E27FC236}">
                <a16:creationId xmlns:a16="http://schemas.microsoft.com/office/drawing/2014/main" id="{54F9296A-171C-48E2-B9DA-E8F1EE187C30}"/>
              </a:ext>
            </a:extLst>
          </xdr:cNvPr>
          <xdr:cNvGrpSpPr/>
        </xdr:nvGrpSpPr>
        <xdr:grpSpPr>
          <a:xfrm>
            <a:off x="8656817" y="16191000"/>
            <a:ext cx="6733123" cy="3151823"/>
            <a:chOff x="8623867" y="15189046"/>
            <a:chExt cx="6627837" cy="3969787"/>
          </a:xfrm>
        </xdr:grpSpPr>
        <xdr:sp macro="" textlink="">
          <xdr:nvSpPr>
            <xdr:cNvPr id="802" name="TextBox 75">
              <a:extLst>
                <a:ext uri="{FF2B5EF4-FFF2-40B4-BE49-F238E27FC236}">
                  <a16:creationId xmlns:a16="http://schemas.microsoft.com/office/drawing/2014/main" id="{C6F02EC7-9F47-42ED-9DEB-79132723F0C0}"/>
                </a:ext>
              </a:extLst>
            </xdr:cNvPr>
            <xdr:cNvSpPr txBox="1"/>
          </xdr:nvSpPr>
          <xdr:spPr>
            <a:xfrm>
              <a:off x="11786019" y="18283834"/>
              <a:ext cx="3465685" cy="677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emissions factor for sequestered</a:t>
              </a:r>
              <a:r>
                <a:rPr lang="en-GB" sz="1100" baseline="0"/>
                <a:t> CO</a:t>
              </a:r>
              <a:r>
                <a:rPr lang="en-GB" sz="1100" baseline="-25000"/>
                <a:t>2</a:t>
              </a:r>
              <a:r>
                <a:rPr lang="en-GB" sz="1100" baseline="0"/>
                <a:t> will be negative to result in an emissions credit for this category.</a:t>
              </a:r>
              <a:endParaRPr lang="en-GB" sz="1100"/>
            </a:p>
          </xdr:txBody>
        </xdr:sp>
        <xdr:cxnSp macro="">
          <xdr:nvCxnSpPr>
            <xdr:cNvPr id="482" name="Straight Arrow Connector 80">
              <a:extLst>
                <a:ext uri="{FF2B5EF4-FFF2-40B4-BE49-F238E27FC236}">
                  <a16:creationId xmlns:a16="http://schemas.microsoft.com/office/drawing/2014/main" id="{9B9B0303-6B67-43AE-B252-798FA47405D3}"/>
                </a:ext>
              </a:extLst>
            </xdr:cNvPr>
            <xdr:cNvCxnSpPr>
              <a:stCxn id="802" idx="0"/>
            </xdr:cNvCxnSpPr>
          </xdr:nvCxnSpPr>
          <xdr:spPr>
            <a:xfrm flipH="1" flipV="1">
              <a:off x="13049153" y="17595956"/>
              <a:ext cx="469709" cy="6878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0" name="TextBox 75">
              <a:extLst>
                <a:ext uri="{FF2B5EF4-FFF2-40B4-BE49-F238E27FC236}">
                  <a16:creationId xmlns:a16="http://schemas.microsoft.com/office/drawing/2014/main" id="{08756D53-79C4-49D2-88F0-5E53957C88B1}"/>
                </a:ext>
              </a:extLst>
            </xdr:cNvPr>
            <xdr:cNvSpPr txBox="1"/>
          </xdr:nvSpPr>
          <xdr:spPr>
            <a:xfrm>
              <a:off x="8623867" y="18372128"/>
              <a:ext cx="2528233" cy="7867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CO</a:t>
              </a:r>
              <a:r>
                <a:rPr lang="en-GB" sz="1100" baseline="-25000"/>
                <a:t>2</a:t>
              </a:r>
              <a:r>
                <a:rPr lang="en-GB" sz="1100"/>
                <a:t> generated will have a</a:t>
              </a:r>
              <a:r>
                <a:rPr lang="en-GB" sz="1100" baseline="0"/>
                <a:t> GHG intensity of</a:t>
              </a:r>
              <a:r>
                <a:rPr lang="en-GB" sz="1100"/>
                <a:t> 0</a:t>
              </a:r>
              <a:r>
                <a:rPr lang="en-GB" sz="1100" baseline="0"/>
                <a:t> gCO</a:t>
              </a:r>
              <a:r>
                <a:rPr lang="en-GB" sz="1100" baseline="-25000"/>
                <a:t>2</a:t>
              </a:r>
              <a:r>
                <a:rPr lang="en-GB" sz="1100" baseline="0"/>
                <a:t>/kg for biogenic, and 1,000 gCO</a:t>
              </a:r>
              <a:r>
                <a:rPr lang="en-GB" sz="1100" baseline="-25000"/>
                <a:t>2</a:t>
              </a:r>
              <a:r>
                <a:rPr lang="en-GB" sz="1100" baseline="0"/>
                <a:t>/kg for fossil.</a:t>
              </a:r>
              <a:endParaRPr lang="en-GB" sz="1100"/>
            </a:p>
          </xdr:txBody>
        </xdr:sp>
        <xdr:cxnSp macro="">
          <xdr:nvCxnSpPr>
            <xdr:cNvPr id="41" name="Straight Arrow Connector 80">
              <a:extLst>
                <a:ext uri="{FF2B5EF4-FFF2-40B4-BE49-F238E27FC236}">
                  <a16:creationId xmlns:a16="http://schemas.microsoft.com/office/drawing/2014/main" id="{8704DA61-4D3A-4A32-AFE8-01E8EDA8A8D6}"/>
                </a:ext>
              </a:extLst>
            </xdr:cNvPr>
            <xdr:cNvCxnSpPr>
              <a:stCxn id="40" idx="0"/>
            </xdr:cNvCxnSpPr>
          </xdr:nvCxnSpPr>
          <xdr:spPr>
            <a:xfrm flipV="1">
              <a:off x="9887983" y="15189046"/>
              <a:ext cx="2728045" cy="318308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304800</xdr:colOff>
      <xdr:row>139</xdr:row>
      <xdr:rowOff>85725</xdr:rowOff>
    </xdr:from>
    <xdr:to>
      <xdr:col>11</xdr:col>
      <xdr:colOff>174625</xdr:colOff>
      <xdr:row>141</xdr:row>
      <xdr:rowOff>38100</xdr:rowOff>
    </xdr:to>
    <xdr:cxnSp macro="">
      <xdr:nvCxnSpPr>
        <xdr:cNvPr id="81" name="Straight Arrow Connector 88">
          <a:extLst>
            <a:ext uri="{FF2B5EF4-FFF2-40B4-BE49-F238E27FC236}">
              <a16:creationId xmlns:a16="http://schemas.microsoft.com/office/drawing/2014/main" id="{311D39B3-3E54-45C1-BF6E-247178DDE866}"/>
            </a:ext>
          </a:extLst>
        </xdr:cNvPr>
        <xdr:cNvCxnSpPr>
          <a:stCxn id="80" idx="0"/>
        </xdr:cNvCxnSpPr>
      </xdr:nvCxnSpPr>
      <xdr:spPr>
        <a:xfrm flipH="1" flipV="1">
          <a:off x="4572000" y="27098625"/>
          <a:ext cx="2308225" cy="3143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12</xdr:row>
      <xdr:rowOff>0</xdr:rowOff>
    </xdr:from>
    <xdr:to>
      <xdr:col>27</xdr:col>
      <xdr:colOff>321011</xdr:colOff>
      <xdr:row>35</xdr:row>
      <xdr:rowOff>105293</xdr:rowOff>
    </xdr:to>
    <xdr:grpSp>
      <xdr:nvGrpSpPr>
        <xdr:cNvPr id="44" name="Group 43">
          <a:extLst>
            <a:ext uri="{FF2B5EF4-FFF2-40B4-BE49-F238E27FC236}">
              <a16:creationId xmlns:a16="http://schemas.microsoft.com/office/drawing/2014/main" id="{9FFE6D1B-D200-1B84-CDD2-4F89A9407770}"/>
            </a:ext>
          </a:extLst>
        </xdr:cNvPr>
        <xdr:cNvGrpSpPr/>
      </xdr:nvGrpSpPr>
      <xdr:grpSpPr>
        <a:xfrm>
          <a:off x="609600" y="2409825"/>
          <a:ext cx="16170611" cy="4267718"/>
          <a:chOff x="609600" y="2428875"/>
          <a:chExt cx="16170611" cy="4267718"/>
        </a:xfrm>
      </xdr:grpSpPr>
      <xdr:grpSp>
        <xdr:nvGrpSpPr>
          <xdr:cNvPr id="2" name="Group 1">
            <a:extLst>
              <a:ext uri="{FF2B5EF4-FFF2-40B4-BE49-F238E27FC236}">
                <a16:creationId xmlns:a16="http://schemas.microsoft.com/office/drawing/2014/main" id="{5F7E2EB4-1735-4B01-B3A1-7EFE28C1032B}"/>
              </a:ext>
            </a:extLst>
          </xdr:cNvPr>
          <xdr:cNvGrpSpPr/>
        </xdr:nvGrpSpPr>
        <xdr:grpSpPr>
          <a:xfrm>
            <a:off x="609600" y="2428875"/>
            <a:ext cx="16170611" cy="4264543"/>
            <a:chOff x="729456" y="2519570"/>
            <a:chExt cx="16159045" cy="4199625"/>
          </a:xfrm>
        </xdr:grpSpPr>
        <xdr:pic>
          <xdr:nvPicPr>
            <xdr:cNvPr id="7" name="Picture 33">
              <a:extLst>
                <a:ext uri="{FF2B5EF4-FFF2-40B4-BE49-F238E27FC236}">
                  <a16:creationId xmlns:a16="http://schemas.microsoft.com/office/drawing/2014/main" id="{6A152DB2-E135-4A77-BE81-D2621ABD41C2}"/>
                </a:ext>
              </a:extLst>
            </xdr:cNvPr>
            <xdr:cNvPicPr>
              <a:picLocks noChangeAspect="1"/>
            </xdr:cNvPicPr>
          </xdr:nvPicPr>
          <xdr:blipFill>
            <a:blip xmlns:r="http://schemas.openxmlformats.org/officeDocument/2006/relationships" r:embed="rId6"/>
            <a:stretch>
              <a:fillRect/>
            </a:stretch>
          </xdr:blipFill>
          <xdr:spPr>
            <a:xfrm>
              <a:off x="729456" y="3140075"/>
              <a:ext cx="16159045" cy="2453042"/>
            </a:xfrm>
            <a:prstGeom prst="rect">
              <a:avLst/>
            </a:prstGeom>
          </xdr:spPr>
        </xdr:pic>
        <xdr:grpSp>
          <xdr:nvGrpSpPr>
            <xdr:cNvPr id="8" name="Group 7">
              <a:extLst>
                <a:ext uri="{FF2B5EF4-FFF2-40B4-BE49-F238E27FC236}">
                  <a16:creationId xmlns:a16="http://schemas.microsoft.com/office/drawing/2014/main" id="{E93590D6-A318-9F4C-6CA6-66C90F096A08}"/>
                </a:ext>
              </a:extLst>
            </xdr:cNvPr>
            <xdr:cNvGrpSpPr/>
          </xdr:nvGrpSpPr>
          <xdr:grpSpPr>
            <a:xfrm>
              <a:off x="2526027" y="2519570"/>
              <a:ext cx="13876460" cy="4199625"/>
              <a:chOff x="2366704" y="1322784"/>
              <a:chExt cx="13779816" cy="3700250"/>
            </a:xfrm>
          </xdr:grpSpPr>
          <xdr:grpSp>
            <xdr:nvGrpSpPr>
              <xdr:cNvPr id="9" name="Group 8">
                <a:extLst>
                  <a:ext uri="{FF2B5EF4-FFF2-40B4-BE49-F238E27FC236}">
                    <a16:creationId xmlns:a16="http://schemas.microsoft.com/office/drawing/2014/main" id="{E2691CCE-AB7D-D571-C066-D693AB799910}"/>
                  </a:ext>
                </a:extLst>
              </xdr:cNvPr>
              <xdr:cNvGrpSpPr/>
            </xdr:nvGrpSpPr>
            <xdr:grpSpPr>
              <a:xfrm>
                <a:off x="2366704" y="1322784"/>
                <a:ext cx="13779816" cy="3700250"/>
                <a:chOff x="2309889" y="992980"/>
                <a:chExt cx="13782532" cy="3693798"/>
              </a:xfrm>
            </xdr:grpSpPr>
            <xdr:cxnSp macro="">
              <xdr:nvCxnSpPr>
                <xdr:cNvPr id="20" name="Straight Arrow Connector 19">
                  <a:extLst>
                    <a:ext uri="{FF2B5EF4-FFF2-40B4-BE49-F238E27FC236}">
                      <a16:creationId xmlns:a16="http://schemas.microsoft.com/office/drawing/2014/main" id="{261AF9C9-1906-5139-55BF-AAD1D6C5D257}"/>
                    </a:ext>
                  </a:extLst>
                </xdr:cNvPr>
                <xdr:cNvCxnSpPr>
                  <a:cxnSpLocks/>
                  <a:stCxn id="21" idx="1"/>
                </xdr:cNvCxnSpPr>
              </xdr:nvCxnSpPr>
              <xdr:spPr>
                <a:xfrm flipH="1">
                  <a:off x="9176789" y="1226865"/>
                  <a:ext cx="947013" cy="3116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TextBox 20">
                  <a:extLst>
                    <a:ext uri="{FF2B5EF4-FFF2-40B4-BE49-F238E27FC236}">
                      <a16:creationId xmlns:a16="http://schemas.microsoft.com/office/drawing/2014/main" id="{789E0766-81C7-6801-8B4B-369A9A8B8493}"/>
                    </a:ext>
                  </a:extLst>
                </xdr:cNvPr>
                <xdr:cNvSpPr txBox="1"/>
              </xdr:nvSpPr>
              <xdr:spPr>
                <a:xfrm>
                  <a:off x="10123802" y="992980"/>
                  <a:ext cx="3017851" cy="4677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Links back to the Summary worksheet for</a:t>
                  </a:r>
                  <a:r>
                    <a:rPr lang="en-GB" sz="1100" baseline="0"/>
                    <a:t> this pathway to view the summary GHG result.</a:t>
                  </a:r>
                  <a:endParaRPr lang="en-GB" sz="1100"/>
                </a:p>
              </xdr:txBody>
            </xdr:sp>
            <xdr:sp macro="" textlink="">
              <xdr:nvSpPr>
                <xdr:cNvPr id="22" name="TextBox 21">
                  <a:extLst>
                    <a:ext uri="{FF2B5EF4-FFF2-40B4-BE49-F238E27FC236}">
                      <a16:creationId xmlns:a16="http://schemas.microsoft.com/office/drawing/2014/main" id="{D96B42FD-8AB9-87BD-F68E-817DAF1FC2C1}"/>
                    </a:ext>
                  </a:extLst>
                </xdr:cNvPr>
                <xdr:cNvSpPr txBox="1"/>
              </xdr:nvSpPr>
              <xdr:spPr>
                <a:xfrm>
                  <a:off x="8753178" y="4265876"/>
                  <a:ext cx="3125220" cy="420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here based on the electricity inputs and main product output.</a:t>
                  </a:r>
                  <a:endParaRPr lang="en-GB" sz="1100"/>
                </a:p>
              </xdr:txBody>
            </xdr:sp>
            <xdr:sp macro="" textlink="">
              <xdr:nvSpPr>
                <xdr:cNvPr id="27" name="TextBox 26">
                  <a:extLst>
                    <a:ext uri="{FF2B5EF4-FFF2-40B4-BE49-F238E27FC236}">
                      <a16:creationId xmlns:a16="http://schemas.microsoft.com/office/drawing/2014/main" id="{30759A25-F5A1-4617-03DC-A3AFE2397716}"/>
                    </a:ext>
                  </a:extLst>
                </xdr:cNvPr>
                <xdr:cNvSpPr txBox="1"/>
              </xdr:nvSpPr>
              <xdr:spPr>
                <a:xfrm>
                  <a:off x="12278117" y="4120941"/>
                  <a:ext cx="3814304" cy="414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allocation factor is calculated here based on the lower heating content of all products and co-products.</a:t>
                  </a:r>
                  <a:endParaRPr lang="en-GB" sz="1100"/>
                </a:p>
              </xdr:txBody>
            </xdr:sp>
            <xdr:cxnSp macro="">
              <xdr:nvCxnSpPr>
                <xdr:cNvPr id="34" name="Straight Arrow Connector 33">
                  <a:extLst>
                    <a:ext uri="{FF2B5EF4-FFF2-40B4-BE49-F238E27FC236}">
                      <a16:creationId xmlns:a16="http://schemas.microsoft.com/office/drawing/2014/main" id="{BF2E865A-092B-5E86-3FB7-361F373C2D92}"/>
                    </a:ext>
                  </a:extLst>
                </xdr:cNvPr>
                <xdr:cNvCxnSpPr>
                  <a:stCxn id="22" idx="0"/>
                </xdr:cNvCxnSpPr>
              </xdr:nvCxnSpPr>
              <xdr:spPr>
                <a:xfrm flipV="1">
                  <a:off x="10315788" y="2913398"/>
                  <a:ext cx="341126" cy="13524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5" name="Straight Arrow Connector 34">
                  <a:extLst>
                    <a:ext uri="{FF2B5EF4-FFF2-40B4-BE49-F238E27FC236}">
                      <a16:creationId xmlns:a16="http://schemas.microsoft.com/office/drawing/2014/main" id="{183027D0-B5E2-227A-DE19-E14CDC7B9030}"/>
                    </a:ext>
                  </a:extLst>
                </xdr:cNvPr>
                <xdr:cNvCxnSpPr>
                  <a:stCxn id="27" idx="0"/>
                </xdr:cNvCxnSpPr>
              </xdr:nvCxnSpPr>
              <xdr:spPr>
                <a:xfrm flipH="1" flipV="1">
                  <a:off x="11909518" y="2817759"/>
                  <a:ext cx="2275751" cy="13031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TextBox 37">
                  <a:extLst>
                    <a:ext uri="{FF2B5EF4-FFF2-40B4-BE49-F238E27FC236}">
                      <a16:creationId xmlns:a16="http://schemas.microsoft.com/office/drawing/2014/main" id="{84599138-5005-C0D9-61E5-808EB8E7BB22}"/>
                    </a:ext>
                  </a:extLst>
                </xdr:cNvPr>
                <xdr:cNvSpPr txBox="1"/>
              </xdr:nvSpPr>
              <xdr:spPr>
                <a:xfrm>
                  <a:off x="2309889" y="3988510"/>
                  <a:ext cx="1943562" cy="4120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need</a:t>
                  </a:r>
                  <a:r>
                    <a:rPr lang="en-GB" sz="1100" b="1" baseline="0"/>
                    <a:t> to be provided in tonnes/yr or MWh/yr.</a:t>
                  </a:r>
                  <a:endParaRPr lang="en-GB" sz="1100" b="1"/>
                </a:p>
              </xdr:txBody>
            </xdr:sp>
            <xdr:cxnSp macro="">
              <xdr:nvCxnSpPr>
                <xdr:cNvPr id="39" name="Straight Arrow Connector 38">
                  <a:extLst>
                    <a:ext uri="{FF2B5EF4-FFF2-40B4-BE49-F238E27FC236}">
                      <a16:creationId xmlns:a16="http://schemas.microsoft.com/office/drawing/2014/main" id="{DE4582FB-8CCD-893C-73AF-AC9CE6CEC01C}"/>
                    </a:ext>
                  </a:extLst>
                </xdr:cNvPr>
                <xdr:cNvCxnSpPr>
                  <a:stCxn id="38" idx="0"/>
                </xdr:cNvCxnSpPr>
              </xdr:nvCxnSpPr>
              <xdr:spPr>
                <a:xfrm flipV="1">
                  <a:off x="3281670" y="3688340"/>
                  <a:ext cx="19685" cy="3001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2" name="TextBox 11">
                <a:extLst>
                  <a:ext uri="{FF2B5EF4-FFF2-40B4-BE49-F238E27FC236}">
                    <a16:creationId xmlns:a16="http://schemas.microsoft.com/office/drawing/2014/main" id="{8359873F-CBF4-AE16-66A4-30E89C63E3F8}"/>
                  </a:ext>
                </a:extLst>
              </xdr:cNvPr>
              <xdr:cNvSpPr txBox="1"/>
            </xdr:nvSpPr>
            <xdr:spPr>
              <a:xfrm>
                <a:off x="4079730" y="1324050"/>
                <a:ext cx="2293913" cy="5903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Provide as much detail on the values reported including any sources of evidence in these columns.</a:t>
                </a:r>
              </a:p>
            </xdr:txBody>
          </xdr:sp>
          <xdr:cxnSp macro="">
            <xdr:nvCxnSpPr>
              <xdr:cNvPr id="16" name="Straight Arrow Connector 15">
                <a:extLst>
                  <a:ext uri="{FF2B5EF4-FFF2-40B4-BE49-F238E27FC236}">
                    <a16:creationId xmlns:a16="http://schemas.microsoft.com/office/drawing/2014/main" id="{698877BA-48E5-2EEE-01D0-B4D871817F0E}"/>
                  </a:ext>
                </a:extLst>
              </xdr:cNvPr>
              <xdr:cNvCxnSpPr>
                <a:stCxn id="12" idx="2"/>
              </xdr:cNvCxnSpPr>
            </xdr:nvCxnSpPr>
            <xdr:spPr>
              <a:xfrm>
                <a:off x="5226687" y="1914356"/>
                <a:ext cx="429636" cy="2921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cxnSp macro="">
        <xdr:nvCxnSpPr>
          <xdr:cNvPr id="42" name="Straight Arrow Connector 41">
            <a:extLst>
              <a:ext uri="{FF2B5EF4-FFF2-40B4-BE49-F238E27FC236}">
                <a16:creationId xmlns:a16="http://schemas.microsoft.com/office/drawing/2014/main" id="{799A56D8-6537-42A5-ABC2-4A35791D4913}"/>
              </a:ext>
            </a:extLst>
          </xdr:cNvPr>
          <xdr:cNvCxnSpPr/>
        </xdr:nvCxnSpPr>
        <xdr:spPr>
          <a:xfrm flipH="1">
            <a:off x="4902200" y="3105150"/>
            <a:ext cx="393866" cy="2858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425632</xdr:colOff>
      <xdr:row>66</xdr:row>
      <xdr:rowOff>79375</xdr:rowOff>
    </xdr:from>
    <xdr:to>
      <xdr:col>23</xdr:col>
      <xdr:colOff>24281</xdr:colOff>
      <xdr:row>75</xdr:row>
      <xdr:rowOff>15875</xdr:rowOff>
    </xdr:to>
    <xdr:cxnSp macro="">
      <xdr:nvCxnSpPr>
        <xdr:cNvPr id="57" name="Straight Arrow Connector 56">
          <a:extLst>
            <a:ext uri="{FF2B5EF4-FFF2-40B4-BE49-F238E27FC236}">
              <a16:creationId xmlns:a16="http://schemas.microsoft.com/office/drawing/2014/main" id="{B22D0849-2FD9-44DB-86A2-F792C1D28CF7}"/>
            </a:ext>
          </a:extLst>
        </xdr:cNvPr>
        <xdr:cNvCxnSpPr>
          <a:stCxn id="3" idx="0"/>
        </xdr:cNvCxnSpPr>
      </xdr:nvCxnSpPr>
      <xdr:spPr>
        <a:xfrm flipV="1">
          <a:off x="11284132" y="14112875"/>
          <a:ext cx="2614899" cy="1651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425632</xdr:colOff>
      <xdr:row>67</xdr:row>
      <xdr:rowOff>54098</xdr:rowOff>
    </xdr:from>
    <xdr:to>
      <xdr:col>21</xdr:col>
      <xdr:colOff>119530</xdr:colOff>
      <xdr:row>75</xdr:row>
      <xdr:rowOff>15875</xdr:rowOff>
    </xdr:to>
    <xdr:cxnSp macro="">
      <xdr:nvCxnSpPr>
        <xdr:cNvPr id="58" name="Straight Arrow Connector 57">
          <a:extLst>
            <a:ext uri="{FF2B5EF4-FFF2-40B4-BE49-F238E27FC236}">
              <a16:creationId xmlns:a16="http://schemas.microsoft.com/office/drawing/2014/main" id="{94D4901E-DFB0-4D2A-A6D0-E823DC6AD444}"/>
            </a:ext>
          </a:extLst>
        </xdr:cNvPr>
        <xdr:cNvCxnSpPr>
          <a:stCxn id="3" idx="0"/>
        </xdr:cNvCxnSpPr>
      </xdr:nvCxnSpPr>
      <xdr:spPr>
        <a:xfrm flipV="1">
          <a:off x="11284132" y="14278098"/>
          <a:ext cx="1503648" cy="14857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552450</xdr:colOff>
      <xdr:row>85</xdr:row>
      <xdr:rowOff>66675</xdr:rowOff>
    </xdr:from>
    <xdr:to>
      <xdr:col>27</xdr:col>
      <xdr:colOff>601284</xdr:colOff>
      <xdr:row>93</xdr:row>
      <xdr:rowOff>73267</xdr:rowOff>
    </xdr:to>
    <xdr:pic>
      <xdr:nvPicPr>
        <xdr:cNvPr id="60" name="Picture 59">
          <a:extLst>
            <a:ext uri="{FF2B5EF4-FFF2-40B4-BE49-F238E27FC236}">
              <a16:creationId xmlns:a16="http://schemas.microsoft.com/office/drawing/2014/main" id="{C91C1F6E-711D-4443-90C8-7FA60286C894}"/>
            </a:ext>
          </a:extLst>
        </xdr:cNvPr>
        <xdr:cNvPicPr>
          <a:picLocks noChangeAspect="1"/>
        </xdr:cNvPicPr>
      </xdr:nvPicPr>
      <xdr:blipFill>
        <a:blip xmlns:r="http://schemas.openxmlformats.org/officeDocument/2006/relationships" r:embed="rId7"/>
        <a:stretch>
          <a:fillRect/>
        </a:stretch>
      </xdr:blipFill>
      <xdr:spPr>
        <a:xfrm>
          <a:off x="552450" y="17040225"/>
          <a:ext cx="16508034" cy="1454392"/>
        </a:xfrm>
        <a:prstGeom prst="rect">
          <a:avLst/>
        </a:prstGeom>
      </xdr:spPr>
    </xdr:pic>
    <xdr:clientData/>
  </xdr:twoCellAnchor>
  <xdr:twoCellAnchor>
    <xdr:from>
      <xdr:col>15</xdr:col>
      <xdr:colOff>158750</xdr:colOff>
      <xdr:row>75</xdr:row>
      <xdr:rowOff>15875</xdr:rowOff>
    </xdr:from>
    <xdr:to>
      <xdr:col>22</xdr:col>
      <xdr:colOff>89263</xdr:colOff>
      <xdr:row>78</xdr:row>
      <xdr:rowOff>150699</xdr:rowOff>
    </xdr:to>
    <xdr:sp macro="" textlink="">
      <xdr:nvSpPr>
        <xdr:cNvPr id="3" name="TextBox 64">
          <a:extLst>
            <a:ext uri="{FF2B5EF4-FFF2-40B4-BE49-F238E27FC236}">
              <a16:creationId xmlns:a16="http://schemas.microsoft.com/office/drawing/2014/main" id="{B3A5E301-4C55-44AB-9571-22474BEF5BA8}"/>
            </a:ext>
          </a:extLst>
        </xdr:cNvPr>
        <xdr:cNvSpPr txBox="1"/>
      </xdr:nvSpPr>
      <xdr:spPr>
        <a:xfrm>
          <a:off x="9207500" y="15763875"/>
          <a:ext cx="4153263" cy="7063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0</xdr:col>
      <xdr:colOff>587375</xdr:colOff>
      <xdr:row>80</xdr:row>
      <xdr:rowOff>79375</xdr:rowOff>
    </xdr:from>
    <xdr:to>
      <xdr:col>27</xdr:col>
      <xdr:colOff>598613</xdr:colOff>
      <xdr:row>85</xdr:row>
      <xdr:rowOff>33515</xdr:rowOff>
    </xdr:to>
    <xdr:pic>
      <xdr:nvPicPr>
        <xdr:cNvPr id="10" name="Picture 59">
          <a:extLst>
            <a:ext uri="{FF2B5EF4-FFF2-40B4-BE49-F238E27FC236}">
              <a16:creationId xmlns:a16="http://schemas.microsoft.com/office/drawing/2014/main" id="{2BFEE7F6-C23E-4AFD-BCE9-45986D6325F2}"/>
            </a:ext>
          </a:extLst>
        </xdr:cNvPr>
        <xdr:cNvPicPr>
          <a:picLocks noChangeAspect="1"/>
        </xdr:cNvPicPr>
      </xdr:nvPicPr>
      <xdr:blipFill rotWithShape="1">
        <a:blip xmlns:r="http://schemas.openxmlformats.org/officeDocument/2006/relationships" r:embed="rId6"/>
        <a:srcRect t="9880" b="55307"/>
        <a:stretch/>
      </xdr:blipFill>
      <xdr:spPr>
        <a:xfrm>
          <a:off x="587375" y="16779875"/>
          <a:ext cx="16298988" cy="906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xdr:row>
      <xdr:rowOff>53975</xdr:rowOff>
    </xdr:from>
    <xdr:to>
      <xdr:col>34</xdr:col>
      <xdr:colOff>31322</xdr:colOff>
      <xdr:row>27</xdr:row>
      <xdr:rowOff>126185</xdr:rowOff>
    </xdr:to>
    <xdr:pic>
      <xdr:nvPicPr>
        <xdr:cNvPr id="8" name="Picture 12">
          <a:extLst>
            <a:ext uri="{FF2B5EF4-FFF2-40B4-BE49-F238E27FC236}">
              <a16:creationId xmlns:a16="http://schemas.microsoft.com/office/drawing/2014/main" id="{689B6EBB-B662-465C-95D4-9909A1861B67}"/>
            </a:ext>
          </a:extLst>
        </xdr:cNvPr>
        <xdr:cNvPicPr>
          <a:picLocks noChangeAspect="1"/>
        </xdr:cNvPicPr>
      </xdr:nvPicPr>
      <xdr:blipFill>
        <a:blip xmlns:r="http://schemas.openxmlformats.org/officeDocument/2006/relationships" r:embed="rId1"/>
        <a:stretch>
          <a:fillRect/>
        </a:stretch>
      </xdr:blipFill>
      <xdr:spPr>
        <a:xfrm>
          <a:off x="609600" y="1720850"/>
          <a:ext cx="20224322" cy="3339285"/>
        </a:xfrm>
        <a:prstGeom prst="rect">
          <a:avLst/>
        </a:prstGeom>
      </xdr:spPr>
    </xdr:pic>
    <xdr:clientData/>
  </xdr:twoCellAnchor>
  <xdr:twoCellAnchor>
    <xdr:from>
      <xdr:col>1</xdr:col>
      <xdr:colOff>146047</xdr:colOff>
      <xdr:row>137</xdr:row>
      <xdr:rowOff>30442</xdr:rowOff>
    </xdr:from>
    <xdr:to>
      <xdr:col>9</xdr:col>
      <xdr:colOff>60139</xdr:colOff>
      <xdr:row>139</xdr:row>
      <xdr:rowOff>168088</xdr:rowOff>
    </xdr:to>
    <xdr:grpSp>
      <xdr:nvGrpSpPr>
        <xdr:cNvPr id="85" name="Group 84">
          <a:extLst>
            <a:ext uri="{FF2B5EF4-FFF2-40B4-BE49-F238E27FC236}">
              <a16:creationId xmlns:a16="http://schemas.microsoft.com/office/drawing/2014/main" id="{80D749D7-28BC-403D-9B65-3C6189A0818C}"/>
            </a:ext>
          </a:extLst>
        </xdr:cNvPr>
        <xdr:cNvGrpSpPr/>
      </xdr:nvGrpSpPr>
      <xdr:grpSpPr>
        <a:xfrm>
          <a:off x="755647" y="25252642"/>
          <a:ext cx="4838517" cy="499596"/>
          <a:chOff x="6911135" y="819048"/>
          <a:chExt cx="4802736" cy="488537"/>
        </a:xfrm>
      </xdr:grpSpPr>
      <xdr:sp macro="" textlink="">
        <xdr:nvSpPr>
          <xdr:cNvPr id="86" name="Rectangle 85">
            <a:extLst>
              <a:ext uri="{FF2B5EF4-FFF2-40B4-BE49-F238E27FC236}">
                <a16:creationId xmlns:a16="http://schemas.microsoft.com/office/drawing/2014/main" id="{738766CB-BDA8-4EB3-8431-5664C5A59499}"/>
              </a:ext>
            </a:extLst>
          </xdr:cNvPr>
          <xdr:cNvSpPr/>
        </xdr:nvSpPr>
        <xdr:spPr>
          <a:xfrm>
            <a:off x="10259095" y="828243"/>
            <a:ext cx="1454776"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backward efficiency</a:t>
            </a:r>
          </a:p>
        </xdr:txBody>
      </xdr:sp>
      <xdr:sp macro="" textlink="">
        <xdr:nvSpPr>
          <xdr:cNvPr id="87" name="Rectangle 86">
            <a:extLst>
              <a:ext uri="{FF2B5EF4-FFF2-40B4-BE49-F238E27FC236}">
                <a16:creationId xmlns:a16="http://schemas.microsoft.com/office/drawing/2014/main" id="{A4D2DD89-40E5-4A6F-8C1A-A7F12E48B3F0}"/>
              </a:ext>
            </a:extLst>
          </xdr:cNvPr>
          <xdr:cNvSpPr/>
        </xdr:nvSpPr>
        <xdr:spPr>
          <a:xfrm>
            <a:off x="6911135" y="819048"/>
            <a:ext cx="1422192" cy="48853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88" name="Rectangle 87">
            <a:extLst>
              <a:ext uri="{FF2B5EF4-FFF2-40B4-BE49-F238E27FC236}">
                <a16:creationId xmlns:a16="http://schemas.microsoft.com/office/drawing/2014/main" id="{38EB6940-FE8C-4DA9-87BB-29B198E26A11}"/>
              </a:ext>
            </a:extLst>
          </xdr:cNvPr>
          <xdr:cNvSpPr/>
        </xdr:nvSpPr>
        <xdr:spPr>
          <a:xfrm>
            <a:off x="8595377" y="822322"/>
            <a:ext cx="1389532"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module main output</a:t>
            </a:r>
            <a:endParaRPr lang="en-GB" sz="1200">
              <a:solidFill>
                <a:sysClr val="windowText" lastClr="000000"/>
              </a:solidFill>
              <a:effectLst/>
            </a:endParaRPr>
          </a:p>
        </xdr:txBody>
      </xdr:sp>
      <xdr:sp macro="" textlink="">
        <xdr:nvSpPr>
          <xdr:cNvPr id="89" name="Rectangle 88">
            <a:extLst>
              <a:ext uri="{FF2B5EF4-FFF2-40B4-BE49-F238E27FC236}">
                <a16:creationId xmlns:a16="http://schemas.microsoft.com/office/drawing/2014/main" id="{C368C511-2A64-4AA5-AC05-05B30B9F3B84}"/>
              </a:ext>
            </a:extLst>
          </xdr:cNvPr>
          <xdr:cNvSpPr/>
        </xdr:nvSpPr>
        <xdr:spPr>
          <a:xfrm>
            <a:off x="9945261"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90" name="Rectangle 89">
            <a:extLst>
              <a:ext uri="{FF2B5EF4-FFF2-40B4-BE49-F238E27FC236}">
                <a16:creationId xmlns:a16="http://schemas.microsoft.com/office/drawing/2014/main" id="{6A4F1022-31A3-4976-8A10-B1F77AEAA7E9}"/>
              </a:ext>
            </a:extLst>
          </xdr:cNvPr>
          <xdr:cNvSpPr/>
        </xdr:nvSpPr>
        <xdr:spPr>
          <a:xfrm>
            <a:off x="8360520"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3</xdr:col>
      <xdr:colOff>76199</xdr:colOff>
      <xdr:row>142</xdr:row>
      <xdr:rowOff>104775</xdr:rowOff>
    </xdr:from>
    <xdr:to>
      <xdr:col>7</xdr:col>
      <xdr:colOff>161924</xdr:colOff>
      <xdr:row>146</xdr:row>
      <xdr:rowOff>15875</xdr:rowOff>
    </xdr:to>
    <xdr:sp macro="" textlink="">
      <xdr:nvSpPr>
        <xdr:cNvPr id="93" name="TextBox 92">
          <a:extLst>
            <a:ext uri="{FF2B5EF4-FFF2-40B4-BE49-F238E27FC236}">
              <a16:creationId xmlns:a16="http://schemas.microsoft.com/office/drawing/2014/main" id="{CBB3328D-4BA4-4076-A9F8-27F68F203880}"/>
            </a:ext>
          </a:extLst>
        </xdr:cNvPr>
        <xdr:cNvSpPr txBox="1"/>
      </xdr:nvSpPr>
      <xdr:spPr>
        <a:xfrm>
          <a:off x="1904999" y="22821900"/>
          <a:ext cx="2524125" cy="635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Values</a:t>
          </a:r>
          <a:r>
            <a:rPr lang="en-GB" sz="1100" baseline="0"/>
            <a:t> are linked to the GHG emissions result calculated in the individual supply chain module worksheets</a:t>
          </a:r>
          <a:endParaRPr lang="en-GB" sz="1100"/>
        </a:p>
      </xdr:txBody>
    </xdr:sp>
    <xdr:clientData/>
  </xdr:twoCellAnchor>
  <xdr:twoCellAnchor>
    <xdr:from>
      <xdr:col>5</xdr:col>
      <xdr:colOff>85706</xdr:colOff>
      <xdr:row>139</xdr:row>
      <xdr:rowOff>146035</xdr:rowOff>
    </xdr:from>
    <xdr:to>
      <xdr:col>5</xdr:col>
      <xdr:colOff>120650</xdr:colOff>
      <xdr:row>142</xdr:row>
      <xdr:rowOff>101600</xdr:rowOff>
    </xdr:to>
    <xdr:cxnSp macro="">
      <xdr:nvCxnSpPr>
        <xdr:cNvPr id="94" name="Straight Arrow Connector 93">
          <a:extLst>
            <a:ext uri="{FF2B5EF4-FFF2-40B4-BE49-F238E27FC236}">
              <a16:creationId xmlns:a16="http://schemas.microsoft.com/office/drawing/2014/main" id="{CB8A143A-BBE6-4245-91A5-5CEB64CCC1CF}"/>
            </a:ext>
          </a:extLst>
        </xdr:cNvPr>
        <xdr:cNvCxnSpPr>
          <a:cxnSpLocks/>
          <a:stCxn id="93" idx="0"/>
          <a:endCxn id="88" idx="2"/>
        </xdr:cNvCxnSpPr>
      </xdr:nvCxnSpPr>
      <xdr:spPr>
        <a:xfrm flipH="1" flipV="1">
          <a:off x="3111294" y="22143182"/>
          <a:ext cx="34944" cy="4934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581020</xdr:colOff>
      <xdr:row>163</xdr:row>
      <xdr:rowOff>160058</xdr:rowOff>
    </xdr:from>
    <xdr:to>
      <xdr:col>8</xdr:col>
      <xdr:colOff>582701</xdr:colOff>
      <xdr:row>166</xdr:row>
      <xdr:rowOff>91670</xdr:rowOff>
    </xdr:to>
    <xdr:grpSp>
      <xdr:nvGrpSpPr>
        <xdr:cNvPr id="99" name="Group 98">
          <a:extLst>
            <a:ext uri="{FF2B5EF4-FFF2-40B4-BE49-F238E27FC236}">
              <a16:creationId xmlns:a16="http://schemas.microsoft.com/office/drawing/2014/main" id="{2BE2ADC2-5D68-4BB1-AB52-1903869FBAB4}"/>
            </a:ext>
          </a:extLst>
        </xdr:cNvPr>
        <xdr:cNvGrpSpPr/>
      </xdr:nvGrpSpPr>
      <xdr:grpSpPr>
        <a:xfrm>
          <a:off x="581020" y="30125708"/>
          <a:ext cx="4926106" cy="474537"/>
          <a:chOff x="7041102" y="817224"/>
          <a:chExt cx="4890406" cy="476511"/>
        </a:xfrm>
      </xdr:grpSpPr>
      <xdr:sp macro="" textlink="">
        <xdr:nvSpPr>
          <xdr:cNvPr id="100" name="Rectangle 99">
            <a:extLst>
              <a:ext uri="{FF2B5EF4-FFF2-40B4-BE49-F238E27FC236}">
                <a16:creationId xmlns:a16="http://schemas.microsoft.com/office/drawing/2014/main" id="{84036F82-D86A-4CB8-A588-F2DCE4C13C07}"/>
              </a:ext>
            </a:extLst>
          </xdr:cNvPr>
          <xdr:cNvSpPr/>
        </xdr:nvSpPr>
        <xdr:spPr>
          <a:xfrm>
            <a:off x="10571911" y="839425"/>
            <a:ext cx="1359597"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101" name="Rectangle 100">
            <a:extLst>
              <a:ext uri="{FF2B5EF4-FFF2-40B4-BE49-F238E27FC236}">
                <a16:creationId xmlns:a16="http://schemas.microsoft.com/office/drawing/2014/main" id="{F1D6A5A1-B361-4EC3-8801-F28E4351A74C}"/>
              </a:ext>
            </a:extLst>
          </xdr:cNvPr>
          <xdr:cNvSpPr/>
        </xdr:nvSpPr>
        <xdr:spPr>
          <a:xfrm>
            <a:off x="7041102" y="817224"/>
            <a:ext cx="1354331" cy="463084"/>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 allocation)</a:t>
            </a:r>
            <a:endParaRPr lang="en-GB" sz="1200" baseline="0">
              <a:solidFill>
                <a:sysClr val="windowText" lastClr="000000"/>
              </a:solidFill>
              <a:effectLst/>
            </a:endParaRPr>
          </a:p>
        </xdr:txBody>
      </xdr:sp>
      <xdr:sp macro="" textlink="">
        <xdr:nvSpPr>
          <xdr:cNvPr id="102" name="Rectangle 101">
            <a:extLst>
              <a:ext uri="{FF2B5EF4-FFF2-40B4-BE49-F238E27FC236}">
                <a16:creationId xmlns:a16="http://schemas.microsoft.com/office/drawing/2014/main" id="{9F5737AD-A21C-4BE7-B7F3-5C13130F1AA3}"/>
              </a:ext>
            </a:extLst>
          </xdr:cNvPr>
          <xdr:cNvSpPr/>
        </xdr:nvSpPr>
        <xdr:spPr>
          <a:xfrm>
            <a:off x="8777178" y="822322"/>
            <a:ext cx="1492926"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103" name="Rectangle 102">
            <a:extLst>
              <a:ext uri="{FF2B5EF4-FFF2-40B4-BE49-F238E27FC236}">
                <a16:creationId xmlns:a16="http://schemas.microsoft.com/office/drawing/2014/main" id="{0A9126BC-195A-4A57-8DA1-9C76628B40B0}"/>
              </a:ext>
            </a:extLst>
          </xdr:cNvPr>
          <xdr:cNvSpPr/>
        </xdr:nvSpPr>
        <xdr:spPr>
          <a:xfrm>
            <a:off x="10252672"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104" name="Rectangle 103">
            <a:extLst>
              <a:ext uri="{FF2B5EF4-FFF2-40B4-BE49-F238E27FC236}">
                <a16:creationId xmlns:a16="http://schemas.microsoft.com/office/drawing/2014/main" id="{ED39139F-8E02-42C7-863A-63621D81F120}"/>
              </a:ext>
            </a:extLst>
          </xdr:cNvPr>
          <xdr:cNvSpPr/>
        </xdr:nvSpPr>
        <xdr:spPr>
          <a:xfrm>
            <a:off x="8485466"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4</xdr:col>
      <xdr:colOff>162482</xdr:colOff>
      <xdr:row>110</xdr:row>
      <xdr:rowOff>1</xdr:rowOff>
    </xdr:from>
    <xdr:to>
      <xdr:col>6</xdr:col>
      <xdr:colOff>238682</xdr:colOff>
      <xdr:row>110</xdr:row>
      <xdr:rowOff>1</xdr:rowOff>
    </xdr:to>
    <xdr:cxnSp macro="">
      <xdr:nvCxnSpPr>
        <xdr:cNvPr id="106" name="Straight Arrow Connector 105">
          <a:extLst>
            <a:ext uri="{FF2B5EF4-FFF2-40B4-BE49-F238E27FC236}">
              <a16:creationId xmlns:a16="http://schemas.microsoft.com/office/drawing/2014/main" id="{7585C64B-4DE3-492A-9B6D-3894873D9E38}"/>
            </a:ext>
          </a:extLst>
        </xdr:cNvPr>
        <xdr:cNvCxnSpPr>
          <a:cxnSpLocks/>
        </xdr:cNvCxnSpPr>
      </xdr:nvCxnSpPr>
      <xdr:spPr>
        <a:xfrm>
          <a:off x="2582953" y="16383001"/>
          <a:ext cx="1286435"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353217</xdr:colOff>
      <xdr:row>109</xdr:row>
      <xdr:rowOff>6352</xdr:rowOff>
    </xdr:from>
    <xdr:to>
      <xdr:col>10</xdr:col>
      <xdr:colOff>64292</xdr:colOff>
      <xdr:row>110</xdr:row>
      <xdr:rowOff>111126</xdr:rowOff>
    </xdr:to>
    <xdr:sp macro="" textlink="">
      <xdr:nvSpPr>
        <xdr:cNvPr id="6435" name="TextBox 111">
          <a:extLst>
            <a:ext uri="{FF2B5EF4-FFF2-40B4-BE49-F238E27FC236}">
              <a16:creationId xmlns:a16="http://schemas.microsoft.com/office/drawing/2014/main" id="{198E1C61-F874-49C3-BABB-8FEB20AA1141}"/>
            </a:ext>
          </a:extLst>
        </xdr:cNvPr>
        <xdr:cNvSpPr txBox="1"/>
      </xdr:nvSpPr>
      <xdr:spPr>
        <a:xfrm>
          <a:off x="5839617" y="15798802"/>
          <a:ext cx="320675" cy="285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or</a:t>
          </a:r>
        </a:p>
      </xdr:txBody>
    </xdr:sp>
    <xdr:clientData/>
  </xdr:twoCellAnchor>
  <xdr:twoCellAnchor>
    <xdr:from>
      <xdr:col>13</xdr:col>
      <xdr:colOff>134142</xdr:colOff>
      <xdr:row>110</xdr:row>
      <xdr:rowOff>1</xdr:rowOff>
    </xdr:from>
    <xdr:to>
      <xdr:col>15</xdr:col>
      <xdr:colOff>65085</xdr:colOff>
      <xdr:row>110</xdr:row>
      <xdr:rowOff>2</xdr:rowOff>
    </xdr:to>
    <xdr:cxnSp macro="">
      <xdr:nvCxnSpPr>
        <xdr:cNvPr id="6450" name="Straight Arrow Connector 112">
          <a:extLst>
            <a:ext uri="{FF2B5EF4-FFF2-40B4-BE49-F238E27FC236}">
              <a16:creationId xmlns:a16="http://schemas.microsoft.com/office/drawing/2014/main" id="{9A828ADB-E9C6-4244-8609-A21B627661EF}"/>
            </a:ext>
          </a:extLst>
        </xdr:cNvPr>
        <xdr:cNvCxnSpPr>
          <a:cxnSpLocks/>
        </xdr:cNvCxnSpPr>
      </xdr:nvCxnSpPr>
      <xdr:spPr>
        <a:xfrm flipV="1">
          <a:off x="8058942" y="15973426"/>
          <a:ext cx="1150143"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104774</xdr:colOff>
      <xdr:row>56</xdr:row>
      <xdr:rowOff>88898</xdr:rowOff>
    </xdr:from>
    <xdr:to>
      <xdr:col>34</xdr:col>
      <xdr:colOff>257735</xdr:colOff>
      <xdr:row>78</xdr:row>
      <xdr:rowOff>121511</xdr:rowOff>
    </xdr:to>
    <xdr:grpSp>
      <xdr:nvGrpSpPr>
        <xdr:cNvPr id="118" name="Group 50">
          <a:extLst>
            <a:ext uri="{FF2B5EF4-FFF2-40B4-BE49-F238E27FC236}">
              <a16:creationId xmlns:a16="http://schemas.microsoft.com/office/drawing/2014/main" id="{FCC05BFA-7789-4FB7-BC60-873CC2EF20E0}"/>
            </a:ext>
          </a:extLst>
        </xdr:cNvPr>
        <xdr:cNvGrpSpPr/>
      </xdr:nvGrpSpPr>
      <xdr:grpSpPr>
        <a:xfrm>
          <a:off x="714374" y="10280648"/>
          <a:ext cx="20317386" cy="4014063"/>
          <a:chOff x="720724" y="6305526"/>
          <a:chExt cx="20258632" cy="4017258"/>
        </a:xfrm>
      </xdr:grpSpPr>
      <xdr:grpSp>
        <xdr:nvGrpSpPr>
          <xdr:cNvPr id="119" name="Group 1">
            <a:extLst>
              <a:ext uri="{FF2B5EF4-FFF2-40B4-BE49-F238E27FC236}">
                <a16:creationId xmlns:a16="http://schemas.microsoft.com/office/drawing/2014/main" id="{2AAF2D1C-9D81-4258-946C-E1904890CEB4}"/>
              </a:ext>
            </a:extLst>
          </xdr:cNvPr>
          <xdr:cNvGrpSpPr/>
        </xdr:nvGrpSpPr>
        <xdr:grpSpPr>
          <a:xfrm>
            <a:off x="720724" y="6305526"/>
            <a:ext cx="20258632" cy="4017258"/>
            <a:chOff x="2092203" y="524235"/>
            <a:chExt cx="20043611" cy="4218276"/>
          </a:xfrm>
        </xdr:grpSpPr>
        <xdr:sp macro="" textlink="">
          <xdr:nvSpPr>
            <xdr:cNvPr id="120" name="Rectangle 2">
              <a:extLst>
                <a:ext uri="{FF2B5EF4-FFF2-40B4-BE49-F238E27FC236}">
                  <a16:creationId xmlns:a16="http://schemas.microsoft.com/office/drawing/2014/main" id="{8105E3BD-1523-47D1-A412-56A268B147AD}"/>
                </a:ext>
              </a:extLst>
            </xdr:cNvPr>
            <xdr:cNvSpPr/>
          </xdr:nvSpPr>
          <xdr:spPr>
            <a:xfrm>
              <a:off x="7170757" y="524235"/>
              <a:ext cx="7591507" cy="555222"/>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400">
                  <a:solidFill>
                    <a:schemeClr val="tx1"/>
                  </a:solidFill>
                </a:rPr>
                <a:t>gCO</a:t>
              </a:r>
              <a:r>
                <a:rPr lang="en-GB" sz="1400" baseline="-25000">
                  <a:solidFill>
                    <a:schemeClr val="tx1"/>
                  </a:solidFill>
                </a:rPr>
                <a:t>2</a:t>
              </a:r>
              <a:r>
                <a:rPr lang="en-GB" sz="1400">
                  <a:solidFill>
                    <a:schemeClr val="tx1"/>
                  </a:solidFill>
                </a:rPr>
                <a:t>e/MJ final hydrogen</a:t>
              </a:r>
            </a:p>
          </xdr:txBody>
        </xdr:sp>
        <xdr:sp macro="" textlink="">
          <xdr:nvSpPr>
            <xdr:cNvPr id="121" name="Rectangle 3">
              <a:extLst>
                <a:ext uri="{FF2B5EF4-FFF2-40B4-BE49-F238E27FC236}">
                  <a16:creationId xmlns:a16="http://schemas.microsoft.com/office/drawing/2014/main" id="{D275D588-ADF4-42B1-BF7D-5E6FE4AB301E}"/>
                </a:ext>
              </a:extLst>
            </xdr:cNvPr>
            <xdr:cNvSpPr/>
          </xdr:nvSpPr>
          <xdr:spPr>
            <a:xfrm>
              <a:off x="4438418" y="1759786"/>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sp macro="" textlink="">
          <xdr:nvSpPr>
            <xdr:cNvPr id="122" name="Right Brace 4">
              <a:extLst>
                <a:ext uri="{FF2B5EF4-FFF2-40B4-BE49-F238E27FC236}">
                  <a16:creationId xmlns:a16="http://schemas.microsoft.com/office/drawing/2014/main" id="{DC0BFE3A-45C8-48BA-864E-D04E5DEC131A}"/>
                </a:ext>
              </a:extLst>
            </xdr:cNvPr>
            <xdr:cNvSpPr/>
          </xdr:nvSpPr>
          <xdr:spPr>
            <a:xfrm rot="16200000" flipV="1">
              <a:off x="11963145" y="-8707582"/>
              <a:ext cx="301728" cy="20043611"/>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3" name="Group 5">
              <a:extLst>
                <a:ext uri="{FF2B5EF4-FFF2-40B4-BE49-F238E27FC236}">
                  <a16:creationId xmlns:a16="http://schemas.microsoft.com/office/drawing/2014/main" id="{76ADDA6C-C01A-4E61-98D5-737C0755BA26}"/>
                </a:ext>
              </a:extLst>
            </xdr:cNvPr>
            <xdr:cNvGrpSpPr/>
          </xdr:nvGrpSpPr>
          <xdr:grpSpPr>
            <a:xfrm>
              <a:off x="2092205" y="1550418"/>
              <a:ext cx="2353004" cy="3192093"/>
              <a:chOff x="2092205" y="1550418"/>
              <a:chExt cx="2353004" cy="3192093"/>
            </a:xfrm>
          </xdr:grpSpPr>
          <xdr:sp macro="" textlink="">
            <xdr:nvSpPr>
              <xdr:cNvPr id="124" name="Rectangle 37">
                <a:extLst>
                  <a:ext uri="{FF2B5EF4-FFF2-40B4-BE49-F238E27FC236}">
                    <a16:creationId xmlns:a16="http://schemas.microsoft.com/office/drawing/2014/main" id="{402072AC-BE84-4811-BB76-C836DB854B0C}"/>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Feedstock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125" name="Group 38">
                <a:extLst>
                  <a:ext uri="{FF2B5EF4-FFF2-40B4-BE49-F238E27FC236}">
                    <a16:creationId xmlns:a16="http://schemas.microsoft.com/office/drawing/2014/main" id="{9B33D427-9F22-4A4E-872E-0B6031206665}"/>
                  </a:ext>
                </a:extLst>
              </xdr:cNvPr>
              <xdr:cNvGrpSpPr/>
            </xdr:nvGrpSpPr>
            <xdr:grpSpPr>
              <a:xfrm>
                <a:off x="2092205" y="2303053"/>
                <a:ext cx="2353004" cy="2439458"/>
                <a:chOff x="2085414" y="2571500"/>
                <a:chExt cx="2353004" cy="2439458"/>
              </a:xfrm>
            </xdr:grpSpPr>
            <xdr:sp macro="" textlink="">
              <xdr:nvSpPr>
                <xdr:cNvPr id="126" name="Right Brace 39">
                  <a:extLst>
                    <a:ext uri="{FF2B5EF4-FFF2-40B4-BE49-F238E27FC236}">
                      <a16:creationId xmlns:a16="http://schemas.microsoft.com/office/drawing/2014/main" id="{B1E16B9C-D1C3-4FAD-B1BA-E991025F80ED}"/>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7" name="Group 40">
                  <a:extLst>
                    <a:ext uri="{FF2B5EF4-FFF2-40B4-BE49-F238E27FC236}">
                      <a16:creationId xmlns:a16="http://schemas.microsoft.com/office/drawing/2014/main" id="{985744D8-0735-42A1-9A1C-DFE2B46AEE84}"/>
                    </a:ext>
                  </a:extLst>
                </xdr:cNvPr>
                <xdr:cNvGrpSpPr/>
              </xdr:nvGrpSpPr>
              <xdr:grpSpPr>
                <a:xfrm>
                  <a:off x="2206896" y="2965085"/>
                  <a:ext cx="2129001" cy="1288801"/>
                  <a:chOff x="2245767" y="1205236"/>
                  <a:chExt cx="2129001" cy="1288800"/>
                </a:xfrm>
              </xdr:grpSpPr>
              <xdr:sp macro="" textlink="">
                <xdr:nvSpPr>
                  <xdr:cNvPr id="6336" name="Rectangle 43">
                    <a:extLst>
                      <a:ext uri="{FF2B5EF4-FFF2-40B4-BE49-F238E27FC236}">
                        <a16:creationId xmlns:a16="http://schemas.microsoft.com/office/drawing/2014/main" id="{3E3FC2B1-D72A-4B2E-9B55-EDDA32F7B337}"/>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37" name="Rectangle 44">
                    <a:extLst>
                      <a:ext uri="{FF2B5EF4-FFF2-40B4-BE49-F238E27FC236}">
                        <a16:creationId xmlns:a16="http://schemas.microsoft.com/office/drawing/2014/main" id="{577BF0AF-A1F6-4FBF-8FF0-7767BF1E59EC}"/>
                      </a:ext>
                    </a:extLst>
                  </xdr:cNvPr>
                  <xdr:cNvSpPr/>
                </xdr:nvSpPr>
                <xdr:spPr>
                  <a:xfrm rot="16200000">
                    <a:off x="2209453" y="1693444"/>
                    <a:ext cx="1288647" cy="312383"/>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38" name="Rectangle 45">
                    <a:extLst>
                      <a:ext uri="{FF2B5EF4-FFF2-40B4-BE49-F238E27FC236}">
                        <a16:creationId xmlns:a16="http://schemas.microsoft.com/office/drawing/2014/main" id="{7651AE74-9D9D-48DF-B399-1B12676576A9}"/>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39" name="Rectangle 46">
                    <a:extLst>
                      <a:ext uri="{FF2B5EF4-FFF2-40B4-BE49-F238E27FC236}">
                        <a16:creationId xmlns:a16="http://schemas.microsoft.com/office/drawing/2014/main" id="{DBF87964-0A5A-49AD-913E-8BE5267AF01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0" name="Rectangle 47">
                    <a:extLst>
                      <a:ext uri="{FF2B5EF4-FFF2-40B4-BE49-F238E27FC236}">
                        <a16:creationId xmlns:a16="http://schemas.microsoft.com/office/drawing/2014/main" id="{30B8583B-6CAC-489C-A0B5-FB5DC7AD8BC0}"/>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1" name="Rectangle 48">
                    <a:extLst>
                      <a:ext uri="{FF2B5EF4-FFF2-40B4-BE49-F238E27FC236}">
                        <a16:creationId xmlns:a16="http://schemas.microsoft.com/office/drawing/2014/main" id="{728ACB46-FF97-4F87-A9E4-777EC32E2928}"/>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42" name="Rectangle 49">
                    <a:extLst>
                      <a:ext uri="{FF2B5EF4-FFF2-40B4-BE49-F238E27FC236}">
                        <a16:creationId xmlns:a16="http://schemas.microsoft.com/office/drawing/2014/main" id="{0FFD3406-287E-45A3-B4C1-82310B3BB27D}"/>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43" name="Rectangle 41">
                  <a:extLst>
                    <a:ext uri="{FF2B5EF4-FFF2-40B4-BE49-F238E27FC236}">
                      <a16:creationId xmlns:a16="http://schemas.microsoft.com/office/drawing/2014/main" id="{F2B5FD7F-35E2-4EEE-B405-D51AF3157D52}"/>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44" name="Right Brace 42">
                  <a:extLst>
                    <a:ext uri="{FF2B5EF4-FFF2-40B4-BE49-F238E27FC236}">
                      <a16:creationId xmlns:a16="http://schemas.microsoft.com/office/drawing/2014/main" id="{7CC0AEA1-9E67-451D-B158-0B88B13857F9}"/>
                    </a:ext>
                  </a:extLst>
                </xdr:cNvPr>
                <xdr:cNvSpPr/>
              </xdr:nvSpPr>
              <xdr:spPr>
                <a:xfrm rot="16200000" flipV="1">
                  <a:off x="3125429" y="3265176"/>
                  <a:ext cx="292261" cy="23140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nvGrpSpPr>
            <xdr:cNvPr id="6345" name="Group 6">
              <a:extLst>
                <a:ext uri="{FF2B5EF4-FFF2-40B4-BE49-F238E27FC236}">
                  <a16:creationId xmlns:a16="http://schemas.microsoft.com/office/drawing/2014/main" id="{4FBCF123-DD37-44E4-806E-D8E3FECFB759}"/>
                </a:ext>
              </a:extLst>
            </xdr:cNvPr>
            <xdr:cNvGrpSpPr/>
          </xdr:nvGrpSpPr>
          <xdr:grpSpPr>
            <a:xfrm>
              <a:off x="4725570" y="1550418"/>
              <a:ext cx="2353004" cy="3192093"/>
              <a:chOff x="2092205" y="1550418"/>
              <a:chExt cx="2353004" cy="3192093"/>
            </a:xfrm>
          </xdr:grpSpPr>
          <xdr:sp macro="" textlink="">
            <xdr:nvSpPr>
              <xdr:cNvPr id="6346" name="Rectangle 24">
                <a:extLst>
                  <a:ext uri="{FF2B5EF4-FFF2-40B4-BE49-F238E27FC236}">
                    <a16:creationId xmlns:a16="http://schemas.microsoft.com/office/drawing/2014/main" id="{0AFE23B2-B937-4E71-A9CF-047612D990D1}"/>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Energy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47" name="Group 25">
                <a:extLst>
                  <a:ext uri="{FF2B5EF4-FFF2-40B4-BE49-F238E27FC236}">
                    <a16:creationId xmlns:a16="http://schemas.microsoft.com/office/drawing/2014/main" id="{811261AE-A467-4AFB-9499-2EE09D6A6DBD}"/>
                  </a:ext>
                </a:extLst>
              </xdr:cNvPr>
              <xdr:cNvGrpSpPr/>
            </xdr:nvGrpSpPr>
            <xdr:grpSpPr>
              <a:xfrm>
                <a:off x="2092205" y="2303053"/>
                <a:ext cx="2353004" cy="2439458"/>
                <a:chOff x="2085414" y="2571500"/>
                <a:chExt cx="2353004" cy="2439458"/>
              </a:xfrm>
            </xdr:grpSpPr>
            <xdr:sp macro="" textlink="">
              <xdr:nvSpPr>
                <xdr:cNvPr id="6349" name="Right Brace 26">
                  <a:extLst>
                    <a:ext uri="{FF2B5EF4-FFF2-40B4-BE49-F238E27FC236}">
                      <a16:creationId xmlns:a16="http://schemas.microsoft.com/office/drawing/2014/main" id="{E9B1B922-69A4-4612-8C39-EDD122058534}"/>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50" name="Group 27">
                  <a:extLst>
                    <a:ext uri="{FF2B5EF4-FFF2-40B4-BE49-F238E27FC236}">
                      <a16:creationId xmlns:a16="http://schemas.microsoft.com/office/drawing/2014/main" id="{48164666-3799-47BB-85BE-A0E8EDBF1CBC}"/>
                    </a:ext>
                  </a:extLst>
                </xdr:cNvPr>
                <xdr:cNvGrpSpPr/>
              </xdr:nvGrpSpPr>
              <xdr:grpSpPr>
                <a:xfrm>
                  <a:off x="2206896" y="2965085"/>
                  <a:ext cx="2129001" cy="1288801"/>
                  <a:chOff x="2245767" y="1205236"/>
                  <a:chExt cx="2129001" cy="1288800"/>
                </a:xfrm>
              </xdr:grpSpPr>
              <xdr:sp macro="" textlink="">
                <xdr:nvSpPr>
                  <xdr:cNvPr id="6352" name="Rectangle 30">
                    <a:extLst>
                      <a:ext uri="{FF2B5EF4-FFF2-40B4-BE49-F238E27FC236}">
                        <a16:creationId xmlns:a16="http://schemas.microsoft.com/office/drawing/2014/main" id="{FF4DBFA1-A4A3-47B9-BC65-D03E70E79EA8}"/>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53" name="Rectangle 31">
                    <a:extLst>
                      <a:ext uri="{FF2B5EF4-FFF2-40B4-BE49-F238E27FC236}">
                        <a16:creationId xmlns:a16="http://schemas.microsoft.com/office/drawing/2014/main" id="{B8392A49-51F5-4ACF-BCE5-D9BB70E43174}"/>
                      </a:ext>
                    </a:extLst>
                  </xdr:cNvPr>
                  <xdr:cNvSpPr/>
                </xdr:nvSpPr>
                <xdr:spPr>
                  <a:xfrm rot="16200000">
                    <a:off x="2192772" y="1676159"/>
                    <a:ext cx="1288647" cy="34695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55" name="Rectangle 32">
                    <a:extLst>
                      <a:ext uri="{FF2B5EF4-FFF2-40B4-BE49-F238E27FC236}">
                        <a16:creationId xmlns:a16="http://schemas.microsoft.com/office/drawing/2014/main" id="{7B29DA4D-B800-488E-B865-D5E71A8D194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56" name="Rectangle 33">
                    <a:extLst>
                      <a:ext uri="{FF2B5EF4-FFF2-40B4-BE49-F238E27FC236}">
                        <a16:creationId xmlns:a16="http://schemas.microsoft.com/office/drawing/2014/main" id="{2B8D8A85-5D55-48E5-8AA7-ADD8CFF7B031}"/>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8" name="Rectangle 34">
                    <a:extLst>
                      <a:ext uri="{FF2B5EF4-FFF2-40B4-BE49-F238E27FC236}">
                        <a16:creationId xmlns:a16="http://schemas.microsoft.com/office/drawing/2014/main" id="{F3C8F283-EC0F-478B-8EE2-52805ED9E558}"/>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9" name="Rectangle 35">
                    <a:extLst>
                      <a:ext uri="{FF2B5EF4-FFF2-40B4-BE49-F238E27FC236}">
                        <a16:creationId xmlns:a16="http://schemas.microsoft.com/office/drawing/2014/main" id="{3AE5D1A6-151F-4EDA-9C73-FC9C6289DCB3}"/>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60" name="Rectangle 36">
                    <a:extLst>
                      <a:ext uri="{FF2B5EF4-FFF2-40B4-BE49-F238E27FC236}">
                        <a16:creationId xmlns:a16="http://schemas.microsoft.com/office/drawing/2014/main" id="{64C60F06-F823-45E9-BC98-4F0800D12D1C}"/>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61" name="Rectangle 28">
                  <a:extLst>
                    <a:ext uri="{FF2B5EF4-FFF2-40B4-BE49-F238E27FC236}">
                      <a16:creationId xmlns:a16="http://schemas.microsoft.com/office/drawing/2014/main" id="{0B712C61-C3E7-4757-BDC4-3BCD715E1B5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62" name="Right Brace 29">
                  <a:extLst>
                    <a:ext uri="{FF2B5EF4-FFF2-40B4-BE49-F238E27FC236}">
                      <a16:creationId xmlns:a16="http://schemas.microsoft.com/office/drawing/2014/main" id="{F87093B2-1759-4346-8B43-8107B03362E7}"/>
                    </a:ext>
                  </a:extLst>
                </xdr:cNvPr>
                <xdr:cNvSpPr/>
              </xdr:nvSpPr>
              <xdr:spPr>
                <a:xfrm rot="16200000" flipV="1">
                  <a:off x="3112829" y="3277776"/>
                  <a:ext cx="292261"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sp macro="" textlink="">
          <xdr:nvSpPr>
            <xdr:cNvPr id="6364" name="Rectangle 7">
              <a:extLst>
                <a:ext uri="{FF2B5EF4-FFF2-40B4-BE49-F238E27FC236}">
                  <a16:creationId xmlns:a16="http://schemas.microsoft.com/office/drawing/2014/main" id="{AA68DE6E-9F56-49C3-9F13-E4BBB08CF7D0}"/>
                </a:ext>
              </a:extLst>
            </xdr:cNvPr>
            <xdr:cNvSpPr/>
          </xdr:nvSpPr>
          <xdr:spPr>
            <a:xfrm>
              <a:off x="7043555" y="1755638"/>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nvGrpSpPr>
            <xdr:cNvPr id="6365" name="Group 8">
              <a:extLst>
                <a:ext uri="{FF2B5EF4-FFF2-40B4-BE49-F238E27FC236}">
                  <a16:creationId xmlns:a16="http://schemas.microsoft.com/office/drawing/2014/main" id="{36BD932E-622D-44D4-87F5-7A99A7CE6067}"/>
                </a:ext>
              </a:extLst>
            </xdr:cNvPr>
            <xdr:cNvGrpSpPr/>
          </xdr:nvGrpSpPr>
          <xdr:grpSpPr>
            <a:xfrm>
              <a:off x="7330707" y="1546270"/>
              <a:ext cx="2353004" cy="3192093"/>
              <a:chOff x="2092205" y="1550418"/>
              <a:chExt cx="2353004" cy="3192093"/>
            </a:xfrm>
          </xdr:grpSpPr>
          <xdr:sp macro="" textlink="">
            <xdr:nvSpPr>
              <xdr:cNvPr id="6367" name="Rectangle 11">
                <a:extLst>
                  <a:ext uri="{FF2B5EF4-FFF2-40B4-BE49-F238E27FC236}">
                    <a16:creationId xmlns:a16="http://schemas.microsoft.com/office/drawing/2014/main" id="{092BBA71-3534-4261-BEA3-0406F9E03C30}"/>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 materials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68" name="Group 12">
                <a:extLst>
                  <a:ext uri="{FF2B5EF4-FFF2-40B4-BE49-F238E27FC236}">
                    <a16:creationId xmlns:a16="http://schemas.microsoft.com/office/drawing/2014/main" id="{D6F33219-7A07-483B-AD61-812E1E1AC80A}"/>
                  </a:ext>
                </a:extLst>
              </xdr:cNvPr>
              <xdr:cNvGrpSpPr/>
            </xdr:nvGrpSpPr>
            <xdr:grpSpPr>
              <a:xfrm>
                <a:off x="2092205" y="2303053"/>
                <a:ext cx="2353004" cy="2439458"/>
                <a:chOff x="2085414" y="2571500"/>
                <a:chExt cx="2353004" cy="2439458"/>
              </a:xfrm>
            </xdr:grpSpPr>
            <xdr:sp macro="" textlink="">
              <xdr:nvSpPr>
                <xdr:cNvPr id="6370" name="Right Brace 13">
                  <a:extLst>
                    <a:ext uri="{FF2B5EF4-FFF2-40B4-BE49-F238E27FC236}">
                      <a16:creationId xmlns:a16="http://schemas.microsoft.com/office/drawing/2014/main" id="{06BB2E56-0FD6-4B36-A1EB-C2EF9240E321}"/>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71" name="Group 14">
                  <a:extLst>
                    <a:ext uri="{FF2B5EF4-FFF2-40B4-BE49-F238E27FC236}">
                      <a16:creationId xmlns:a16="http://schemas.microsoft.com/office/drawing/2014/main" id="{D97FACD1-DC8B-4CC6-972C-4F7F0C62130F}"/>
                    </a:ext>
                  </a:extLst>
                </xdr:cNvPr>
                <xdr:cNvGrpSpPr/>
              </xdr:nvGrpSpPr>
              <xdr:grpSpPr>
                <a:xfrm>
                  <a:off x="2206896" y="2965085"/>
                  <a:ext cx="2129001" cy="1288801"/>
                  <a:chOff x="2245767" y="1205236"/>
                  <a:chExt cx="2129001" cy="1288800"/>
                </a:xfrm>
              </xdr:grpSpPr>
              <xdr:sp macro="" textlink="">
                <xdr:nvSpPr>
                  <xdr:cNvPr id="6373" name="Rectangle 17">
                    <a:extLst>
                      <a:ext uri="{FF2B5EF4-FFF2-40B4-BE49-F238E27FC236}">
                        <a16:creationId xmlns:a16="http://schemas.microsoft.com/office/drawing/2014/main" id="{6004B6BD-4BF1-44E3-805D-BCFE541F776A}"/>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74" name="Rectangle 18">
                    <a:extLst>
                      <a:ext uri="{FF2B5EF4-FFF2-40B4-BE49-F238E27FC236}">
                        <a16:creationId xmlns:a16="http://schemas.microsoft.com/office/drawing/2014/main" id="{1BAD5BE5-EB90-4C72-98ED-E6AAC05CD67E}"/>
                      </a:ext>
                    </a:extLst>
                  </xdr:cNvPr>
                  <xdr:cNvSpPr/>
                </xdr:nvSpPr>
                <xdr:spPr>
                  <a:xfrm rot="16200000">
                    <a:off x="2218993" y="1683905"/>
                    <a:ext cx="1288647" cy="33146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76" name="Rectangle 19">
                    <a:extLst>
                      <a:ext uri="{FF2B5EF4-FFF2-40B4-BE49-F238E27FC236}">
                        <a16:creationId xmlns:a16="http://schemas.microsoft.com/office/drawing/2014/main" id="{92091420-6D3F-4032-8313-CCC6420BAB1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77" name="Rectangle 20">
                    <a:extLst>
                      <a:ext uri="{FF2B5EF4-FFF2-40B4-BE49-F238E27FC236}">
                        <a16:creationId xmlns:a16="http://schemas.microsoft.com/office/drawing/2014/main" id="{57C35457-EE38-4F7F-ABDD-F33B01CC855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79" name="Rectangle 21">
                    <a:extLst>
                      <a:ext uri="{FF2B5EF4-FFF2-40B4-BE49-F238E27FC236}">
                        <a16:creationId xmlns:a16="http://schemas.microsoft.com/office/drawing/2014/main" id="{CF72796C-9258-4862-BD79-2D58E0F6EB87}"/>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80" name="Rectangle 22">
                    <a:extLst>
                      <a:ext uri="{FF2B5EF4-FFF2-40B4-BE49-F238E27FC236}">
                        <a16:creationId xmlns:a16="http://schemas.microsoft.com/office/drawing/2014/main" id="{290A5502-5F63-4BAA-87BB-B227406C3AC6}"/>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83" name="Rectangle 23">
                    <a:extLst>
                      <a:ext uri="{FF2B5EF4-FFF2-40B4-BE49-F238E27FC236}">
                        <a16:creationId xmlns:a16="http://schemas.microsoft.com/office/drawing/2014/main" id="{E8EE99E2-77AE-4BB9-947E-774F01553CFB}"/>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84" name="Rectangle 15">
                  <a:extLst>
                    <a:ext uri="{FF2B5EF4-FFF2-40B4-BE49-F238E27FC236}">
                      <a16:creationId xmlns:a16="http://schemas.microsoft.com/office/drawing/2014/main" id="{D19F05A1-2E02-4789-A74E-67AE2434BB3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sp macro="" textlink="">
              <xdr:nvSpPr>
                <xdr:cNvPr id="6385" name="Right Brace 16">
                  <a:extLst>
                    <a:ext uri="{FF2B5EF4-FFF2-40B4-BE49-F238E27FC236}">
                      <a16:creationId xmlns:a16="http://schemas.microsoft.com/office/drawing/2014/main" id="{25814079-4030-4B61-8627-EEF514436F15}"/>
                    </a:ext>
                  </a:extLst>
                </xdr:cNvPr>
                <xdr:cNvSpPr/>
              </xdr:nvSpPr>
              <xdr:spPr>
                <a:xfrm rot="16200000" flipV="1">
                  <a:off x="3110755" y="3279850"/>
                  <a:ext cx="296409"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sp macro="" textlink="">
        <xdr:nvSpPr>
          <xdr:cNvPr id="6386" name="Rectangle 121">
            <a:extLst>
              <a:ext uri="{FF2B5EF4-FFF2-40B4-BE49-F238E27FC236}">
                <a16:creationId xmlns:a16="http://schemas.microsoft.com/office/drawing/2014/main" id="{C6780193-0428-4DBB-9866-346D63676163}"/>
              </a:ext>
            </a:extLst>
          </xdr:cNvPr>
          <xdr:cNvSpPr/>
        </xdr:nvSpPr>
        <xdr:spPr>
          <a:xfrm>
            <a:off x="8743914"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Process CO</a:t>
            </a:r>
            <a:r>
              <a:rPr lang="en-GB" sz="1200" baseline="-25000">
                <a:solidFill>
                  <a:schemeClr val="tx1"/>
                </a:solidFill>
              </a:rPr>
              <a:t>2</a:t>
            </a:r>
            <a:r>
              <a:rPr lang="en-GB" sz="1200">
                <a:solidFill>
                  <a:schemeClr val="tx1"/>
                </a:solidFill>
              </a:rPr>
              <a:t>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7" name="Rectangle 122">
            <a:extLst>
              <a:ext uri="{FF2B5EF4-FFF2-40B4-BE49-F238E27FC236}">
                <a16:creationId xmlns:a16="http://schemas.microsoft.com/office/drawing/2014/main" id="{7382D781-0D73-4B75-AF3B-71C11B3941C1}"/>
              </a:ext>
            </a:extLst>
          </xdr:cNvPr>
          <xdr:cNvSpPr/>
        </xdr:nvSpPr>
        <xdr:spPr>
          <a:xfrm>
            <a:off x="11304787" y="7275568"/>
            <a:ext cx="2146422" cy="65841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CO</a:t>
            </a:r>
            <a:r>
              <a:rPr lang="en-GB" sz="1200" baseline="-25000">
                <a:solidFill>
                  <a:schemeClr val="tx1"/>
                </a:solidFill>
              </a:rPr>
              <a:t>2</a:t>
            </a:r>
            <a:r>
              <a:rPr lang="en-GB" sz="1200" baseline="0">
                <a:solidFill>
                  <a:schemeClr val="tx1"/>
                </a:solidFill>
              </a:rPr>
              <a:t> capture and network entry</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8" name="Rectangle 123">
            <a:extLst>
              <a:ext uri="{FF2B5EF4-FFF2-40B4-BE49-F238E27FC236}">
                <a16:creationId xmlns:a16="http://schemas.microsoft.com/office/drawing/2014/main" id="{440655E4-3679-4C11-B322-3DD9CB4D2F80}"/>
              </a:ext>
            </a:extLst>
          </xdr:cNvPr>
          <xdr:cNvSpPr/>
        </xdr:nvSpPr>
        <xdr:spPr>
          <a:xfrm>
            <a:off x="13820658"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CO</a:t>
            </a:r>
            <a:r>
              <a:rPr lang="en-GB" sz="1200" baseline="-25000">
                <a:solidFill>
                  <a:schemeClr val="tx1"/>
                </a:solidFill>
              </a:rPr>
              <a:t>2</a:t>
            </a:r>
            <a:r>
              <a:rPr lang="en-GB" sz="1200">
                <a:solidFill>
                  <a:schemeClr val="tx1"/>
                </a:solidFill>
              </a:rPr>
              <a:t> sequestration</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9" name="Rectangle 124">
            <a:extLst>
              <a:ext uri="{FF2B5EF4-FFF2-40B4-BE49-F238E27FC236}">
                <a16:creationId xmlns:a16="http://schemas.microsoft.com/office/drawing/2014/main" id="{ABE68568-FCA3-48A4-B17F-E79FAB1C97FD}"/>
              </a:ext>
            </a:extLst>
          </xdr:cNvPr>
          <xdr:cNvSpPr/>
        </xdr:nvSpPr>
        <xdr:spPr>
          <a:xfrm>
            <a:off x="16316258" y="7273925"/>
            <a:ext cx="2146028"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Fugitive non-CO</a:t>
            </a:r>
            <a:r>
              <a:rPr lang="en-GB" sz="1200" baseline="-25000">
                <a:solidFill>
                  <a:schemeClr val="tx1"/>
                </a:solidFill>
              </a:rPr>
              <a:t>2</a:t>
            </a:r>
            <a:r>
              <a:rPr lang="en-GB" sz="1200">
                <a:solidFill>
                  <a:schemeClr val="tx1"/>
                </a:solidFill>
              </a:rPr>
              <a:t>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clientData/>
  </xdr:twoCellAnchor>
  <xdr:twoCellAnchor>
    <xdr:from>
      <xdr:col>13</xdr:col>
      <xdr:colOff>609599</xdr:colOff>
      <xdr:row>65</xdr:row>
      <xdr:rowOff>141899</xdr:rowOff>
    </xdr:from>
    <xdr:to>
      <xdr:col>17</xdr:col>
      <xdr:colOff>550799</xdr:colOff>
      <xdr:row>67</xdr:row>
      <xdr:rowOff>50799</xdr:rowOff>
    </xdr:to>
    <xdr:sp macro="" textlink="">
      <xdr:nvSpPr>
        <xdr:cNvPr id="6437" name="Right Brace 125">
          <a:extLst>
            <a:ext uri="{FF2B5EF4-FFF2-40B4-BE49-F238E27FC236}">
              <a16:creationId xmlns:a16="http://schemas.microsoft.com/office/drawing/2014/main" id="{FDA88632-3495-47E4-9CA7-006F78CA276E}"/>
            </a:ext>
          </a:extLst>
        </xdr:cNvPr>
        <xdr:cNvSpPr/>
      </xdr:nvSpPr>
      <xdr:spPr>
        <a:xfrm rot="16200000" flipV="1">
          <a:off x="9588774" y="6936124"/>
          <a:ext cx="27085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129722</xdr:colOff>
      <xdr:row>65</xdr:row>
      <xdr:rowOff>145074</xdr:rowOff>
    </xdr:from>
    <xdr:to>
      <xdr:col>22</xdr:col>
      <xdr:colOff>70922</xdr:colOff>
      <xdr:row>67</xdr:row>
      <xdr:rowOff>57149</xdr:rowOff>
    </xdr:to>
    <xdr:sp macro="" textlink="">
      <xdr:nvSpPr>
        <xdr:cNvPr id="5770" name="Right Brace 126">
          <a:extLst>
            <a:ext uri="{FF2B5EF4-FFF2-40B4-BE49-F238E27FC236}">
              <a16:creationId xmlns:a16="http://schemas.microsoft.com/office/drawing/2014/main" id="{DFBFB3BB-FA84-4BC3-BDCE-A67E2F07B002}"/>
            </a:ext>
          </a:extLst>
        </xdr:cNvPr>
        <xdr:cNvSpPr/>
      </xdr:nvSpPr>
      <xdr:spPr>
        <a:xfrm rot="16200000" flipV="1">
          <a:off x="12241034" y="7560012"/>
          <a:ext cx="293075"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259897</xdr:colOff>
      <xdr:row>65</xdr:row>
      <xdr:rowOff>145073</xdr:rowOff>
    </xdr:from>
    <xdr:to>
      <xdr:col>26</xdr:col>
      <xdr:colOff>201097</xdr:colOff>
      <xdr:row>67</xdr:row>
      <xdr:rowOff>50798</xdr:rowOff>
    </xdr:to>
    <xdr:sp macro="" textlink="">
      <xdr:nvSpPr>
        <xdr:cNvPr id="5781" name="Right Brace 127">
          <a:extLst>
            <a:ext uri="{FF2B5EF4-FFF2-40B4-BE49-F238E27FC236}">
              <a16:creationId xmlns:a16="http://schemas.microsoft.com/office/drawing/2014/main" id="{7FF53D7D-67AD-4D64-BFFB-2ECFE8662871}"/>
            </a:ext>
          </a:extLst>
        </xdr:cNvPr>
        <xdr:cNvSpPr/>
      </xdr:nvSpPr>
      <xdr:spPr>
        <a:xfrm rot="16200000" flipV="1">
          <a:off x="14823670" y="7556836"/>
          <a:ext cx="286725"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26</xdr:col>
      <xdr:colOff>394609</xdr:colOff>
      <xdr:row>65</xdr:row>
      <xdr:rowOff>141898</xdr:rowOff>
    </xdr:from>
    <xdr:to>
      <xdr:col>30</xdr:col>
      <xdr:colOff>335809</xdr:colOff>
      <xdr:row>67</xdr:row>
      <xdr:rowOff>47623</xdr:rowOff>
    </xdr:to>
    <xdr:sp macro="" textlink="">
      <xdr:nvSpPr>
        <xdr:cNvPr id="5799" name="Right Brace 128">
          <a:extLst>
            <a:ext uri="{FF2B5EF4-FFF2-40B4-BE49-F238E27FC236}">
              <a16:creationId xmlns:a16="http://schemas.microsoft.com/office/drawing/2014/main" id="{403E5F66-928E-4FB1-95FC-1C3257A85464}"/>
            </a:ext>
          </a:extLst>
        </xdr:cNvPr>
        <xdr:cNvSpPr/>
      </xdr:nvSpPr>
      <xdr:spPr>
        <a:xfrm rot="16200000" flipV="1">
          <a:off x="17407668" y="7553661"/>
          <a:ext cx="286725" cy="2390485"/>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13</xdr:col>
      <xdr:colOff>384174</xdr:colOff>
      <xdr:row>62</xdr:row>
      <xdr:rowOff>180973</xdr:rowOff>
    </xdr:from>
    <xdr:to>
      <xdr:col>14</xdr:col>
      <xdr:colOff>104020</xdr:colOff>
      <xdr:row>64</xdr:row>
      <xdr:rowOff>37729</xdr:rowOff>
    </xdr:to>
    <xdr:sp macro="" textlink="">
      <xdr:nvSpPr>
        <xdr:cNvPr id="208" name="Rectangle 129">
          <a:extLst>
            <a:ext uri="{FF2B5EF4-FFF2-40B4-BE49-F238E27FC236}">
              <a16:creationId xmlns:a16="http://schemas.microsoft.com/office/drawing/2014/main" id="{259D39BC-F66A-495A-BC19-FF04FB5AEF58}"/>
            </a:ext>
          </a:extLst>
        </xdr:cNvPr>
        <xdr:cNvSpPr/>
      </xdr:nvSpPr>
      <xdr:spPr>
        <a:xfrm>
          <a:off x="8308974" y="7486648"/>
          <a:ext cx="329446" cy="218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17</xdr:col>
      <xdr:colOff>561974</xdr:colOff>
      <xdr:row>63</xdr:row>
      <xdr:rowOff>9523</xdr:rowOff>
    </xdr:from>
    <xdr:to>
      <xdr:col>18</xdr:col>
      <xdr:colOff>284995</xdr:colOff>
      <xdr:row>64</xdr:row>
      <xdr:rowOff>37729</xdr:rowOff>
    </xdr:to>
    <xdr:sp macro="" textlink="">
      <xdr:nvSpPr>
        <xdr:cNvPr id="5744" name="Rectangle 130">
          <a:extLst>
            <a:ext uri="{FF2B5EF4-FFF2-40B4-BE49-F238E27FC236}">
              <a16:creationId xmlns:a16="http://schemas.microsoft.com/office/drawing/2014/main" id="{4D87BBD0-31E9-4EC1-8EA7-DAB6360E7D68}"/>
            </a:ext>
          </a:extLst>
        </xdr:cNvPr>
        <xdr:cNvSpPr/>
      </xdr:nvSpPr>
      <xdr:spPr>
        <a:xfrm>
          <a:off x="10925174" y="7496173"/>
          <a:ext cx="332621"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22</xdr:col>
      <xdr:colOff>76200</xdr:colOff>
      <xdr:row>63</xdr:row>
      <xdr:rowOff>6350</xdr:rowOff>
    </xdr:from>
    <xdr:to>
      <xdr:col>22</xdr:col>
      <xdr:colOff>408821</xdr:colOff>
      <xdr:row>64</xdr:row>
      <xdr:rowOff>37731</xdr:rowOff>
    </xdr:to>
    <xdr:sp macro="" textlink="">
      <xdr:nvSpPr>
        <xdr:cNvPr id="5733" name="Rectangle 131">
          <a:extLst>
            <a:ext uri="{FF2B5EF4-FFF2-40B4-BE49-F238E27FC236}">
              <a16:creationId xmlns:a16="http://schemas.microsoft.com/office/drawing/2014/main" id="{D57F1599-7AE2-4A2A-AC60-83EB9610CD3D}"/>
            </a:ext>
          </a:extLst>
        </xdr:cNvPr>
        <xdr:cNvSpPr/>
      </xdr:nvSpPr>
      <xdr:spPr>
        <a:xfrm>
          <a:off x="13487400" y="7493000"/>
          <a:ext cx="332621" cy="2123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26</xdr:col>
      <xdr:colOff>123825</xdr:colOff>
      <xdr:row>63</xdr:row>
      <xdr:rowOff>19050</xdr:rowOff>
    </xdr:from>
    <xdr:to>
      <xdr:col>26</xdr:col>
      <xdr:colOff>459621</xdr:colOff>
      <xdr:row>64</xdr:row>
      <xdr:rowOff>47256</xdr:rowOff>
    </xdr:to>
    <xdr:sp macro="" textlink="">
      <xdr:nvSpPr>
        <xdr:cNvPr id="5710" name="Rectangle 132">
          <a:extLst>
            <a:ext uri="{FF2B5EF4-FFF2-40B4-BE49-F238E27FC236}">
              <a16:creationId xmlns:a16="http://schemas.microsoft.com/office/drawing/2014/main" id="{A852CA7C-56BB-40F3-A548-93A81326AF1A}"/>
            </a:ext>
          </a:extLst>
        </xdr:cNvPr>
        <xdr:cNvSpPr/>
      </xdr:nvSpPr>
      <xdr:spPr>
        <a:xfrm>
          <a:off x="15973425" y="7505700"/>
          <a:ext cx="335796"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14</xdr:col>
      <xdr:colOff>114588</xdr:colOff>
      <xdr:row>68</xdr:row>
      <xdr:rowOff>29762</xdr:rowOff>
    </xdr:from>
    <xdr:to>
      <xdr:col>14</xdr:col>
      <xdr:colOff>352613</xdr:colOff>
      <xdr:row>74</xdr:row>
      <xdr:rowOff>132337</xdr:rowOff>
    </xdr:to>
    <xdr:sp macro="" textlink="">
      <xdr:nvSpPr>
        <xdr:cNvPr id="6209" name="Rectangle 136">
          <a:extLst>
            <a:ext uri="{FF2B5EF4-FFF2-40B4-BE49-F238E27FC236}">
              <a16:creationId xmlns:a16="http://schemas.microsoft.com/office/drawing/2014/main" id="{C6BF7D96-C225-43B4-900C-6C415340B894}"/>
            </a:ext>
          </a:extLst>
        </xdr:cNvPr>
        <xdr:cNvSpPr/>
      </xdr:nvSpPr>
      <xdr:spPr>
        <a:xfrm rot="16200000">
          <a:off x="8173788" y="8896487"/>
          <a:ext cx="118842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15</xdr:col>
      <xdr:colOff>85730</xdr:colOff>
      <xdr:row>68</xdr:row>
      <xdr:rowOff>26587</xdr:rowOff>
    </xdr:from>
    <xdr:to>
      <xdr:col>15</xdr:col>
      <xdr:colOff>454025</xdr:colOff>
      <xdr:row>74</xdr:row>
      <xdr:rowOff>171512</xdr:rowOff>
    </xdr:to>
    <xdr:sp macro="" textlink="">
      <xdr:nvSpPr>
        <xdr:cNvPr id="6210" name="Rectangle 137">
          <a:extLst>
            <a:ext uri="{FF2B5EF4-FFF2-40B4-BE49-F238E27FC236}">
              <a16:creationId xmlns:a16="http://schemas.microsoft.com/office/drawing/2014/main" id="{7708AD8C-2952-4DB9-92E7-40E355054366}"/>
            </a:ext>
          </a:extLst>
        </xdr:cNvPr>
        <xdr:cNvSpPr/>
      </xdr:nvSpPr>
      <xdr:spPr>
        <a:xfrm rot="16200000">
          <a:off x="8798490" y="9030327"/>
          <a:ext cx="1230775" cy="36829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16</xdr:col>
      <xdr:colOff>88312</xdr:colOff>
      <xdr:row>68</xdr:row>
      <xdr:rowOff>26586</xdr:rowOff>
    </xdr:from>
    <xdr:to>
      <xdr:col>16</xdr:col>
      <xdr:colOff>535562</xdr:colOff>
      <xdr:row>74</xdr:row>
      <xdr:rowOff>171511</xdr:rowOff>
    </xdr:to>
    <xdr:sp macro="" textlink="">
      <xdr:nvSpPr>
        <xdr:cNvPr id="6207" name="Rectangle 138">
          <a:extLst>
            <a:ext uri="{FF2B5EF4-FFF2-40B4-BE49-F238E27FC236}">
              <a16:creationId xmlns:a16="http://schemas.microsoft.com/office/drawing/2014/main" id="{D155227A-DE66-4421-82FD-78A9863B51AA}"/>
            </a:ext>
          </a:extLst>
        </xdr:cNvPr>
        <xdr:cNvSpPr/>
      </xdr:nvSpPr>
      <xdr:spPr>
        <a:xfrm rot="16200000">
          <a:off x="9450149"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17</xdr:col>
      <xdr:colOff>114718</xdr:colOff>
      <xdr:row>68</xdr:row>
      <xdr:rowOff>26586</xdr:rowOff>
    </xdr:from>
    <xdr:to>
      <xdr:col>17</xdr:col>
      <xdr:colOff>561968</xdr:colOff>
      <xdr:row>74</xdr:row>
      <xdr:rowOff>171511</xdr:rowOff>
    </xdr:to>
    <xdr:sp macro="" textlink="">
      <xdr:nvSpPr>
        <xdr:cNvPr id="6208" name="Rectangle 139">
          <a:extLst>
            <a:ext uri="{FF2B5EF4-FFF2-40B4-BE49-F238E27FC236}">
              <a16:creationId xmlns:a16="http://schemas.microsoft.com/office/drawing/2014/main" id="{B13C777B-CB52-4F36-A33C-65AD913E2554}"/>
            </a:ext>
          </a:extLst>
        </xdr:cNvPr>
        <xdr:cNvSpPr/>
      </xdr:nvSpPr>
      <xdr:spPr>
        <a:xfrm rot="16200000">
          <a:off x="10086155"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18</xdr:col>
      <xdr:colOff>193512</xdr:colOff>
      <xdr:row>68</xdr:row>
      <xdr:rowOff>10711</xdr:rowOff>
    </xdr:from>
    <xdr:to>
      <xdr:col>18</xdr:col>
      <xdr:colOff>431537</xdr:colOff>
      <xdr:row>74</xdr:row>
      <xdr:rowOff>113286</xdr:rowOff>
    </xdr:to>
    <xdr:sp macro="" textlink="">
      <xdr:nvSpPr>
        <xdr:cNvPr id="6220" name="Rectangle 141">
          <a:extLst>
            <a:ext uri="{FF2B5EF4-FFF2-40B4-BE49-F238E27FC236}">
              <a16:creationId xmlns:a16="http://schemas.microsoft.com/office/drawing/2014/main" id="{C2D82FC3-CFFD-450A-A215-5CAE562B0862}"/>
            </a:ext>
          </a:extLst>
        </xdr:cNvPr>
        <xdr:cNvSpPr/>
      </xdr:nvSpPr>
      <xdr:spPr>
        <a:xfrm rot="16200000">
          <a:off x="10752344" y="9549629"/>
          <a:ext cx="124557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19</xdr:col>
      <xdr:colOff>136073</xdr:colOff>
      <xdr:row>68</xdr:row>
      <xdr:rowOff>7535</xdr:rowOff>
    </xdr:from>
    <xdr:to>
      <xdr:col>19</xdr:col>
      <xdr:colOff>519794</xdr:colOff>
      <xdr:row>74</xdr:row>
      <xdr:rowOff>152460</xdr:rowOff>
    </xdr:to>
    <xdr:sp macro="" textlink="">
      <xdr:nvSpPr>
        <xdr:cNvPr id="6222" name="Rectangle 142">
          <a:extLst>
            <a:ext uri="{FF2B5EF4-FFF2-40B4-BE49-F238E27FC236}">
              <a16:creationId xmlns:a16="http://schemas.microsoft.com/office/drawing/2014/main" id="{94E668A9-51AD-4CA5-A7E9-8AFC7CA8E10D}"/>
            </a:ext>
          </a:extLst>
        </xdr:cNvPr>
        <xdr:cNvSpPr/>
      </xdr:nvSpPr>
      <xdr:spPr>
        <a:xfrm rot="16200000">
          <a:off x="11358900" y="9494780"/>
          <a:ext cx="1287925" cy="38372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20</xdr:col>
      <xdr:colOff>167236</xdr:colOff>
      <xdr:row>68</xdr:row>
      <xdr:rowOff>7535</xdr:rowOff>
    </xdr:from>
    <xdr:to>
      <xdr:col>21</xdr:col>
      <xdr:colOff>4886</xdr:colOff>
      <xdr:row>74</xdr:row>
      <xdr:rowOff>152460</xdr:rowOff>
    </xdr:to>
    <xdr:sp macro="" textlink="">
      <xdr:nvSpPr>
        <xdr:cNvPr id="6219" name="Rectangle 143">
          <a:extLst>
            <a:ext uri="{FF2B5EF4-FFF2-40B4-BE49-F238E27FC236}">
              <a16:creationId xmlns:a16="http://schemas.microsoft.com/office/drawing/2014/main" id="{BBAB12A7-0A12-414F-AAED-7D3145B3EEA1}"/>
            </a:ext>
          </a:extLst>
        </xdr:cNvPr>
        <xdr:cNvSpPr/>
      </xdr:nvSpPr>
      <xdr:spPr>
        <a:xfrm rot="16200000">
          <a:off x="12035509" y="9461655"/>
          <a:ext cx="1287925"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21</xdr:col>
      <xdr:colOff>193642</xdr:colOff>
      <xdr:row>68</xdr:row>
      <xdr:rowOff>7535</xdr:rowOff>
    </xdr:from>
    <xdr:to>
      <xdr:col>22</xdr:col>
      <xdr:colOff>31292</xdr:colOff>
      <xdr:row>74</xdr:row>
      <xdr:rowOff>152460</xdr:rowOff>
    </xdr:to>
    <xdr:sp macro="" textlink="">
      <xdr:nvSpPr>
        <xdr:cNvPr id="6221" name="Rectangle 144">
          <a:extLst>
            <a:ext uri="{FF2B5EF4-FFF2-40B4-BE49-F238E27FC236}">
              <a16:creationId xmlns:a16="http://schemas.microsoft.com/office/drawing/2014/main" id="{FA1BADBC-3EB4-4E83-BF28-8A9855645AED}"/>
            </a:ext>
          </a:extLst>
        </xdr:cNvPr>
        <xdr:cNvSpPr/>
      </xdr:nvSpPr>
      <xdr:spPr>
        <a:xfrm rot="16200000">
          <a:off x="12674236" y="9461655"/>
          <a:ext cx="1287925"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22</xdr:col>
      <xdr:colOff>384013</xdr:colOff>
      <xdr:row>68</xdr:row>
      <xdr:rowOff>1187</xdr:rowOff>
    </xdr:from>
    <xdr:to>
      <xdr:col>23</xdr:col>
      <xdr:colOff>12438</xdr:colOff>
      <xdr:row>74</xdr:row>
      <xdr:rowOff>103762</xdr:rowOff>
    </xdr:to>
    <xdr:sp macro="" textlink="">
      <xdr:nvSpPr>
        <xdr:cNvPr id="6233" name="Rectangle 145">
          <a:extLst>
            <a:ext uri="{FF2B5EF4-FFF2-40B4-BE49-F238E27FC236}">
              <a16:creationId xmlns:a16="http://schemas.microsoft.com/office/drawing/2014/main" id="{07408BC3-8652-4154-9AE1-E78DD77BFB73}"/>
            </a:ext>
          </a:extLst>
        </xdr:cNvPr>
        <xdr:cNvSpPr/>
      </xdr:nvSpPr>
      <xdr:spPr>
        <a:xfrm rot="16200000">
          <a:off x="13393491" y="9538745"/>
          <a:ext cx="1245575" cy="24074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23</xdr:col>
      <xdr:colOff>326577</xdr:colOff>
      <xdr:row>68</xdr:row>
      <xdr:rowOff>1187</xdr:rowOff>
    </xdr:from>
    <xdr:to>
      <xdr:col>24</xdr:col>
      <xdr:colOff>88451</xdr:colOff>
      <xdr:row>74</xdr:row>
      <xdr:rowOff>142937</xdr:rowOff>
    </xdr:to>
    <xdr:sp macro="" textlink="">
      <xdr:nvSpPr>
        <xdr:cNvPr id="6231" name="Rectangle 146">
          <a:extLst>
            <a:ext uri="{FF2B5EF4-FFF2-40B4-BE49-F238E27FC236}">
              <a16:creationId xmlns:a16="http://schemas.microsoft.com/office/drawing/2014/main" id="{49EA7DE0-86C5-423F-805D-B0B970CD7616}"/>
            </a:ext>
          </a:extLst>
        </xdr:cNvPr>
        <xdr:cNvSpPr/>
      </xdr:nvSpPr>
      <xdr:spPr>
        <a:xfrm rot="16200000">
          <a:off x="13995514" y="9491607"/>
          <a:ext cx="1284750" cy="3741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24</xdr:col>
      <xdr:colOff>357737</xdr:colOff>
      <xdr:row>67</xdr:row>
      <xdr:rowOff>178986</xdr:rowOff>
    </xdr:from>
    <xdr:to>
      <xdr:col>25</xdr:col>
      <xdr:colOff>195387</xdr:colOff>
      <xdr:row>74</xdr:row>
      <xdr:rowOff>142936</xdr:rowOff>
    </xdr:to>
    <xdr:sp macro="" textlink="">
      <xdr:nvSpPr>
        <xdr:cNvPr id="6234" name="Rectangle 147">
          <a:extLst>
            <a:ext uri="{FF2B5EF4-FFF2-40B4-BE49-F238E27FC236}">
              <a16:creationId xmlns:a16="http://schemas.microsoft.com/office/drawing/2014/main" id="{FD5CEDC0-99AE-4234-9A3E-BA8FAD91792A}"/>
            </a:ext>
          </a:extLst>
        </xdr:cNvPr>
        <xdr:cNvSpPr/>
      </xdr:nvSpPr>
      <xdr:spPr>
        <a:xfrm rot="16200000">
          <a:off x="14670534" y="9447368"/>
          <a:ext cx="1297450"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25</xdr:col>
      <xdr:colOff>384143</xdr:colOff>
      <xdr:row>67</xdr:row>
      <xdr:rowOff>178986</xdr:rowOff>
    </xdr:from>
    <xdr:to>
      <xdr:col>26</xdr:col>
      <xdr:colOff>221793</xdr:colOff>
      <xdr:row>74</xdr:row>
      <xdr:rowOff>142936</xdr:rowOff>
    </xdr:to>
    <xdr:sp macro="" textlink="">
      <xdr:nvSpPr>
        <xdr:cNvPr id="6232" name="Rectangle 148">
          <a:extLst>
            <a:ext uri="{FF2B5EF4-FFF2-40B4-BE49-F238E27FC236}">
              <a16:creationId xmlns:a16="http://schemas.microsoft.com/office/drawing/2014/main" id="{5D33498A-A18E-4C05-9D7F-75B6D04CAA72}"/>
            </a:ext>
          </a:extLst>
        </xdr:cNvPr>
        <xdr:cNvSpPr/>
      </xdr:nvSpPr>
      <xdr:spPr>
        <a:xfrm rot="16200000">
          <a:off x="15309261" y="9447368"/>
          <a:ext cx="1297450"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26</xdr:col>
      <xdr:colOff>490149</xdr:colOff>
      <xdr:row>67</xdr:row>
      <xdr:rowOff>172638</xdr:rowOff>
    </xdr:from>
    <xdr:to>
      <xdr:col>27</xdr:col>
      <xdr:colOff>118574</xdr:colOff>
      <xdr:row>74</xdr:row>
      <xdr:rowOff>97413</xdr:rowOff>
    </xdr:to>
    <xdr:sp macro="" textlink="">
      <xdr:nvSpPr>
        <xdr:cNvPr id="6235" name="Rectangle 149">
          <a:extLst>
            <a:ext uri="{FF2B5EF4-FFF2-40B4-BE49-F238E27FC236}">
              <a16:creationId xmlns:a16="http://schemas.microsoft.com/office/drawing/2014/main" id="{17917863-308E-4270-9025-FE54A1C46FE6}"/>
            </a:ext>
          </a:extLst>
        </xdr:cNvPr>
        <xdr:cNvSpPr/>
      </xdr:nvSpPr>
      <xdr:spPr>
        <a:xfrm rot="16200000">
          <a:off x="15942563" y="9526046"/>
          <a:ext cx="1258275" cy="24074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27</xdr:col>
      <xdr:colOff>470810</xdr:colOff>
      <xdr:row>67</xdr:row>
      <xdr:rowOff>172638</xdr:rowOff>
    </xdr:from>
    <xdr:to>
      <xdr:col>28</xdr:col>
      <xdr:colOff>270785</xdr:colOff>
      <xdr:row>74</xdr:row>
      <xdr:rowOff>130238</xdr:rowOff>
    </xdr:to>
    <xdr:sp macro="" textlink="">
      <xdr:nvSpPr>
        <xdr:cNvPr id="6236" name="Rectangle 150">
          <a:extLst>
            <a:ext uri="{FF2B5EF4-FFF2-40B4-BE49-F238E27FC236}">
              <a16:creationId xmlns:a16="http://schemas.microsoft.com/office/drawing/2014/main" id="{647F7AF5-7773-4C48-98CE-A8BD145C7B3F}"/>
            </a:ext>
          </a:extLst>
        </xdr:cNvPr>
        <xdr:cNvSpPr/>
      </xdr:nvSpPr>
      <xdr:spPr>
        <a:xfrm rot="16200000">
          <a:off x="16604908" y="9456683"/>
          <a:ext cx="1291100" cy="4122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28</xdr:col>
      <xdr:colOff>463873</xdr:colOff>
      <xdr:row>67</xdr:row>
      <xdr:rowOff>172637</xdr:rowOff>
    </xdr:from>
    <xdr:to>
      <xdr:col>29</xdr:col>
      <xdr:colOff>301523</xdr:colOff>
      <xdr:row>74</xdr:row>
      <xdr:rowOff>130237</xdr:rowOff>
    </xdr:to>
    <xdr:sp macro="" textlink="">
      <xdr:nvSpPr>
        <xdr:cNvPr id="6237" name="Rectangle 151">
          <a:extLst>
            <a:ext uri="{FF2B5EF4-FFF2-40B4-BE49-F238E27FC236}">
              <a16:creationId xmlns:a16="http://schemas.microsoft.com/office/drawing/2014/main" id="{B2813229-F055-45A4-9C48-B3B4BA3D5B05}"/>
            </a:ext>
          </a:extLst>
        </xdr:cNvPr>
        <xdr:cNvSpPr/>
      </xdr:nvSpPr>
      <xdr:spPr>
        <a:xfrm rot="16200000">
          <a:off x="17229130" y="9437844"/>
          <a:ext cx="1291100"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29</xdr:col>
      <xdr:colOff>490279</xdr:colOff>
      <xdr:row>67</xdr:row>
      <xdr:rowOff>172637</xdr:rowOff>
    </xdr:from>
    <xdr:to>
      <xdr:col>30</xdr:col>
      <xdr:colOff>327929</xdr:colOff>
      <xdr:row>74</xdr:row>
      <xdr:rowOff>130237</xdr:rowOff>
    </xdr:to>
    <xdr:sp macro="" textlink="">
      <xdr:nvSpPr>
        <xdr:cNvPr id="6238" name="Rectangle 152">
          <a:extLst>
            <a:ext uri="{FF2B5EF4-FFF2-40B4-BE49-F238E27FC236}">
              <a16:creationId xmlns:a16="http://schemas.microsoft.com/office/drawing/2014/main" id="{80B6210C-0F37-4EC1-BA97-6A37CD1388A5}"/>
            </a:ext>
          </a:extLst>
        </xdr:cNvPr>
        <xdr:cNvSpPr/>
      </xdr:nvSpPr>
      <xdr:spPr>
        <a:xfrm rot="16200000">
          <a:off x="17867858" y="9437844"/>
          <a:ext cx="1291100"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14</xdr:col>
      <xdr:colOff>333374</xdr:colOff>
      <xdr:row>70</xdr:row>
      <xdr:rowOff>69848</xdr:rowOff>
    </xdr:from>
    <xdr:to>
      <xdr:col>15</xdr:col>
      <xdr:colOff>65858</xdr:colOff>
      <xdr:row>71</xdr:row>
      <xdr:rowOff>107580</xdr:rowOff>
    </xdr:to>
    <xdr:sp macro="" textlink="">
      <xdr:nvSpPr>
        <xdr:cNvPr id="6348" name="Rectangle 153">
          <a:extLst>
            <a:ext uri="{FF2B5EF4-FFF2-40B4-BE49-F238E27FC236}">
              <a16:creationId xmlns:a16="http://schemas.microsoft.com/office/drawing/2014/main" id="{38448F37-011E-4565-8A23-3A9CC43C6123}"/>
            </a:ext>
          </a:extLst>
        </xdr:cNvPr>
        <xdr:cNvSpPr/>
      </xdr:nvSpPr>
      <xdr:spPr>
        <a:xfrm>
          <a:off x="8867774" y="88233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15</xdr:col>
      <xdr:colOff>384174</xdr:colOff>
      <xdr:row>70</xdr:row>
      <xdr:rowOff>38098</xdr:rowOff>
    </xdr:from>
    <xdr:to>
      <xdr:col>16</xdr:col>
      <xdr:colOff>116658</xdr:colOff>
      <xdr:row>71</xdr:row>
      <xdr:rowOff>75830</xdr:rowOff>
    </xdr:to>
    <xdr:sp macro="" textlink="">
      <xdr:nvSpPr>
        <xdr:cNvPr id="6351" name="Rectangle 154">
          <a:extLst>
            <a:ext uri="{FF2B5EF4-FFF2-40B4-BE49-F238E27FC236}">
              <a16:creationId xmlns:a16="http://schemas.microsoft.com/office/drawing/2014/main" id="{2F7611C6-8930-469A-82EF-9C6F64D8CC54}"/>
            </a:ext>
          </a:extLst>
        </xdr:cNvPr>
        <xdr:cNvSpPr/>
      </xdr:nvSpPr>
      <xdr:spPr>
        <a:xfrm>
          <a:off x="9528174" y="879157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16</xdr:col>
      <xdr:colOff>488949</xdr:colOff>
      <xdr:row>70</xdr:row>
      <xdr:rowOff>31748</xdr:rowOff>
    </xdr:from>
    <xdr:to>
      <xdr:col>17</xdr:col>
      <xdr:colOff>221433</xdr:colOff>
      <xdr:row>71</xdr:row>
      <xdr:rowOff>69480</xdr:rowOff>
    </xdr:to>
    <xdr:sp macro="" textlink="">
      <xdr:nvSpPr>
        <xdr:cNvPr id="6354" name="Rectangle 155">
          <a:extLst>
            <a:ext uri="{FF2B5EF4-FFF2-40B4-BE49-F238E27FC236}">
              <a16:creationId xmlns:a16="http://schemas.microsoft.com/office/drawing/2014/main" id="{EBAE5F18-3DF9-4230-BD86-7574E89559F1}"/>
            </a:ext>
          </a:extLst>
        </xdr:cNvPr>
        <xdr:cNvSpPr/>
      </xdr:nvSpPr>
      <xdr:spPr>
        <a:xfrm>
          <a:off x="10242549" y="87852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18</xdr:col>
      <xdr:colOff>472169</xdr:colOff>
      <xdr:row>70</xdr:row>
      <xdr:rowOff>19048</xdr:rowOff>
    </xdr:from>
    <xdr:to>
      <xdr:col>19</xdr:col>
      <xdr:colOff>201931</xdr:colOff>
      <xdr:row>71</xdr:row>
      <xdr:rowOff>56780</xdr:rowOff>
    </xdr:to>
    <xdr:sp macro="" textlink="">
      <xdr:nvSpPr>
        <xdr:cNvPr id="6357" name="Rectangle 156">
          <a:extLst>
            <a:ext uri="{FF2B5EF4-FFF2-40B4-BE49-F238E27FC236}">
              <a16:creationId xmlns:a16="http://schemas.microsoft.com/office/drawing/2014/main" id="{C3E16CC0-1AA9-40B1-B126-4F805695B2D0}"/>
            </a:ext>
          </a:extLst>
        </xdr:cNvPr>
        <xdr:cNvSpPr/>
      </xdr:nvSpPr>
      <xdr:spPr>
        <a:xfrm>
          <a:off x="11534776" y="943519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19</xdr:col>
      <xdr:colOff>475343</xdr:colOff>
      <xdr:row>70</xdr:row>
      <xdr:rowOff>28573</xdr:rowOff>
    </xdr:from>
    <xdr:to>
      <xdr:col>20</xdr:col>
      <xdr:colOff>205106</xdr:colOff>
      <xdr:row>71</xdr:row>
      <xdr:rowOff>66305</xdr:rowOff>
    </xdr:to>
    <xdr:sp macro="" textlink="">
      <xdr:nvSpPr>
        <xdr:cNvPr id="6363" name="Rectangle 157">
          <a:extLst>
            <a:ext uri="{FF2B5EF4-FFF2-40B4-BE49-F238E27FC236}">
              <a16:creationId xmlns:a16="http://schemas.microsoft.com/office/drawing/2014/main" id="{3A17F92F-5FF9-4FEB-964D-43C00294FFE6}"/>
            </a:ext>
          </a:extLst>
        </xdr:cNvPr>
        <xdr:cNvSpPr/>
      </xdr:nvSpPr>
      <xdr:spPr>
        <a:xfrm>
          <a:off x="12150272" y="944471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20</xdr:col>
      <xdr:colOff>557893</xdr:colOff>
      <xdr:row>70</xdr:row>
      <xdr:rowOff>12698</xdr:rowOff>
    </xdr:from>
    <xdr:to>
      <xdr:col>21</xdr:col>
      <xdr:colOff>287656</xdr:colOff>
      <xdr:row>71</xdr:row>
      <xdr:rowOff>50430</xdr:rowOff>
    </xdr:to>
    <xdr:sp macro="" textlink="">
      <xdr:nvSpPr>
        <xdr:cNvPr id="6366" name="Rectangle 159">
          <a:extLst>
            <a:ext uri="{FF2B5EF4-FFF2-40B4-BE49-F238E27FC236}">
              <a16:creationId xmlns:a16="http://schemas.microsoft.com/office/drawing/2014/main" id="{1743B89F-A0A4-4817-B29D-CC0220853745}"/>
            </a:ext>
          </a:extLst>
        </xdr:cNvPr>
        <xdr:cNvSpPr/>
      </xdr:nvSpPr>
      <xdr:spPr>
        <a:xfrm>
          <a:off x="12845143" y="942884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23</xdr:col>
      <xdr:colOff>2722</xdr:colOff>
      <xdr:row>70</xdr:row>
      <xdr:rowOff>9523</xdr:rowOff>
    </xdr:from>
    <xdr:to>
      <xdr:col>23</xdr:col>
      <xdr:colOff>344806</xdr:colOff>
      <xdr:row>71</xdr:row>
      <xdr:rowOff>47255</xdr:rowOff>
    </xdr:to>
    <xdr:sp macro="" textlink="">
      <xdr:nvSpPr>
        <xdr:cNvPr id="6369" name="Rectangle 160">
          <a:extLst>
            <a:ext uri="{FF2B5EF4-FFF2-40B4-BE49-F238E27FC236}">
              <a16:creationId xmlns:a16="http://schemas.microsoft.com/office/drawing/2014/main" id="{BAB7C82F-2BFD-4058-BC54-A8B9A5C0FE0E}"/>
            </a:ext>
          </a:extLst>
        </xdr:cNvPr>
        <xdr:cNvSpPr/>
      </xdr:nvSpPr>
      <xdr:spPr>
        <a:xfrm>
          <a:off x="14126936" y="942566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24</xdr:col>
      <xdr:colOff>69397</xdr:colOff>
      <xdr:row>70</xdr:row>
      <xdr:rowOff>3173</xdr:rowOff>
    </xdr:from>
    <xdr:to>
      <xdr:col>24</xdr:col>
      <xdr:colOff>411481</xdr:colOff>
      <xdr:row>71</xdr:row>
      <xdr:rowOff>40905</xdr:rowOff>
    </xdr:to>
    <xdr:sp macro="" textlink="">
      <xdr:nvSpPr>
        <xdr:cNvPr id="6372" name="Rectangle 161">
          <a:extLst>
            <a:ext uri="{FF2B5EF4-FFF2-40B4-BE49-F238E27FC236}">
              <a16:creationId xmlns:a16="http://schemas.microsoft.com/office/drawing/2014/main" id="{9A51A4DE-2919-46E3-8C50-DD7750E50C0B}"/>
            </a:ext>
          </a:extLst>
        </xdr:cNvPr>
        <xdr:cNvSpPr/>
      </xdr:nvSpPr>
      <xdr:spPr>
        <a:xfrm>
          <a:off x="14805933" y="941931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25</xdr:col>
      <xdr:colOff>139247</xdr:colOff>
      <xdr:row>70</xdr:row>
      <xdr:rowOff>3173</xdr:rowOff>
    </xdr:from>
    <xdr:to>
      <xdr:col>25</xdr:col>
      <xdr:colOff>484053</xdr:colOff>
      <xdr:row>71</xdr:row>
      <xdr:rowOff>40905</xdr:rowOff>
    </xdr:to>
    <xdr:sp macro="" textlink="">
      <xdr:nvSpPr>
        <xdr:cNvPr id="6375" name="Rectangle 162">
          <a:extLst>
            <a:ext uri="{FF2B5EF4-FFF2-40B4-BE49-F238E27FC236}">
              <a16:creationId xmlns:a16="http://schemas.microsoft.com/office/drawing/2014/main" id="{72F7ED32-465A-4B18-9C00-5CC26A327B6A}"/>
            </a:ext>
          </a:extLst>
        </xdr:cNvPr>
        <xdr:cNvSpPr/>
      </xdr:nvSpPr>
      <xdr:spPr>
        <a:xfrm>
          <a:off x="15488104" y="9419316"/>
          <a:ext cx="344806"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27</xdr:col>
      <xdr:colOff>159657</xdr:colOff>
      <xdr:row>70</xdr:row>
      <xdr:rowOff>22223</xdr:rowOff>
    </xdr:from>
    <xdr:to>
      <xdr:col>27</xdr:col>
      <xdr:colOff>501741</xdr:colOff>
      <xdr:row>71</xdr:row>
      <xdr:rowOff>56780</xdr:rowOff>
    </xdr:to>
    <xdr:sp macro="" textlink="">
      <xdr:nvSpPr>
        <xdr:cNvPr id="6378" name="Rectangle 163">
          <a:extLst>
            <a:ext uri="{FF2B5EF4-FFF2-40B4-BE49-F238E27FC236}">
              <a16:creationId xmlns:a16="http://schemas.microsoft.com/office/drawing/2014/main" id="{F13DC197-ED64-46FF-A6FA-AC4ACEB3504F}"/>
            </a:ext>
          </a:extLst>
        </xdr:cNvPr>
        <xdr:cNvSpPr/>
      </xdr:nvSpPr>
      <xdr:spPr>
        <a:xfrm>
          <a:off x="16733157" y="9438366"/>
          <a:ext cx="342084" cy="225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28</xdr:col>
      <xdr:colOff>166007</xdr:colOff>
      <xdr:row>70</xdr:row>
      <xdr:rowOff>12698</xdr:rowOff>
    </xdr:from>
    <xdr:to>
      <xdr:col>28</xdr:col>
      <xdr:colOff>508091</xdr:colOff>
      <xdr:row>71</xdr:row>
      <xdr:rowOff>50430</xdr:rowOff>
    </xdr:to>
    <xdr:sp macro="" textlink="">
      <xdr:nvSpPr>
        <xdr:cNvPr id="6381" name="Rectangle 164">
          <a:extLst>
            <a:ext uri="{FF2B5EF4-FFF2-40B4-BE49-F238E27FC236}">
              <a16:creationId xmlns:a16="http://schemas.microsoft.com/office/drawing/2014/main" id="{C7856B3B-B12F-42BF-897C-27645072D5EC}"/>
            </a:ext>
          </a:extLst>
        </xdr:cNvPr>
        <xdr:cNvSpPr/>
      </xdr:nvSpPr>
      <xdr:spPr>
        <a:xfrm>
          <a:off x="17351828" y="942884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29</xdr:col>
      <xdr:colOff>232682</xdr:colOff>
      <xdr:row>69</xdr:row>
      <xdr:rowOff>180973</xdr:rowOff>
    </xdr:from>
    <xdr:to>
      <xdr:col>29</xdr:col>
      <xdr:colOff>577487</xdr:colOff>
      <xdr:row>71</xdr:row>
      <xdr:rowOff>37730</xdr:rowOff>
    </xdr:to>
    <xdr:sp macro="" textlink="">
      <xdr:nvSpPr>
        <xdr:cNvPr id="6382" name="Rectangle 165">
          <a:extLst>
            <a:ext uri="{FF2B5EF4-FFF2-40B4-BE49-F238E27FC236}">
              <a16:creationId xmlns:a16="http://schemas.microsoft.com/office/drawing/2014/main" id="{477D6D0E-9B66-4EE1-9298-42730AA6122D}"/>
            </a:ext>
          </a:extLst>
        </xdr:cNvPr>
        <xdr:cNvSpPr/>
      </xdr:nvSpPr>
      <xdr:spPr>
        <a:xfrm>
          <a:off x="18030825" y="9406616"/>
          <a:ext cx="344805" cy="2377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14</xdr:col>
      <xdr:colOff>38099</xdr:colOff>
      <xdr:row>74</xdr:row>
      <xdr:rowOff>173649</xdr:rowOff>
    </xdr:from>
    <xdr:to>
      <xdr:col>17</xdr:col>
      <xdr:colOff>588899</xdr:colOff>
      <xdr:row>76</xdr:row>
      <xdr:rowOff>76199</xdr:rowOff>
    </xdr:to>
    <xdr:sp macro="" textlink="">
      <xdr:nvSpPr>
        <xdr:cNvPr id="6440" name="Right Brace 167">
          <a:extLst>
            <a:ext uri="{FF2B5EF4-FFF2-40B4-BE49-F238E27FC236}">
              <a16:creationId xmlns:a16="http://schemas.microsoft.com/office/drawing/2014/main" id="{B8ABE2CB-5AE1-4190-8CC3-500D59E57A40}"/>
            </a:ext>
          </a:extLst>
        </xdr:cNvPr>
        <xdr:cNvSpPr/>
      </xdr:nvSpPr>
      <xdr:spPr>
        <a:xfrm rot="16200000" flipV="1">
          <a:off x="9630049" y="8593474"/>
          <a:ext cx="26450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174172</xdr:colOff>
      <xdr:row>74</xdr:row>
      <xdr:rowOff>179999</xdr:rowOff>
    </xdr:from>
    <xdr:to>
      <xdr:col>22</xdr:col>
      <xdr:colOff>115372</xdr:colOff>
      <xdr:row>76</xdr:row>
      <xdr:rowOff>88899</xdr:rowOff>
    </xdr:to>
    <xdr:sp macro="" textlink="">
      <xdr:nvSpPr>
        <xdr:cNvPr id="6443" name="Right Brace 168">
          <a:extLst>
            <a:ext uri="{FF2B5EF4-FFF2-40B4-BE49-F238E27FC236}">
              <a16:creationId xmlns:a16="http://schemas.microsoft.com/office/drawing/2014/main" id="{3ADAFD78-B28D-4A22-B9BF-2DCFD59F0C49}"/>
            </a:ext>
          </a:extLst>
        </xdr:cNvPr>
        <xdr:cNvSpPr/>
      </xdr:nvSpPr>
      <xdr:spPr>
        <a:xfrm rot="16200000" flipV="1">
          <a:off x="12287072" y="9307849"/>
          <a:ext cx="289900"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355147</xdr:colOff>
      <xdr:row>74</xdr:row>
      <xdr:rowOff>173649</xdr:rowOff>
    </xdr:from>
    <xdr:to>
      <xdr:col>26</xdr:col>
      <xdr:colOff>296347</xdr:colOff>
      <xdr:row>76</xdr:row>
      <xdr:rowOff>76199</xdr:rowOff>
    </xdr:to>
    <xdr:sp macro="" textlink="">
      <xdr:nvSpPr>
        <xdr:cNvPr id="6446" name="Right Brace 169">
          <a:extLst>
            <a:ext uri="{FF2B5EF4-FFF2-40B4-BE49-F238E27FC236}">
              <a16:creationId xmlns:a16="http://schemas.microsoft.com/office/drawing/2014/main" id="{19F29A92-A06E-4F54-83F3-3CFF35327F62}"/>
            </a:ext>
          </a:extLst>
        </xdr:cNvPr>
        <xdr:cNvSpPr/>
      </xdr:nvSpPr>
      <xdr:spPr>
        <a:xfrm rot="16200000" flipV="1">
          <a:off x="14920508" y="9298324"/>
          <a:ext cx="283550"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26</xdr:col>
      <xdr:colOff>490311</xdr:colOff>
      <xdr:row>74</xdr:row>
      <xdr:rowOff>173649</xdr:rowOff>
    </xdr:from>
    <xdr:to>
      <xdr:col>30</xdr:col>
      <xdr:colOff>428790</xdr:colOff>
      <xdr:row>76</xdr:row>
      <xdr:rowOff>76199</xdr:rowOff>
    </xdr:to>
    <xdr:sp macro="" textlink="">
      <xdr:nvSpPr>
        <xdr:cNvPr id="6447" name="Right Brace 170">
          <a:extLst>
            <a:ext uri="{FF2B5EF4-FFF2-40B4-BE49-F238E27FC236}">
              <a16:creationId xmlns:a16="http://schemas.microsoft.com/office/drawing/2014/main" id="{2C999773-1A5F-4095-8587-3099159CDAB4}"/>
            </a:ext>
          </a:extLst>
        </xdr:cNvPr>
        <xdr:cNvSpPr/>
      </xdr:nvSpPr>
      <xdr:spPr>
        <a:xfrm rot="16200000" flipV="1">
          <a:off x="17503597" y="9299685"/>
          <a:ext cx="283550" cy="2387764"/>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14</xdr:col>
      <xdr:colOff>85724</xdr:colOff>
      <xdr:row>76</xdr:row>
      <xdr:rowOff>76198</xdr:rowOff>
    </xdr:from>
    <xdr:to>
      <xdr:col>17</xdr:col>
      <xdr:colOff>448855</xdr:colOff>
      <xdr:row>78</xdr:row>
      <xdr:rowOff>150856</xdr:rowOff>
    </xdr:to>
    <xdr:sp macro="" textlink="">
      <xdr:nvSpPr>
        <xdr:cNvPr id="6578" name="Rectangle 171">
          <a:extLst>
            <a:ext uri="{FF2B5EF4-FFF2-40B4-BE49-F238E27FC236}">
              <a16:creationId xmlns:a16="http://schemas.microsoft.com/office/drawing/2014/main" id="{A26F2E9E-2DEB-46BF-AE46-E427D99F7345}"/>
            </a:ext>
          </a:extLst>
        </xdr:cNvPr>
        <xdr:cNvSpPr/>
      </xdr:nvSpPr>
      <xdr:spPr>
        <a:xfrm>
          <a:off x="8620124" y="9915523"/>
          <a:ext cx="2191931" cy="43660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18</xdr:col>
      <xdr:colOff>269422</xdr:colOff>
      <xdr:row>76</xdr:row>
      <xdr:rowOff>76198</xdr:rowOff>
    </xdr:from>
    <xdr:to>
      <xdr:col>22</xdr:col>
      <xdr:colOff>22953</xdr:colOff>
      <xdr:row>78</xdr:row>
      <xdr:rowOff>150856</xdr:rowOff>
    </xdr:to>
    <xdr:sp macro="" textlink="">
      <xdr:nvSpPr>
        <xdr:cNvPr id="6577" name="Rectangle 172">
          <a:extLst>
            <a:ext uri="{FF2B5EF4-FFF2-40B4-BE49-F238E27FC236}">
              <a16:creationId xmlns:a16="http://schemas.microsoft.com/office/drawing/2014/main" id="{F01FCFA1-DFDF-4036-9096-8EA13A0EFFC1}"/>
            </a:ext>
          </a:extLst>
        </xdr:cNvPr>
        <xdr:cNvSpPr/>
      </xdr:nvSpPr>
      <xdr:spPr>
        <a:xfrm>
          <a:off x="11332029" y="10635341"/>
          <a:ext cx="2202817"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22</xdr:col>
      <xdr:colOff>462644</xdr:colOff>
      <xdr:row>76</xdr:row>
      <xdr:rowOff>76198</xdr:rowOff>
    </xdr:from>
    <xdr:to>
      <xdr:col>26</xdr:col>
      <xdr:colOff>213454</xdr:colOff>
      <xdr:row>78</xdr:row>
      <xdr:rowOff>150856</xdr:rowOff>
    </xdr:to>
    <xdr:sp macro="" textlink="">
      <xdr:nvSpPr>
        <xdr:cNvPr id="6576" name="Rectangle 173">
          <a:extLst>
            <a:ext uri="{FF2B5EF4-FFF2-40B4-BE49-F238E27FC236}">
              <a16:creationId xmlns:a16="http://schemas.microsoft.com/office/drawing/2014/main" id="{D80E76DB-30C2-4E11-A070-B32161C4012F}"/>
            </a:ext>
          </a:extLst>
        </xdr:cNvPr>
        <xdr:cNvSpPr/>
      </xdr:nvSpPr>
      <xdr:spPr>
        <a:xfrm>
          <a:off x="13974537" y="10635341"/>
          <a:ext cx="2200096"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26</xdr:col>
      <xdr:colOff>572862</xdr:colOff>
      <xdr:row>76</xdr:row>
      <xdr:rowOff>76198</xdr:rowOff>
    </xdr:from>
    <xdr:to>
      <xdr:col>30</xdr:col>
      <xdr:colOff>323672</xdr:colOff>
      <xdr:row>78</xdr:row>
      <xdr:rowOff>150856</xdr:rowOff>
    </xdr:to>
    <xdr:sp macro="" textlink="">
      <xdr:nvSpPr>
        <xdr:cNvPr id="6590" name="Rectangle 174">
          <a:extLst>
            <a:ext uri="{FF2B5EF4-FFF2-40B4-BE49-F238E27FC236}">
              <a16:creationId xmlns:a16="http://schemas.microsoft.com/office/drawing/2014/main" id="{C3E66143-F67E-4E8E-BBDE-F8BBC4E98FD0}"/>
            </a:ext>
          </a:extLst>
        </xdr:cNvPr>
        <xdr:cNvSpPr/>
      </xdr:nvSpPr>
      <xdr:spPr>
        <a:xfrm>
          <a:off x="16534041" y="10635341"/>
          <a:ext cx="2200095"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30</xdr:col>
      <xdr:colOff>530648</xdr:colOff>
      <xdr:row>28</xdr:row>
      <xdr:rowOff>30907</xdr:rowOff>
    </xdr:from>
    <xdr:to>
      <xdr:col>34</xdr:col>
      <xdr:colOff>268190</xdr:colOff>
      <xdr:row>30</xdr:row>
      <xdr:rowOff>150159</xdr:rowOff>
    </xdr:to>
    <xdr:sp macro="" textlink="">
      <xdr:nvSpPr>
        <xdr:cNvPr id="6458" name="TextBox 52">
          <a:extLst>
            <a:ext uri="{FF2B5EF4-FFF2-40B4-BE49-F238E27FC236}">
              <a16:creationId xmlns:a16="http://schemas.microsoft.com/office/drawing/2014/main" id="{8F010B29-2211-412E-A45E-2DB5FB3BDF98}"/>
            </a:ext>
          </a:extLst>
        </xdr:cNvPr>
        <xdr:cNvSpPr txBox="1"/>
      </xdr:nvSpPr>
      <xdr:spPr>
        <a:xfrm>
          <a:off x="18894848" y="5145832"/>
          <a:ext cx="2175942" cy="4812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is likely</a:t>
          </a:r>
          <a:r>
            <a:rPr lang="en-GB" sz="1100" baseline="0"/>
            <a:t> to be </a:t>
          </a:r>
          <a:r>
            <a:rPr lang="en-GB" sz="1100"/>
            <a:t>compliant</a:t>
          </a:r>
          <a:r>
            <a:rPr lang="en-GB" sz="1100" baseline="0"/>
            <a:t> with the GHG emissions threshold.</a:t>
          </a:r>
          <a:endParaRPr lang="en-GB" sz="1100"/>
        </a:p>
      </xdr:txBody>
    </xdr:sp>
    <xdr:clientData/>
  </xdr:twoCellAnchor>
  <xdr:twoCellAnchor>
    <xdr:from>
      <xdr:col>9</xdr:col>
      <xdr:colOff>66819</xdr:colOff>
      <xdr:row>27</xdr:row>
      <xdr:rowOff>20518</xdr:rowOff>
    </xdr:from>
    <xdr:to>
      <xdr:col>12</xdr:col>
      <xdr:colOff>364378</xdr:colOff>
      <xdr:row>28</xdr:row>
      <xdr:rowOff>145116</xdr:rowOff>
    </xdr:to>
    <xdr:sp macro="" textlink="">
      <xdr:nvSpPr>
        <xdr:cNvPr id="165" name="TextBox 54">
          <a:extLst>
            <a:ext uri="{FF2B5EF4-FFF2-40B4-BE49-F238E27FC236}">
              <a16:creationId xmlns:a16="http://schemas.microsoft.com/office/drawing/2014/main" id="{BA6A9B9D-8540-4B85-9E4E-38C5E13465E0}"/>
            </a:ext>
          </a:extLst>
        </xdr:cNvPr>
        <xdr:cNvSpPr txBox="1"/>
      </xdr:nvSpPr>
      <xdr:spPr>
        <a:xfrm>
          <a:off x="5629419" y="4954468"/>
          <a:ext cx="2126359" cy="3055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cumulative efficiency.</a:t>
          </a:r>
        </a:p>
      </xdr:txBody>
    </xdr:sp>
    <xdr:clientData/>
  </xdr:twoCellAnchor>
  <xdr:twoCellAnchor>
    <xdr:from>
      <xdr:col>9</xdr:col>
      <xdr:colOff>599049</xdr:colOff>
      <xdr:row>24</xdr:row>
      <xdr:rowOff>122690</xdr:rowOff>
    </xdr:from>
    <xdr:to>
      <xdr:col>11</xdr:col>
      <xdr:colOff>379379</xdr:colOff>
      <xdr:row>26</xdr:row>
      <xdr:rowOff>36171</xdr:rowOff>
    </xdr:to>
    <xdr:sp macro="" textlink="">
      <xdr:nvSpPr>
        <xdr:cNvPr id="171" name="Rectangle 53">
          <a:extLst>
            <a:ext uri="{FF2B5EF4-FFF2-40B4-BE49-F238E27FC236}">
              <a16:creationId xmlns:a16="http://schemas.microsoft.com/office/drawing/2014/main" id="{EBACE01B-1BD7-4948-8A34-D475CBEDCDB6}"/>
            </a:ext>
          </a:extLst>
        </xdr:cNvPr>
        <xdr:cNvSpPr/>
      </xdr:nvSpPr>
      <xdr:spPr>
        <a:xfrm>
          <a:off x="6161649" y="4513715"/>
          <a:ext cx="999530" cy="27543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190500</xdr:colOff>
      <xdr:row>10</xdr:row>
      <xdr:rowOff>161925</xdr:rowOff>
    </xdr:from>
    <xdr:to>
      <xdr:col>10</xdr:col>
      <xdr:colOff>19050</xdr:colOff>
      <xdr:row>24</xdr:row>
      <xdr:rowOff>28575</xdr:rowOff>
    </xdr:to>
    <xdr:sp macro="" textlink="">
      <xdr:nvSpPr>
        <xdr:cNvPr id="6756" name="Rectangle 80">
          <a:extLst>
            <a:ext uri="{FF2B5EF4-FFF2-40B4-BE49-F238E27FC236}">
              <a16:creationId xmlns:a16="http://schemas.microsoft.com/office/drawing/2014/main" id="{02F28B66-C5B4-4BFE-B0FB-A57D070CD917}"/>
            </a:ext>
          </a:extLst>
        </xdr:cNvPr>
        <xdr:cNvSpPr/>
      </xdr:nvSpPr>
      <xdr:spPr>
        <a:xfrm>
          <a:off x="4533900" y="2019300"/>
          <a:ext cx="1657350" cy="24003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108209</xdr:colOff>
      <xdr:row>11</xdr:row>
      <xdr:rowOff>26919</xdr:rowOff>
    </xdr:from>
    <xdr:to>
      <xdr:col>8</xdr:col>
      <xdr:colOff>356015</xdr:colOff>
      <xdr:row>12</xdr:row>
      <xdr:rowOff>9936</xdr:rowOff>
    </xdr:to>
    <xdr:sp macro="" textlink="">
      <xdr:nvSpPr>
        <xdr:cNvPr id="150" name="Rectangle 81">
          <a:extLst>
            <a:ext uri="{FF2B5EF4-FFF2-40B4-BE49-F238E27FC236}">
              <a16:creationId xmlns:a16="http://schemas.microsoft.com/office/drawing/2014/main" id="{3A8DEE95-F200-4F7B-B1AB-123C700FB885}"/>
            </a:ext>
          </a:extLst>
        </xdr:cNvPr>
        <xdr:cNvSpPr/>
      </xdr:nvSpPr>
      <xdr:spPr>
        <a:xfrm>
          <a:off x="5027591" y="2055184"/>
          <a:ext cx="247806" cy="1623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1</a:t>
          </a:r>
        </a:p>
      </xdr:txBody>
    </xdr:sp>
    <xdr:clientData/>
  </xdr:twoCellAnchor>
  <xdr:twoCellAnchor>
    <xdr:from>
      <xdr:col>14</xdr:col>
      <xdr:colOff>326605</xdr:colOff>
      <xdr:row>11</xdr:row>
      <xdr:rowOff>8055</xdr:rowOff>
    </xdr:from>
    <xdr:to>
      <xdr:col>14</xdr:col>
      <xdr:colOff>572075</xdr:colOff>
      <xdr:row>12</xdr:row>
      <xdr:rowOff>12450</xdr:rowOff>
    </xdr:to>
    <xdr:sp macro="" textlink="">
      <xdr:nvSpPr>
        <xdr:cNvPr id="133" name="Rectangle 83">
          <a:extLst>
            <a:ext uri="{FF2B5EF4-FFF2-40B4-BE49-F238E27FC236}">
              <a16:creationId xmlns:a16="http://schemas.microsoft.com/office/drawing/2014/main" id="{3176251D-E175-40B8-BA94-EEC848E0D542}"/>
            </a:ext>
          </a:extLst>
        </xdr:cNvPr>
        <xdr:cNvSpPr/>
      </xdr:nvSpPr>
      <xdr:spPr>
        <a:xfrm>
          <a:off x="8924505" y="2027355"/>
          <a:ext cx="245470" cy="1821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2</a:t>
          </a:r>
        </a:p>
      </xdr:txBody>
    </xdr:sp>
    <xdr:clientData/>
  </xdr:twoCellAnchor>
  <xdr:twoCellAnchor>
    <xdr:from>
      <xdr:col>21</xdr:col>
      <xdr:colOff>531637</xdr:colOff>
      <xdr:row>10</xdr:row>
      <xdr:rowOff>174650</xdr:rowOff>
    </xdr:from>
    <xdr:to>
      <xdr:col>22</xdr:col>
      <xdr:colOff>171725</xdr:colOff>
      <xdr:row>11</xdr:row>
      <xdr:rowOff>157667</xdr:rowOff>
    </xdr:to>
    <xdr:sp macro="" textlink="">
      <xdr:nvSpPr>
        <xdr:cNvPr id="134" name="Rectangle 109">
          <a:extLst>
            <a:ext uri="{FF2B5EF4-FFF2-40B4-BE49-F238E27FC236}">
              <a16:creationId xmlns:a16="http://schemas.microsoft.com/office/drawing/2014/main" id="{A056416D-9B8E-4310-A66B-7EC00BBE0A3D}"/>
            </a:ext>
          </a:extLst>
        </xdr:cNvPr>
        <xdr:cNvSpPr/>
      </xdr:nvSpPr>
      <xdr:spPr>
        <a:xfrm>
          <a:off x="13396737" y="2016150"/>
          <a:ext cx="249688" cy="160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3</a:t>
          </a:r>
        </a:p>
      </xdr:txBody>
    </xdr:sp>
    <xdr:clientData/>
  </xdr:twoCellAnchor>
  <xdr:twoCellAnchor>
    <xdr:from>
      <xdr:col>10</xdr:col>
      <xdr:colOff>38099</xdr:colOff>
      <xdr:row>10</xdr:row>
      <xdr:rowOff>159186</xdr:rowOff>
    </xdr:from>
    <xdr:to>
      <xdr:col>20</xdr:col>
      <xdr:colOff>228600</xdr:colOff>
      <xdr:row>22</xdr:row>
      <xdr:rowOff>95250</xdr:rowOff>
    </xdr:to>
    <xdr:sp macro="" textlink="">
      <xdr:nvSpPr>
        <xdr:cNvPr id="6742" name="Rectangle 80">
          <a:extLst>
            <a:ext uri="{FF2B5EF4-FFF2-40B4-BE49-F238E27FC236}">
              <a16:creationId xmlns:a16="http://schemas.microsoft.com/office/drawing/2014/main" id="{DBA384D5-5D2C-4824-8352-4B62AE754389}"/>
            </a:ext>
          </a:extLst>
        </xdr:cNvPr>
        <xdr:cNvSpPr/>
      </xdr:nvSpPr>
      <xdr:spPr>
        <a:xfrm>
          <a:off x="6210299" y="2016561"/>
          <a:ext cx="6286501" cy="21077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219074</xdr:colOff>
      <xdr:row>10</xdr:row>
      <xdr:rowOff>161927</xdr:rowOff>
    </xdr:from>
    <xdr:to>
      <xdr:col>28</xdr:col>
      <xdr:colOff>577850</xdr:colOff>
      <xdr:row>22</xdr:row>
      <xdr:rowOff>114301</xdr:rowOff>
    </xdr:to>
    <xdr:sp macro="" textlink="">
      <xdr:nvSpPr>
        <xdr:cNvPr id="6743" name="Rectangle 80">
          <a:extLst>
            <a:ext uri="{FF2B5EF4-FFF2-40B4-BE49-F238E27FC236}">
              <a16:creationId xmlns:a16="http://schemas.microsoft.com/office/drawing/2014/main" id="{46EBAEFE-1527-4503-AA61-8E36BE490B26}"/>
            </a:ext>
          </a:extLst>
        </xdr:cNvPr>
        <xdr:cNvSpPr/>
      </xdr:nvSpPr>
      <xdr:spPr>
        <a:xfrm>
          <a:off x="12487274" y="2019302"/>
          <a:ext cx="5235576" cy="212407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30</xdr:col>
      <xdr:colOff>465014</xdr:colOff>
      <xdr:row>24</xdr:row>
      <xdr:rowOff>125428</xdr:rowOff>
    </xdr:from>
    <xdr:to>
      <xdr:col>33</xdr:col>
      <xdr:colOff>533399</xdr:colOff>
      <xdr:row>27</xdr:row>
      <xdr:rowOff>57150</xdr:rowOff>
    </xdr:to>
    <xdr:sp macro="" textlink="">
      <xdr:nvSpPr>
        <xdr:cNvPr id="6723" name="Rectangle 53">
          <a:extLst>
            <a:ext uri="{FF2B5EF4-FFF2-40B4-BE49-F238E27FC236}">
              <a16:creationId xmlns:a16="http://schemas.microsoft.com/office/drawing/2014/main" id="{7AB2F1F3-4724-447B-AC7D-237DC7040D6D}"/>
            </a:ext>
          </a:extLst>
        </xdr:cNvPr>
        <xdr:cNvSpPr/>
      </xdr:nvSpPr>
      <xdr:spPr>
        <a:xfrm>
          <a:off x="18829214" y="4516453"/>
          <a:ext cx="1897185" cy="47464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515471</xdr:colOff>
      <xdr:row>88</xdr:row>
      <xdr:rowOff>1</xdr:rowOff>
    </xdr:from>
    <xdr:to>
      <xdr:col>23</xdr:col>
      <xdr:colOff>278520</xdr:colOff>
      <xdr:row>99</xdr:row>
      <xdr:rowOff>75926</xdr:rowOff>
    </xdr:to>
    <xdr:pic>
      <xdr:nvPicPr>
        <xdr:cNvPr id="166" name="Picture 165">
          <a:extLst>
            <a:ext uri="{FF2B5EF4-FFF2-40B4-BE49-F238E27FC236}">
              <a16:creationId xmlns:a16="http://schemas.microsoft.com/office/drawing/2014/main" id="{E2A6B40B-E53C-468C-BBE3-66DE8FF81ABE}"/>
            </a:ext>
          </a:extLst>
        </xdr:cNvPr>
        <xdr:cNvPicPr>
          <a:picLocks noChangeAspect="1"/>
        </xdr:cNvPicPr>
      </xdr:nvPicPr>
      <xdr:blipFill>
        <a:blip xmlns:r="http://schemas.openxmlformats.org/officeDocument/2006/relationships" r:embed="rId2"/>
        <a:stretch>
          <a:fillRect/>
        </a:stretch>
      </xdr:blipFill>
      <xdr:spPr>
        <a:xfrm>
          <a:off x="515471" y="12438530"/>
          <a:ext cx="13762371" cy="2048161"/>
        </a:xfrm>
        <a:prstGeom prst="rect">
          <a:avLst/>
        </a:prstGeom>
      </xdr:spPr>
    </xdr:pic>
    <xdr:clientData/>
  </xdr:twoCellAnchor>
  <xdr:twoCellAnchor editAs="oneCell">
    <xdr:from>
      <xdr:col>1</xdr:col>
      <xdr:colOff>372970</xdr:colOff>
      <xdr:row>101</xdr:row>
      <xdr:rowOff>59205</xdr:rowOff>
    </xdr:from>
    <xdr:to>
      <xdr:col>4</xdr:col>
      <xdr:colOff>11208</xdr:colOff>
      <xdr:row>115</xdr:row>
      <xdr:rowOff>153708</xdr:rowOff>
    </xdr:to>
    <xdr:pic>
      <xdr:nvPicPr>
        <xdr:cNvPr id="341" name="Picture 260">
          <a:extLst>
            <a:ext uri="{FF2B5EF4-FFF2-40B4-BE49-F238E27FC236}">
              <a16:creationId xmlns:a16="http://schemas.microsoft.com/office/drawing/2014/main" id="{31C707B2-0B42-410C-A6F8-AB5524237868}"/>
            </a:ext>
          </a:extLst>
        </xdr:cNvPr>
        <xdr:cNvPicPr>
          <a:picLocks noChangeAspect="1"/>
        </xdr:cNvPicPr>
      </xdr:nvPicPr>
      <xdr:blipFill rotWithShape="1">
        <a:blip xmlns:r="http://schemas.openxmlformats.org/officeDocument/2006/relationships" r:embed="rId3"/>
        <a:srcRect l="21727" t="2142" r="69272" b="14850"/>
        <a:stretch/>
      </xdr:blipFill>
      <xdr:spPr>
        <a:xfrm>
          <a:off x="978088" y="14828558"/>
          <a:ext cx="1525682" cy="2604621"/>
        </a:xfrm>
        <a:prstGeom prst="rect">
          <a:avLst/>
        </a:prstGeom>
      </xdr:spPr>
    </xdr:pic>
    <xdr:clientData/>
  </xdr:twoCellAnchor>
  <xdr:twoCellAnchor editAs="oneCell">
    <xdr:from>
      <xdr:col>10</xdr:col>
      <xdr:colOff>353922</xdr:colOff>
      <xdr:row>101</xdr:row>
      <xdr:rowOff>59205</xdr:rowOff>
    </xdr:from>
    <xdr:to>
      <xdr:col>13</xdr:col>
      <xdr:colOff>76949</xdr:colOff>
      <xdr:row>116</xdr:row>
      <xdr:rowOff>30443</xdr:rowOff>
    </xdr:to>
    <xdr:pic>
      <xdr:nvPicPr>
        <xdr:cNvPr id="167" name="Picture 166">
          <a:extLst>
            <a:ext uri="{FF2B5EF4-FFF2-40B4-BE49-F238E27FC236}">
              <a16:creationId xmlns:a16="http://schemas.microsoft.com/office/drawing/2014/main" id="{98869316-979E-4B19-9584-80120B2C2CB2}"/>
            </a:ext>
          </a:extLst>
        </xdr:cNvPr>
        <xdr:cNvPicPr>
          <a:picLocks noChangeAspect="1"/>
        </xdr:cNvPicPr>
      </xdr:nvPicPr>
      <xdr:blipFill rotWithShape="1">
        <a:blip xmlns:r="http://schemas.openxmlformats.org/officeDocument/2006/relationships" r:embed="rId4"/>
        <a:srcRect l="21680" t="2210" r="69434" b="19385"/>
        <a:stretch/>
      </xdr:blipFill>
      <xdr:spPr>
        <a:xfrm>
          <a:off x="6405098" y="14828558"/>
          <a:ext cx="1538380" cy="2660650"/>
        </a:xfrm>
        <a:prstGeom prst="rect">
          <a:avLst/>
        </a:prstGeom>
      </xdr:spPr>
    </xdr:pic>
    <xdr:clientData/>
  </xdr:twoCellAnchor>
  <xdr:twoCellAnchor>
    <xdr:from>
      <xdr:col>30</xdr:col>
      <xdr:colOff>190501</xdr:colOff>
      <xdr:row>62</xdr:row>
      <xdr:rowOff>163285</xdr:rowOff>
    </xdr:from>
    <xdr:to>
      <xdr:col>30</xdr:col>
      <xdr:colOff>526297</xdr:colOff>
      <xdr:row>64</xdr:row>
      <xdr:rowOff>991</xdr:rowOff>
    </xdr:to>
    <xdr:sp macro="" textlink="">
      <xdr:nvSpPr>
        <xdr:cNvPr id="2" name="Rectangle 132">
          <a:extLst>
            <a:ext uri="{FF2B5EF4-FFF2-40B4-BE49-F238E27FC236}">
              <a16:creationId xmlns:a16="http://schemas.microsoft.com/office/drawing/2014/main" id="{DE1D94B7-6608-406C-A619-88442785CDE7}"/>
            </a:ext>
          </a:extLst>
        </xdr:cNvPr>
        <xdr:cNvSpPr/>
      </xdr:nvSpPr>
      <xdr:spPr>
        <a:xfrm>
          <a:off x="18600965" y="8055428"/>
          <a:ext cx="335796" cy="218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30</xdr:col>
      <xdr:colOff>598714</xdr:colOff>
      <xdr:row>61</xdr:row>
      <xdr:rowOff>163286</xdr:rowOff>
    </xdr:from>
    <xdr:to>
      <xdr:col>34</xdr:col>
      <xdr:colOff>258535</xdr:colOff>
      <xdr:row>65</xdr:row>
      <xdr:rowOff>94611</xdr:rowOff>
    </xdr:to>
    <xdr:sp macro="" textlink="">
      <xdr:nvSpPr>
        <xdr:cNvPr id="3" name="Rectangle 124">
          <a:extLst>
            <a:ext uri="{FF2B5EF4-FFF2-40B4-BE49-F238E27FC236}">
              <a16:creationId xmlns:a16="http://schemas.microsoft.com/office/drawing/2014/main" id="{4D427524-8435-4C2B-BA23-CAEF02998387}"/>
            </a:ext>
          </a:extLst>
        </xdr:cNvPr>
        <xdr:cNvSpPr/>
      </xdr:nvSpPr>
      <xdr:spPr>
        <a:xfrm>
          <a:off x="19009178" y="7864929"/>
          <a:ext cx="2109107" cy="69332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i="0" baseline="0">
              <a:solidFill>
                <a:schemeClr val="tx1"/>
              </a:solidFill>
            </a:rPr>
            <a:t>Compression and purification</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clientData/>
  </xdr:twoCellAnchor>
  <xdr:twoCellAnchor>
    <xdr:from>
      <xdr:col>31</xdr:col>
      <xdr:colOff>27215</xdr:colOff>
      <xdr:row>65</xdr:row>
      <xdr:rowOff>149678</xdr:rowOff>
    </xdr:from>
    <xdr:to>
      <xdr:col>34</xdr:col>
      <xdr:colOff>149679</xdr:colOff>
      <xdr:row>67</xdr:row>
      <xdr:rowOff>54427</xdr:rowOff>
    </xdr:to>
    <xdr:sp macro="" textlink="">
      <xdr:nvSpPr>
        <xdr:cNvPr id="4" name="Right Brace 128">
          <a:extLst>
            <a:ext uri="{FF2B5EF4-FFF2-40B4-BE49-F238E27FC236}">
              <a16:creationId xmlns:a16="http://schemas.microsoft.com/office/drawing/2014/main" id="{7DBB6D72-0F3E-482D-B67D-7D7BA567DC1B}"/>
            </a:ext>
          </a:extLst>
        </xdr:cNvPr>
        <xdr:cNvSpPr/>
      </xdr:nvSpPr>
      <xdr:spPr>
        <a:xfrm rot="16200000" flipV="1">
          <a:off x="19886840" y="7776482"/>
          <a:ext cx="285749" cy="1959428"/>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32</xdr:col>
      <xdr:colOff>13899</xdr:colOff>
      <xdr:row>68</xdr:row>
      <xdr:rowOff>3526</xdr:rowOff>
    </xdr:from>
    <xdr:to>
      <xdr:col>32</xdr:col>
      <xdr:colOff>367397</xdr:colOff>
      <xdr:row>74</xdr:row>
      <xdr:rowOff>118801</xdr:rowOff>
    </xdr:to>
    <xdr:sp macro="" textlink="">
      <xdr:nvSpPr>
        <xdr:cNvPr id="5" name="Rectangle 149">
          <a:extLst>
            <a:ext uri="{FF2B5EF4-FFF2-40B4-BE49-F238E27FC236}">
              <a16:creationId xmlns:a16="http://schemas.microsoft.com/office/drawing/2014/main" id="{DE211DA1-E5C3-4FA2-8D0F-67D30EC1B460}"/>
            </a:ext>
          </a:extLst>
        </xdr:cNvPr>
        <xdr:cNvSpPr/>
      </xdr:nvSpPr>
      <xdr:spPr>
        <a:xfrm rot="16200000">
          <a:off x="19196617" y="9491058"/>
          <a:ext cx="1258275" cy="35349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Theoretical</a:t>
          </a:r>
          <a:r>
            <a:rPr lang="en-GB" sz="1200" baseline="0">
              <a:solidFill>
                <a:schemeClr val="tx1"/>
              </a:solidFill>
            </a:rPr>
            <a:t> </a:t>
          </a:r>
          <a:r>
            <a:rPr lang="en-GB" sz="1200">
              <a:solidFill>
                <a:schemeClr val="tx1"/>
              </a:solidFill>
            </a:rPr>
            <a:t>Input</a:t>
          </a:r>
          <a:r>
            <a:rPr lang="en-GB" sz="1200" i="1">
              <a:solidFill>
                <a:schemeClr val="tx1"/>
              </a:solidFill>
            </a:rPr>
            <a:t> n</a:t>
          </a:r>
        </a:p>
      </xdr:txBody>
    </xdr:sp>
    <xdr:clientData/>
  </xdr:twoCellAnchor>
  <xdr:twoCellAnchor>
    <xdr:from>
      <xdr:col>32</xdr:col>
      <xdr:colOff>606881</xdr:colOff>
      <xdr:row>68</xdr:row>
      <xdr:rowOff>3526</xdr:rowOff>
    </xdr:from>
    <xdr:to>
      <xdr:col>33</xdr:col>
      <xdr:colOff>406855</xdr:colOff>
      <xdr:row>74</xdr:row>
      <xdr:rowOff>151626</xdr:rowOff>
    </xdr:to>
    <xdr:sp macro="" textlink="">
      <xdr:nvSpPr>
        <xdr:cNvPr id="6" name="Rectangle 150">
          <a:extLst>
            <a:ext uri="{FF2B5EF4-FFF2-40B4-BE49-F238E27FC236}">
              <a16:creationId xmlns:a16="http://schemas.microsoft.com/office/drawing/2014/main" id="{F780F70B-4D66-4DA7-93DD-BF2912BBBED9}"/>
            </a:ext>
          </a:extLst>
        </xdr:cNvPr>
        <xdr:cNvSpPr/>
      </xdr:nvSpPr>
      <xdr:spPr>
        <a:xfrm rot="16200000">
          <a:off x="19802586" y="9478071"/>
          <a:ext cx="1291100" cy="4122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32</xdr:col>
      <xdr:colOff>295728</xdr:colOff>
      <xdr:row>70</xdr:row>
      <xdr:rowOff>43611</xdr:rowOff>
    </xdr:from>
    <xdr:to>
      <xdr:col>33</xdr:col>
      <xdr:colOff>25490</xdr:colOff>
      <xdr:row>71</xdr:row>
      <xdr:rowOff>78168</xdr:rowOff>
    </xdr:to>
    <xdr:sp macro="" textlink="">
      <xdr:nvSpPr>
        <xdr:cNvPr id="7" name="Rectangle 163">
          <a:extLst>
            <a:ext uri="{FF2B5EF4-FFF2-40B4-BE49-F238E27FC236}">
              <a16:creationId xmlns:a16="http://schemas.microsoft.com/office/drawing/2014/main" id="{82E877CC-FC53-4560-8E32-1159C3138B44}"/>
            </a:ext>
          </a:extLst>
        </xdr:cNvPr>
        <xdr:cNvSpPr/>
      </xdr:nvSpPr>
      <xdr:spPr>
        <a:xfrm>
          <a:off x="19930835" y="9459754"/>
          <a:ext cx="342084" cy="225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31</xdr:col>
      <xdr:colOff>122917</xdr:colOff>
      <xdr:row>74</xdr:row>
      <xdr:rowOff>181430</xdr:rowOff>
    </xdr:from>
    <xdr:to>
      <xdr:col>34</xdr:col>
      <xdr:colOff>190500</xdr:colOff>
      <xdr:row>76</xdr:row>
      <xdr:rowOff>68036</xdr:rowOff>
    </xdr:to>
    <xdr:sp macro="" textlink="">
      <xdr:nvSpPr>
        <xdr:cNvPr id="9" name="Right Brace 170">
          <a:extLst>
            <a:ext uri="{FF2B5EF4-FFF2-40B4-BE49-F238E27FC236}">
              <a16:creationId xmlns:a16="http://schemas.microsoft.com/office/drawing/2014/main" id="{8D913A51-7A2E-4C29-A8C1-C6A8C23D25CA}"/>
            </a:ext>
          </a:extLst>
        </xdr:cNvPr>
        <xdr:cNvSpPr/>
      </xdr:nvSpPr>
      <xdr:spPr>
        <a:xfrm rot="16200000" flipV="1">
          <a:off x="19964174" y="9541102"/>
          <a:ext cx="267606" cy="1904547"/>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31</xdr:col>
      <xdr:colOff>164647</xdr:colOff>
      <xdr:row>76</xdr:row>
      <xdr:rowOff>83979</xdr:rowOff>
    </xdr:from>
    <xdr:to>
      <xdr:col>34</xdr:col>
      <xdr:colOff>163286</xdr:colOff>
      <xdr:row>78</xdr:row>
      <xdr:rowOff>158637</xdr:rowOff>
    </xdr:to>
    <xdr:sp macro="" textlink="">
      <xdr:nvSpPr>
        <xdr:cNvPr id="10" name="Rectangle 174">
          <a:extLst>
            <a:ext uri="{FF2B5EF4-FFF2-40B4-BE49-F238E27FC236}">
              <a16:creationId xmlns:a16="http://schemas.microsoft.com/office/drawing/2014/main" id="{F8FD252A-495A-4395-A4D8-D6E51BBE851C}"/>
            </a:ext>
          </a:extLst>
        </xdr:cNvPr>
        <xdr:cNvSpPr/>
      </xdr:nvSpPr>
      <xdr:spPr>
        <a:xfrm>
          <a:off x="19187433" y="10643122"/>
          <a:ext cx="1835603"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data </a:t>
          </a:r>
          <a:endParaRPr lang="en-GB" sz="1200" i="1">
            <a:solidFill>
              <a:schemeClr val="tx1"/>
            </a:solidFill>
          </a:endParaRPr>
        </a:p>
      </xdr:txBody>
    </xdr:sp>
    <xdr:clientData/>
  </xdr:twoCellAnchor>
  <xdr:twoCellAnchor>
    <xdr:from>
      <xdr:col>1</xdr:col>
      <xdr:colOff>0</xdr:colOff>
      <xdr:row>31</xdr:row>
      <xdr:rowOff>0</xdr:rowOff>
    </xdr:from>
    <xdr:to>
      <xdr:col>34</xdr:col>
      <xdr:colOff>121014</xdr:colOff>
      <xdr:row>49</xdr:row>
      <xdr:rowOff>154225</xdr:rowOff>
    </xdr:to>
    <xdr:pic>
      <xdr:nvPicPr>
        <xdr:cNvPr id="12" name="Picture 148">
          <a:extLst>
            <a:ext uri="{FF2B5EF4-FFF2-40B4-BE49-F238E27FC236}">
              <a16:creationId xmlns:a16="http://schemas.microsoft.com/office/drawing/2014/main" id="{26F01466-90D5-4534-889C-A33D66331965}"/>
            </a:ext>
          </a:extLst>
        </xdr:cNvPr>
        <xdr:cNvPicPr>
          <a:picLocks noChangeAspect="1"/>
        </xdr:cNvPicPr>
      </xdr:nvPicPr>
      <xdr:blipFill>
        <a:blip xmlns:r="http://schemas.openxmlformats.org/officeDocument/2006/relationships" r:embed="rId5"/>
        <a:stretch>
          <a:fillRect/>
        </a:stretch>
      </xdr:blipFill>
      <xdr:spPr>
        <a:xfrm>
          <a:off x="609600" y="5657850"/>
          <a:ext cx="20314014" cy="3411775"/>
        </a:xfrm>
        <a:prstGeom prst="rect">
          <a:avLst/>
        </a:prstGeom>
      </xdr:spPr>
    </xdr:pic>
    <xdr:clientData/>
  </xdr:twoCellAnchor>
  <xdr:twoCellAnchor>
    <xdr:from>
      <xdr:col>9</xdr:col>
      <xdr:colOff>571500</xdr:colOff>
      <xdr:row>46</xdr:row>
      <xdr:rowOff>120650</xdr:rowOff>
    </xdr:from>
    <xdr:to>
      <xdr:col>11</xdr:col>
      <xdr:colOff>504119</xdr:colOff>
      <xdr:row>48</xdr:row>
      <xdr:rowOff>113414</xdr:rowOff>
    </xdr:to>
    <xdr:sp macro="" textlink="">
      <xdr:nvSpPr>
        <xdr:cNvPr id="13" name="Rectangle 53">
          <a:extLst>
            <a:ext uri="{FF2B5EF4-FFF2-40B4-BE49-F238E27FC236}">
              <a16:creationId xmlns:a16="http://schemas.microsoft.com/office/drawing/2014/main" id="{A757F6D3-291F-4FBA-80C2-D9ED9E1C8CF0}"/>
            </a:ext>
          </a:extLst>
        </xdr:cNvPr>
        <xdr:cNvSpPr/>
      </xdr:nvSpPr>
      <xdr:spPr>
        <a:xfrm>
          <a:off x="6134100" y="8493125"/>
          <a:ext cx="1151819" cy="35471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104775</xdr:colOff>
      <xdr:row>49</xdr:row>
      <xdr:rowOff>28575</xdr:rowOff>
    </xdr:from>
    <xdr:to>
      <xdr:col>12</xdr:col>
      <xdr:colOff>407814</xdr:colOff>
      <xdr:row>50</xdr:row>
      <xdr:rowOff>154948</xdr:rowOff>
    </xdr:to>
    <xdr:sp macro="" textlink="">
      <xdr:nvSpPr>
        <xdr:cNvPr id="14" name="TextBox 54">
          <a:extLst>
            <a:ext uri="{FF2B5EF4-FFF2-40B4-BE49-F238E27FC236}">
              <a16:creationId xmlns:a16="http://schemas.microsoft.com/office/drawing/2014/main" id="{5460F6F3-D8CB-405B-9720-30D40AA1723E}"/>
            </a:ext>
          </a:extLst>
        </xdr:cNvPr>
        <xdr:cNvSpPr txBox="1"/>
      </xdr:nvSpPr>
      <xdr:spPr>
        <a:xfrm>
          <a:off x="5667375" y="8943975"/>
          <a:ext cx="2131839" cy="3073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cumulative efficiency.</a:t>
          </a:r>
        </a:p>
      </xdr:txBody>
    </xdr:sp>
    <xdr:clientData/>
  </xdr:twoCellAnchor>
  <xdr:twoCellAnchor>
    <xdr:from>
      <xdr:col>31</xdr:col>
      <xdr:colOff>38100</xdr:colOff>
      <xdr:row>46</xdr:row>
      <xdr:rowOff>101600</xdr:rowOff>
    </xdr:from>
    <xdr:to>
      <xdr:col>34</xdr:col>
      <xdr:colOff>131598</xdr:colOff>
      <xdr:row>49</xdr:row>
      <xdr:rowOff>152400</xdr:rowOff>
    </xdr:to>
    <xdr:sp macro="" textlink="">
      <xdr:nvSpPr>
        <xdr:cNvPr id="41" name="Rectangle 53">
          <a:extLst>
            <a:ext uri="{FF2B5EF4-FFF2-40B4-BE49-F238E27FC236}">
              <a16:creationId xmlns:a16="http://schemas.microsoft.com/office/drawing/2014/main" id="{D8C1A579-FCC8-493B-80A1-0D2538E46B0F}"/>
            </a:ext>
          </a:extLst>
        </xdr:cNvPr>
        <xdr:cNvSpPr/>
      </xdr:nvSpPr>
      <xdr:spPr>
        <a:xfrm>
          <a:off x="19011900" y="8474075"/>
          <a:ext cx="1922298" cy="5937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30</xdr:col>
      <xdr:colOff>482600</xdr:colOff>
      <xdr:row>50</xdr:row>
      <xdr:rowOff>130175</xdr:rowOff>
    </xdr:from>
    <xdr:to>
      <xdr:col>34</xdr:col>
      <xdr:colOff>216624</xdr:colOff>
      <xdr:row>54</xdr:row>
      <xdr:rowOff>27774</xdr:rowOff>
    </xdr:to>
    <xdr:sp macro="" textlink="">
      <xdr:nvSpPr>
        <xdr:cNvPr id="42" name="TextBox 52">
          <a:extLst>
            <a:ext uri="{FF2B5EF4-FFF2-40B4-BE49-F238E27FC236}">
              <a16:creationId xmlns:a16="http://schemas.microsoft.com/office/drawing/2014/main" id="{8E194A21-5848-41BB-A50D-FE28C3451D3B}"/>
            </a:ext>
          </a:extLst>
        </xdr:cNvPr>
        <xdr:cNvSpPr txBox="1"/>
      </xdr:nvSpPr>
      <xdr:spPr>
        <a:xfrm>
          <a:off x="18846800" y="9226550"/>
          <a:ext cx="2172424" cy="6310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Consignment is unlikely</a:t>
          </a:r>
          <a:r>
            <a:rPr lang="en-GB" sz="1100" baseline="0"/>
            <a:t> to be </a:t>
          </a:r>
          <a:r>
            <a:rPr lang="en-GB" sz="1100"/>
            <a:t>compliant</a:t>
          </a:r>
          <a:r>
            <a:rPr lang="en-GB" sz="1100" baseline="0"/>
            <a:t> with the GHG emissions threshold.</a:t>
          </a:r>
          <a:endParaRPr lang="en-GB" sz="1100"/>
        </a:p>
      </xdr:txBody>
    </xdr:sp>
    <xdr:clientData/>
  </xdr:twoCellAnchor>
  <xdr:twoCellAnchor editAs="oneCell">
    <xdr:from>
      <xdr:col>6</xdr:col>
      <xdr:colOff>371475</xdr:colOff>
      <xdr:row>101</xdr:row>
      <xdr:rowOff>38100</xdr:rowOff>
    </xdr:from>
    <xdr:to>
      <xdr:col>8</xdr:col>
      <xdr:colOff>572078</xdr:colOff>
      <xdr:row>116</xdr:row>
      <xdr:rowOff>27709</xdr:rowOff>
    </xdr:to>
    <xdr:pic>
      <xdr:nvPicPr>
        <xdr:cNvPr id="43" name="Picture 42">
          <a:extLst>
            <a:ext uri="{FF2B5EF4-FFF2-40B4-BE49-F238E27FC236}">
              <a16:creationId xmlns:a16="http://schemas.microsoft.com/office/drawing/2014/main" id="{354F0A9E-51B5-4634-AAC7-690E6D013D30}"/>
            </a:ext>
          </a:extLst>
        </xdr:cNvPr>
        <xdr:cNvPicPr>
          <a:picLocks noChangeAspect="1"/>
        </xdr:cNvPicPr>
      </xdr:nvPicPr>
      <xdr:blipFill>
        <a:blip xmlns:r="http://schemas.openxmlformats.org/officeDocument/2006/relationships" r:embed="rId6"/>
        <a:stretch>
          <a:fillRect/>
        </a:stretch>
      </xdr:blipFill>
      <xdr:spPr>
        <a:xfrm>
          <a:off x="4105275" y="18726150"/>
          <a:ext cx="1419803" cy="2707409"/>
        </a:xfrm>
        <a:prstGeom prst="rect">
          <a:avLst/>
        </a:prstGeom>
      </xdr:spPr>
    </xdr:pic>
    <xdr:clientData/>
  </xdr:twoCellAnchor>
  <xdr:twoCellAnchor editAs="oneCell">
    <xdr:from>
      <xdr:col>15</xdr:col>
      <xdr:colOff>257175</xdr:colOff>
      <xdr:row>101</xdr:row>
      <xdr:rowOff>57150</xdr:rowOff>
    </xdr:from>
    <xdr:to>
      <xdr:col>18</xdr:col>
      <xdr:colOff>74468</xdr:colOff>
      <xdr:row>116</xdr:row>
      <xdr:rowOff>173759</xdr:rowOff>
    </xdr:to>
    <xdr:pic>
      <xdr:nvPicPr>
        <xdr:cNvPr id="44" name="Picture 43">
          <a:extLst>
            <a:ext uri="{FF2B5EF4-FFF2-40B4-BE49-F238E27FC236}">
              <a16:creationId xmlns:a16="http://schemas.microsoft.com/office/drawing/2014/main" id="{2DF5DE2C-5DC8-4763-BB88-87B4B3C68731}"/>
            </a:ext>
          </a:extLst>
        </xdr:cNvPr>
        <xdr:cNvPicPr>
          <a:picLocks noChangeAspect="1"/>
        </xdr:cNvPicPr>
      </xdr:nvPicPr>
      <xdr:blipFill>
        <a:blip xmlns:r="http://schemas.openxmlformats.org/officeDocument/2006/relationships" r:embed="rId7"/>
        <a:stretch>
          <a:fillRect/>
        </a:stretch>
      </xdr:blipFill>
      <xdr:spPr>
        <a:xfrm>
          <a:off x="9477375" y="18745200"/>
          <a:ext cx="1646093" cy="2831234"/>
        </a:xfrm>
        <a:prstGeom prst="rect">
          <a:avLst/>
        </a:prstGeom>
      </xdr:spPr>
    </xdr:pic>
    <xdr:clientData/>
  </xdr:twoCellAnchor>
  <xdr:twoCellAnchor editAs="oneCell">
    <xdr:from>
      <xdr:col>0</xdr:col>
      <xdr:colOff>520700</xdr:colOff>
      <xdr:row>121</xdr:row>
      <xdr:rowOff>177800</xdr:rowOff>
    </xdr:from>
    <xdr:to>
      <xdr:col>11</xdr:col>
      <xdr:colOff>596900</xdr:colOff>
      <xdr:row>133</xdr:row>
      <xdr:rowOff>36694</xdr:rowOff>
    </xdr:to>
    <xdr:pic>
      <xdr:nvPicPr>
        <xdr:cNvPr id="45" name="Picture 44">
          <a:extLst>
            <a:ext uri="{FF2B5EF4-FFF2-40B4-BE49-F238E27FC236}">
              <a16:creationId xmlns:a16="http://schemas.microsoft.com/office/drawing/2014/main" id="{D51D1FD8-3F45-4F28-9C88-EF666CE5A8BA}"/>
            </a:ext>
          </a:extLst>
        </xdr:cNvPr>
        <xdr:cNvPicPr>
          <a:picLocks noChangeAspect="1"/>
        </xdr:cNvPicPr>
      </xdr:nvPicPr>
      <xdr:blipFill rotWithShape="1">
        <a:blip xmlns:r="http://schemas.openxmlformats.org/officeDocument/2006/relationships" r:embed="rId8"/>
        <a:srcRect l="329" b="2116"/>
        <a:stretch/>
      </xdr:blipFill>
      <xdr:spPr>
        <a:xfrm>
          <a:off x="520700" y="22523450"/>
          <a:ext cx="6861175" cy="2040119"/>
        </a:xfrm>
        <a:prstGeom prst="rect">
          <a:avLst/>
        </a:prstGeom>
      </xdr:spPr>
    </xdr:pic>
    <xdr:clientData/>
  </xdr:twoCellAnchor>
  <xdr:twoCellAnchor editAs="oneCell">
    <xdr:from>
      <xdr:col>0</xdr:col>
      <xdr:colOff>495300</xdr:colOff>
      <xdr:row>150</xdr:row>
      <xdr:rowOff>0</xdr:rowOff>
    </xdr:from>
    <xdr:to>
      <xdr:col>11</xdr:col>
      <xdr:colOff>558800</xdr:colOff>
      <xdr:row>160</xdr:row>
      <xdr:rowOff>65994</xdr:rowOff>
    </xdr:to>
    <xdr:pic>
      <xdr:nvPicPr>
        <xdr:cNvPr id="46" name="Picture 45">
          <a:extLst>
            <a:ext uri="{FF2B5EF4-FFF2-40B4-BE49-F238E27FC236}">
              <a16:creationId xmlns:a16="http://schemas.microsoft.com/office/drawing/2014/main" id="{A0B6DAA4-A3B3-49DF-B78E-869F008C1272}"/>
            </a:ext>
          </a:extLst>
        </xdr:cNvPr>
        <xdr:cNvPicPr>
          <a:picLocks noChangeAspect="1"/>
        </xdr:cNvPicPr>
      </xdr:nvPicPr>
      <xdr:blipFill>
        <a:blip xmlns:r="http://schemas.openxmlformats.org/officeDocument/2006/relationships" r:embed="rId9"/>
        <a:stretch>
          <a:fillRect/>
        </a:stretch>
      </xdr:blipFill>
      <xdr:spPr>
        <a:xfrm>
          <a:off x="495300" y="28013025"/>
          <a:ext cx="6848475" cy="18789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3735</xdr:colOff>
      <xdr:row>0</xdr:row>
      <xdr:rowOff>168012</xdr:rowOff>
    </xdr:from>
    <xdr:to>
      <xdr:col>7</xdr:col>
      <xdr:colOff>15715</xdr:colOff>
      <xdr:row>73</xdr:row>
      <xdr:rowOff>21713</xdr:rowOff>
    </xdr:to>
    <xdr:sp macro="" textlink="">
      <xdr:nvSpPr>
        <xdr:cNvPr id="4" name="Rectangle 1">
          <a:extLst>
            <a:ext uri="{FF2B5EF4-FFF2-40B4-BE49-F238E27FC236}">
              <a16:creationId xmlns:a16="http://schemas.microsoft.com/office/drawing/2014/main" id="{ACC60377-E4E3-47E5-BB4A-231B42C22FE4}"/>
            </a:ext>
          </a:extLst>
        </xdr:cNvPr>
        <xdr:cNvSpPr/>
      </xdr:nvSpPr>
      <xdr:spPr>
        <a:xfrm>
          <a:off x="351117" y="168012"/>
          <a:ext cx="18748216" cy="2328520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1291</xdr:colOff>
      <xdr:row>73</xdr:row>
      <xdr:rowOff>28574</xdr:rowOff>
    </xdr:from>
    <xdr:to>
      <xdr:col>7</xdr:col>
      <xdr:colOff>11906</xdr:colOff>
      <xdr:row>81</xdr:row>
      <xdr:rowOff>149679</xdr:rowOff>
    </xdr:to>
    <xdr:sp macro="" textlink="">
      <xdr:nvSpPr>
        <xdr:cNvPr id="2" name="Rectangle 1">
          <a:extLst>
            <a:ext uri="{FF2B5EF4-FFF2-40B4-BE49-F238E27FC236}">
              <a16:creationId xmlns:a16="http://schemas.microsoft.com/office/drawing/2014/main" id="{C09CE003-EDBE-4196-8F44-08CA9A156DAE}"/>
            </a:ext>
          </a:extLst>
        </xdr:cNvPr>
        <xdr:cNvSpPr/>
      </xdr:nvSpPr>
      <xdr:spPr>
        <a:xfrm>
          <a:off x="246220" y="22194610"/>
          <a:ext cx="18910936" cy="340042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228600</xdr:colOff>
      <xdr:row>2</xdr:row>
      <xdr:rowOff>88901</xdr:rowOff>
    </xdr:from>
    <xdr:to>
      <xdr:col>3</xdr:col>
      <xdr:colOff>315325</xdr:colOff>
      <xdr:row>8</xdr:row>
      <xdr:rowOff>9526</xdr:rowOff>
    </xdr:to>
    <xdr:pic>
      <xdr:nvPicPr>
        <xdr:cNvPr id="6" name="Picture 5" descr="DESNZ Logo">
          <a:extLst>
            <a:ext uri="{FF2B5EF4-FFF2-40B4-BE49-F238E27FC236}">
              <a16:creationId xmlns:a16="http://schemas.microsoft.com/office/drawing/2014/main" id="{07507B8E-69EE-4D7E-9D42-B67D978C47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469901"/>
          <a:ext cx="1807575" cy="1066800"/>
        </a:xfrm>
        <a:prstGeom prst="rect">
          <a:avLst/>
        </a:prstGeom>
      </xdr:spPr>
    </xdr:pic>
    <xdr:clientData/>
  </xdr:twoCellAnchor>
  <xdr:twoCellAnchor editAs="oneCell">
    <xdr:from>
      <xdr:col>3</xdr:col>
      <xdr:colOff>422275</xdr:colOff>
      <xdr:row>2</xdr:row>
      <xdr:rowOff>85725</xdr:rowOff>
    </xdr:from>
    <xdr:to>
      <xdr:col>3</xdr:col>
      <xdr:colOff>2332450</xdr:colOff>
      <xdr:row>6</xdr:row>
      <xdr:rowOff>28575</xdr:rowOff>
    </xdr:to>
    <xdr:pic>
      <xdr:nvPicPr>
        <xdr:cNvPr id="7" name="Picture 5">
          <a:extLst>
            <a:ext uri="{FF2B5EF4-FFF2-40B4-BE49-F238E27FC236}">
              <a16:creationId xmlns:a16="http://schemas.microsoft.com/office/drawing/2014/main" id="{E9F4C0D3-B34E-4559-9155-407D8292E045}"/>
            </a:ext>
          </a:extLst>
        </xdr:cNvPr>
        <xdr:cNvPicPr>
          <a:picLocks/>
        </xdr:cNvPicPr>
      </xdr:nvPicPr>
      <xdr:blipFill>
        <a:blip xmlns:r="http://schemas.openxmlformats.org/officeDocument/2006/relationships" r:embed="rId2"/>
        <a:stretch>
          <a:fillRect/>
        </a:stretch>
      </xdr:blipFill>
      <xdr:spPr>
        <a:xfrm>
          <a:off x="2479675" y="466725"/>
          <a:ext cx="1907000" cy="708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0</xdr:rowOff>
    </xdr:from>
    <xdr:to>
      <xdr:col>4</xdr:col>
      <xdr:colOff>618943</xdr:colOff>
      <xdr:row>38</xdr:row>
      <xdr:rowOff>51163</xdr:rowOff>
    </xdr:to>
    <xdr:grpSp>
      <xdr:nvGrpSpPr>
        <xdr:cNvPr id="3" name="Group 2">
          <a:extLst>
            <a:ext uri="{FF2B5EF4-FFF2-40B4-BE49-F238E27FC236}">
              <a16:creationId xmlns:a16="http://schemas.microsoft.com/office/drawing/2014/main" id="{BE0F9574-BE72-45E7-948A-FDB49930B6F4}"/>
            </a:ext>
          </a:extLst>
        </xdr:cNvPr>
        <xdr:cNvGrpSpPr/>
      </xdr:nvGrpSpPr>
      <xdr:grpSpPr>
        <a:xfrm>
          <a:off x="609600" y="2171700"/>
          <a:ext cx="8181793" cy="4937488"/>
          <a:chOff x="8380322" y="2372813"/>
          <a:chExt cx="8386082" cy="4942387"/>
        </a:xfrm>
      </xdr:grpSpPr>
      <xdr:sp macro="" textlink="">
        <xdr:nvSpPr>
          <xdr:cNvPr id="5" name="Arrow: Pentagon 40">
            <a:extLst>
              <a:ext uri="{FF2B5EF4-FFF2-40B4-BE49-F238E27FC236}">
                <a16:creationId xmlns:a16="http://schemas.microsoft.com/office/drawing/2014/main" id="{1D9B6978-CE5A-390B-64C4-C999A875F67C}"/>
              </a:ext>
            </a:extLst>
          </xdr:cNvPr>
          <xdr:cNvSpPr/>
        </xdr:nvSpPr>
        <xdr:spPr>
          <a:xfrm rot="5400000">
            <a:off x="12685402" y="3464775"/>
            <a:ext cx="277141" cy="128579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6" name="TextBox 42">
            <a:extLst>
              <a:ext uri="{FF2B5EF4-FFF2-40B4-BE49-F238E27FC236}">
                <a16:creationId xmlns:a16="http://schemas.microsoft.com/office/drawing/2014/main" id="{DCA3012F-D76A-625F-5661-728C7D516B7E}"/>
              </a:ext>
            </a:extLst>
          </xdr:cNvPr>
          <xdr:cNvSpPr txBox="1"/>
        </xdr:nvSpPr>
        <xdr:spPr>
          <a:xfrm>
            <a:off x="12117115" y="4036608"/>
            <a:ext cx="1348596" cy="29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rgbClr val="FF0000"/>
                </a:solidFill>
              </a:rPr>
              <a:t>Input materials</a:t>
            </a:r>
          </a:p>
        </xdr:txBody>
      </xdr:sp>
      <xdr:sp macro="" textlink="">
        <xdr:nvSpPr>
          <xdr:cNvPr id="7" name="Arrow: Pentagon 6">
            <a:extLst>
              <a:ext uri="{FF2B5EF4-FFF2-40B4-BE49-F238E27FC236}">
                <a16:creationId xmlns:a16="http://schemas.microsoft.com/office/drawing/2014/main" id="{5356A4E1-610E-BFF3-DDF9-6BDBC2CC0EEE}"/>
              </a:ext>
            </a:extLst>
          </xdr:cNvPr>
          <xdr:cNvSpPr/>
        </xdr:nvSpPr>
        <xdr:spPr>
          <a:xfrm rot="5400000">
            <a:off x="13888537" y="3665521"/>
            <a:ext cx="369527" cy="961346"/>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 name="Rectangle 2">
            <a:extLst>
              <a:ext uri="{FF2B5EF4-FFF2-40B4-BE49-F238E27FC236}">
                <a16:creationId xmlns:a16="http://schemas.microsoft.com/office/drawing/2014/main" id="{81AF852C-7CC9-B831-DCE9-2493B835F4E6}"/>
              </a:ext>
            </a:extLst>
          </xdr:cNvPr>
          <xdr:cNvSpPr/>
        </xdr:nvSpPr>
        <xdr:spPr>
          <a:xfrm>
            <a:off x="10267684" y="4335323"/>
            <a:ext cx="3207079" cy="122643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Electrolysis</a:t>
            </a:r>
          </a:p>
        </xdr:txBody>
      </xdr:sp>
      <xdr:sp macro="" textlink="">
        <xdr:nvSpPr>
          <xdr:cNvPr id="9" name="Rectangle 3">
            <a:extLst>
              <a:ext uri="{FF2B5EF4-FFF2-40B4-BE49-F238E27FC236}">
                <a16:creationId xmlns:a16="http://schemas.microsoft.com/office/drawing/2014/main" id="{12541AA2-9BCA-ED5B-A810-9348B8A83BFD}"/>
              </a:ext>
            </a:extLst>
          </xdr:cNvPr>
          <xdr:cNvSpPr/>
        </xdr:nvSpPr>
        <xdr:spPr>
          <a:xfrm>
            <a:off x="14762831" y="4359727"/>
            <a:ext cx="2003573" cy="1163291"/>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Hydrogen </a:t>
            </a:r>
          </a:p>
          <a:p>
            <a:pPr algn="ctr"/>
            <a:r>
              <a:rPr lang="en-GB" sz="1600">
                <a:solidFill>
                  <a:schemeClr val="tx1"/>
                </a:solidFill>
              </a:rPr>
              <a:t>(99.9 vol% purity, </a:t>
            </a:r>
          </a:p>
          <a:p>
            <a:pPr algn="ctr"/>
            <a:r>
              <a:rPr lang="en-GB" sz="1600">
                <a:solidFill>
                  <a:schemeClr val="tx1"/>
                </a:solidFill>
              </a:rPr>
              <a:t>3 MPa)</a:t>
            </a:r>
          </a:p>
        </xdr:txBody>
      </xdr:sp>
      <xdr:sp macro="" textlink="">
        <xdr:nvSpPr>
          <xdr:cNvPr id="10" name="Arrow: Pentagon 4">
            <a:extLst>
              <a:ext uri="{FF2B5EF4-FFF2-40B4-BE49-F238E27FC236}">
                <a16:creationId xmlns:a16="http://schemas.microsoft.com/office/drawing/2014/main" id="{043F04C0-858D-DD5E-EE83-69B1FCD25E0F}"/>
              </a:ext>
            </a:extLst>
          </xdr:cNvPr>
          <xdr:cNvSpPr/>
        </xdr:nvSpPr>
        <xdr:spPr>
          <a:xfrm>
            <a:off x="13528606" y="4353026"/>
            <a:ext cx="1189798" cy="1209186"/>
          </a:xfrm>
          <a:prstGeom prst="homePlate">
            <a:avLst>
              <a:gd name="adj" fmla="val 14626"/>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1" name="Arrow: Pentagon 17">
            <a:extLst>
              <a:ext uri="{FF2B5EF4-FFF2-40B4-BE49-F238E27FC236}">
                <a16:creationId xmlns:a16="http://schemas.microsoft.com/office/drawing/2014/main" id="{1E529C1F-A4A2-E23B-59AF-2FF9D48F5D18}"/>
              </a:ext>
            </a:extLst>
          </xdr:cNvPr>
          <xdr:cNvSpPr/>
        </xdr:nvSpPr>
        <xdr:spPr>
          <a:xfrm rot="5400000">
            <a:off x="11025221" y="3211504"/>
            <a:ext cx="285598" cy="1800679"/>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2" name="Rectangle 18">
            <a:extLst>
              <a:ext uri="{FF2B5EF4-FFF2-40B4-BE49-F238E27FC236}">
                <a16:creationId xmlns:a16="http://schemas.microsoft.com/office/drawing/2014/main" id="{504094F5-FDF2-7256-19E2-E326ABEAB4C7}"/>
              </a:ext>
            </a:extLst>
          </xdr:cNvPr>
          <xdr:cNvSpPr/>
        </xdr:nvSpPr>
        <xdr:spPr>
          <a:xfrm>
            <a:off x="10267678" y="2373561"/>
            <a:ext cx="1800676" cy="576161"/>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3" name="Rectangle 19">
            <a:extLst>
              <a:ext uri="{FF2B5EF4-FFF2-40B4-BE49-F238E27FC236}">
                <a16:creationId xmlns:a16="http://schemas.microsoft.com/office/drawing/2014/main" id="{1D06A0CD-636C-1243-D5C4-24CA355D16DB}"/>
              </a:ext>
            </a:extLst>
          </xdr:cNvPr>
          <xdr:cNvSpPr/>
        </xdr:nvSpPr>
        <xdr:spPr>
          <a:xfrm>
            <a:off x="10267685" y="3316107"/>
            <a:ext cx="1800675" cy="576161"/>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14" name="Arrow: Pentagon 20">
            <a:extLst>
              <a:ext uri="{FF2B5EF4-FFF2-40B4-BE49-F238E27FC236}">
                <a16:creationId xmlns:a16="http://schemas.microsoft.com/office/drawing/2014/main" id="{601E8C41-8C6F-28D3-CA45-1B98D0B6E1D9}"/>
              </a:ext>
            </a:extLst>
          </xdr:cNvPr>
          <xdr:cNvSpPr/>
        </xdr:nvSpPr>
        <xdr:spPr>
          <a:xfrm rot="5400000">
            <a:off x="11030208" y="2236074"/>
            <a:ext cx="275617" cy="180068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5" name="Arrow: Pentagon 21">
            <a:extLst>
              <a:ext uri="{FF2B5EF4-FFF2-40B4-BE49-F238E27FC236}">
                <a16:creationId xmlns:a16="http://schemas.microsoft.com/office/drawing/2014/main" id="{607F049F-3C2C-CA38-D56B-6597E97B1137}"/>
              </a:ext>
            </a:extLst>
          </xdr:cNvPr>
          <xdr:cNvSpPr/>
        </xdr:nvSpPr>
        <xdr:spPr>
          <a:xfrm rot="5400000">
            <a:off x="12333838" y="4934769"/>
            <a:ext cx="466426" cy="180258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 name="Rectangle 22">
            <a:extLst>
              <a:ext uri="{FF2B5EF4-FFF2-40B4-BE49-F238E27FC236}">
                <a16:creationId xmlns:a16="http://schemas.microsoft.com/office/drawing/2014/main" id="{9667F6B2-6A38-307E-D0C2-0B2DB0008D47}"/>
              </a:ext>
            </a:extLst>
          </xdr:cNvPr>
          <xdr:cNvSpPr/>
        </xdr:nvSpPr>
        <xdr:spPr>
          <a:xfrm>
            <a:off x="11665763" y="6172930"/>
            <a:ext cx="1802580" cy="114227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CO</a:t>
            </a:r>
            <a:r>
              <a:rPr lang="en-GB" sz="1100" baseline="-25000">
                <a:solidFill>
                  <a:schemeClr val="tx1"/>
                </a:solidFill>
              </a:rPr>
              <a:t>2</a:t>
            </a:r>
            <a:r>
              <a:rPr lang="en-GB" sz="1100">
                <a:solidFill>
                  <a:schemeClr val="tx1"/>
                </a:solidFill>
              </a:rPr>
              <a:t> capture and sequestration</a:t>
            </a:r>
          </a:p>
        </xdr:txBody>
      </xdr:sp>
      <xdr:sp macro="" textlink="">
        <xdr:nvSpPr>
          <xdr:cNvPr id="17" name="TextBox 16">
            <a:extLst>
              <a:ext uri="{FF2B5EF4-FFF2-40B4-BE49-F238E27FC236}">
                <a16:creationId xmlns:a16="http://schemas.microsoft.com/office/drawing/2014/main" id="{7AE44808-C9BB-03AB-003B-35F57C0C579F}"/>
              </a:ext>
            </a:extLst>
          </xdr:cNvPr>
          <xdr:cNvSpPr txBox="1"/>
        </xdr:nvSpPr>
        <xdr:spPr>
          <a:xfrm>
            <a:off x="8380322" y="6109183"/>
            <a:ext cx="2807761" cy="282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Indicative</a:t>
            </a:r>
            <a:r>
              <a:rPr lang="en-GB" sz="1100" baseline="0">
                <a:solidFill>
                  <a:srgbClr val="FF0000"/>
                </a:solidFill>
              </a:rPr>
              <a:t> GHG emissions system boundary</a:t>
            </a:r>
            <a:endParaRPr lang="en-GB" sz="1100">
              <a:solidFill>
                <a:srgbClr val="FF0000"/>
              </a:solidFill>
            </a:endParaRPr>
          </a:p>
        </xdr:txBody>
      </xdr:sp>
      <xdr:sp macro="" textlink="">
        <xdr:nvSpPr>
          <xdr:cNvPr id="18" name="Rectangle 17">
            <a:extLst>
              <a:ext uri="{FF2B5EF4-FFF2-40B4-BE49-F238E27FC236}">
                <a16:creationId xmlns:a16="http://schemas.microsoft.com/office/drawing/2014/main" id="{805A3571-292B-9C42-0029-DF44C2C4C81E}"/>
              </a:ext>
            </a:extLst>
          </xdr:cNvPr>
          <xdr:cNvSpPr/>
        </xdr:nvSpPr>
        <xdr:spPr>
          <a:xfrm>
            <a:off x="8962042" y="4115424"/>
            <a:ext cx="1189997" cy="159955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TextBox 18">
            <a:extLst>
              <a:ext uri="{FF2B5EF4-FFF2-40B4-BE49-F238E27FC236}">
                <a16:creationId xmlns:a16="http://schemas.microsoft.com/office/drawing/2014/main" id="{40B3DEF8-19A8-CE6C-8749-FD22364781C3}"/>
              </a:ext>
            </a:extLst>
          </xdr:cNvPr>
          <xdr:cNvSpPr txBox="1"/>
        </xdr:nvSpPr>
        <xdr:spPr>
          <a:xfrm>
            <a:off x="8932968" y="4743449"/>
            <a:ext cx="1186061" cy="1021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rgbClr val="FF0000"/>
                </a:solidFill>
              </a:rPr>
              <a:t>Feedstock supply (nil)</a:t>
            </a:r>
          </a:p>
        </xdr:txBody>
      </xdr:sp>
      <xdr:sp macro="" textlink="">
        <xdr:nvSpPr>
          <xdr:cNvPr id="20" name="Rectangle 19">
            <a:extLst>
              <a:ext uri="{FF2B5EF4-FFF2-40B4-BE49-F238E27FC236}">
                <a16:creationId xmlns:a16="http://schemas.microsoft.com/office/drawing/2014/main" id="{24C437B2-3480-17B3-C3A1-951D4180199E}"/>
              </a:ext>
            </a:extLst>
          </xdr:cNvPr>
          <xdr:cNvSpPr/>
        </xdr:nvSpPr>
        <xdr:spPr>
          <a:xfrm>
            <a:off x="10298033" y="4113501"/>
            <a:ext cx="1767661" cy="14440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TextBox 20">
            <a:extLst>
              <a:ext uri="{FF2B5EF4-FFF2-40B4-BE49-F238E27FC236}">
                <a16:creationId xmlns:a16="http://schemas.microsoft.com/office/drawing/2014/main" id="{AE273E7A-8E19-149D-DBE9-F308E6E018B2}"/>
              </a:ext>
            </a:extLst>
          </xdr:cNvPr>
          <xdr:cNvSpPr txBox="1"/>
        </xdr:nvSpPr>
        <xdr:spPr>
          <a:xfrm>
            <a:off x="10734909" y="4040453"/>
            <a:ext cx="1056564" cy="29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Energy supply</a:t>
            </a:r>
          </a:p>
        </xdr:txBody>
      </xdr:sp>
      <xdr:sp macro="" textlink="">
        <xdr:nvSpPr>
          <xdr:cNvPr id="22" name="Arrow: Pentagon 37">
            <a:extLst>
              <a:ext uri="{FF2B5EF4-FFF2-40B4-BE49-F238E27FC236}">
                <a16:creationId xmlns:a16="http://schemas.microsoft.com/office/drawing/2014/main" id="{AD054ADD-56D0-B507-5094-A15C45354117}"/>
              </a:ext>
            </a:extLst>
          </xdr:cNvPr>
          <xdr:cNvSpPr/>
        </xdr:nvSpPr>
        <xdr:spPr>
          <a:xfrm rot="5400000">
            <a:off x="11291548" y="5670225"/>
            <a:ext cx="427307" cy="285973"/>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23" name="Rectangle 38">
            <a:extLst>
              <a:ext uri="{FF2B5EF4-FFF2-40B4-BE49-F238E27FC236}">
                <a16:creationId xmlns:a16="http://schemas.microsoft.com/office/drawing/2014/main" id="{DAF8A3FD-BDCF-D2B6-9B53-69FADEC7EADF}"/>
              </a:ext>
            </a:extLst>
          </xdr:cNvPr>
          <xdr:cNvSpPr/>
        </xdr:nvSpPr>
        <xdr:spPr>
          <a:xfrm rot="16200000">
            <a:off x="10924566" y="6612849"/>
            <a:ext cx="1143425" cy="261274"/>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CO</a:t>
            </a:r>
            <a:r>
              <a:rPr lang="en-GB" sz="1100" baseline="-25000">
                <a:solidFill>
                  <a:schemeClr val="tx1"/>
                </a:solidFill>
              </a:rPr>
              <a:t>2</a:t>
            </a:r>
            <a:r>
              <a:rPr lang="en-GB" sz="1100">
                <a:solidFill>
                  <a:schemeClr val="tx1"/>
                </a:solidFill>
              </a:rPr>
              <a:t> release</a:t>
            </a:r>
          </a:p>
        </xdr:txBody>
      </xdr:sp>
      <xdr:sp macro="" textlink="">
        <xdr:nvSpPr>
          <xdr:cNvPr id="24" name="Rectangle 39">
            <a:extLst>
              <a:ext uri="{FF2B5EF4-FFF2-40B4-BE49-F238E27FC236}">
                <a16:creationId xmlns:a16="http://schemas.microsoft.com/office/drawing/2014/main" id="{6940D754-0B09-283C-5317-7A3D3716964B}"/>
              </a:ext>
            </a:extLst>
          </xdr:cNvPr>
          <xdr:cNvSpPr/>
        </xdr:nvSpPr>
        <xdr:spPr>
          <a:xfrm>
            <a:off x="12183767" y="3312716"/>
            <a:ext cx="474997" cy="58478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lIns="36000" rIns="3600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Water</a:t>
            </a:r>
          </a:p>
        </xdr:txBody>
      </xdr:sp>
      <xdr:sp macro="" textlink="">
        <xdr:nvSpPr>
          <xdr:cNvPr id="25" name="Rectangle 41">
            <a:extLst>
              <a:ext uri="{FF2B5EF4-FFF2-40B4-BE49-F238E27FC236}">
                <a16:creationId xmlns:a16="http://schemas.microsoft.com/office/drawing/2014/main" id="{D52C0615-B085-F437-466E-77589F291233}"/>
              </a:ext>
            </a:extLst>
          </xdr:cNvPr>
          <xdr:cNvSpPr/>
        </xdr:nvSpPr>
        <xdr:spPr>
          <a:xfrm>
            <a:off x="12179955" y="4092390"/>
            <a:ext cx="1277356" cy="16718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6" name="Rectangle 25">
            <a:extLst>
              <a:ext uri="{FF2B5EF4-FFF2-40B4-BE49-F238E27FC236}">
                <a16:creationId xmlns:a16="http://schemas.microsoft.com/office/drawing/2014/main" id="{D19B9747-16F1-5BEB-B4D2-850567745BCA}"/>
              </a:ext>
            </a:extLst>
          </xdr:cNvPr>
          <xdr:cNvSpPr/>
        </xdr:nvSpPr>
        <xdr:spPr>
          <a:xfrm>
            <a:off x="8899232" y="4038531"/>
            <a:ext cx="5749961" cy="2069007"/>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7" name="Rectangle 43">
            <a:extLst>
              <a:ext uri="{FF2B5EF4-FFF2-40B4-BE49-F238E27FC236}">
                <a16:creationId xmlns:a16="http://schemas.microsoft.com/office/drawing/2014/main" id="{7B261D8B-9A41-D77C-5037-7EDA785B46E1}"/>
              </a:ext>
            </a:extLst>
          </xdr:cNvPr>
          <xdr:cNvSpPr/>
        </xdr:nvSpPr>
        <xdr:spPr>
          <a:xfrm>
            <a:off x="11343171" y="5570576"/>
            <a:ext cx="2127581" cy="16934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Rectangle 44">
            <a:extLst>
              <a:ext uri="{FF2B5EF4-FFF2-40B4-BE49-F238E27FC236}">
                <a16:creationId xmlns:a16="http://schemas.microsoft.com/office/drawing/2014/main" id="{2AB68A33-5BB1-663B-0665-81A0F886A4AC}"/>
              </a:ext>
            </a:extLst>
          </xdr:cNvPr>
          <xdr:cNvSpPr/>
        </xdr:nvSpPr>
        <xdr:spPr>
          <a:xfrm>
            <a:off x="11676428" y="5797831"/>
            <a:ext cx="1820985" cy="165304"/>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9" name="TextBox 45">
            <a:extLst>
              <a:ext uri="{FF2B5EF4-FFF2-40B4-BE49-F238E27FC236}">
                <a16:creationId xmlns:a16="http://schemas.microsoft.com/office/drawing/2014/main" id="{C50786FD-D32F-7C5F-CBCA-D4D25C2312A1}"/>
              </a:ext>
            </a:extLst>
          </xdr:cNvPr>
          <xdr:cNvSpPr txBox="1"/>
        </xdr:nvSpPr>
        <xdr:spPr>
          <a:xfrm>
            <a:off x="11727848" y="5522466"/>
            <a:ext cx="1918889" cy="28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Process CO2 emissions</a:t>
            </a:r>
          </a:p>
        </xdr:txBody>
      </xdr:sp>
      <xdr:sp macro="" textlink="">
        <xdr:nvSpPr>
          <xdr:cNvPr id="30" name="TextBox 46">
            <a:extLst>
              <a:ext uri="{FF2B5EF4-FFF2-40B4-BE49-F238E27FC236}">
                <a16:creationId xmlns:a16="http://schemas.microsoft.com/office/drawing/2014/main" id="{FAEB4EF6-6E41-AF22-0EB4-7584DD765D7D}"/>
              </a:ext>
            </a:extLst>
          </xdr:cNvPr>
          <xdr:cNvSpPr txBox="1"/>
        </xdr:nvSpPr>
        <xdr:spPr>
          <a:xfrm>
            <a:off x="11995237" y="5741840"/>
            <a:ext cx="1920007" cy="28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CO2 sequestered</a:t>
            </a:r>
          </a:p>
        </xdr:txBody>
      </xdr:sp>
      <xdr:sp macro="" textlink="">
        <xdr:nvSpPr>
          <xdr:cNvPr id="31" name="Rectangle 30">
            <a:extLst>
              <a:ext uri="{FF2B5EF4-FFF2-40B4-BE49-F238E27FC236}">
                <a16:creationId xmlns:a16="http://schemas.microsoft.com/office/drawing/2014/main" id="{8FB8D6A5-62BC-7ED9-5BAB-65BEFEF40CD1}"/>
              </a:ext>
            </a:extLst>
          </xdr:cNvPr>
          <xdr:cNvSpPr/>
        </xdr:nvSpPr>
        <xdr:spPr>
          <a:xfrm rot="16200000">
            <a:off x="13316779" y="4396897"/>
            <a:ext cx="1518763" cy="93278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 name="TextBox 31">
            <a:extLst>
              <a:ext uri="{FF2B5EF4-FFF2-40B4-BE49-F238E27FC236}">
                <a16:creationId xmlns:a16="http://schemas.microsoft.com/office/drawing/2014/main" id="{B3CC42D3-6978-6EB1-922A-F77B8A85D7E0}"/>
              </a:ext>
            </a:extLst>
          </xdr:cNvPr>
          <xdr:cNvSpPr txBox="1"/>
        </xdr:nvSpPr>
        <xdr:spPr>
          <a:xfrm>
            <a:off x="13612151" y="4621198"/>
            <a:ext cx="979911" cy="903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Theoretical compression &amp; purification</a:t>
            </a:r>
          </a:p>
        </xdr:txBody>
      </xdr:sp>
      <xdr:sp macro="" textlink="">
        <xdr:nvSpPr>
          <xdr:cNvPr id="38" name="Rectangle 37">
            <a:extLst>
              <a:ext uri="{FF2B5EF4-FFF2-40B4-BE49-F238E27FC236}">
                <a16:creationId xmlns:a16="http://schemas.microsoft.com/office/drawing/2014/main" id="{4C541D37-3957-40C0-3119-FE49CC2BB8FE}"/>
              </a:ext>
            </a:extLst>
          </xdr:cNvPr>
          <xdr:cNvSpPr/>
        </xdr:nvSpPr>
        <xdr:spPr>
          <a:xfrm>
            <a:off x="13619289" y="2372813"/>
            <a:ext cx="934686" cy="57632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UK electricity generation</a:t>
            </a:r>
          </a:p>
        </xdr:txBody>
      </xdr:sp>
      <xdr:sp macro="" textlink="">
        <xdr:nvSpPr>
          <xdr:cNvPr id="39" name="Rectangle 38">
            <a:extLst>
              <a:ext uri="{FF2B5EF4-FFF2-40B4-BE49-F238E27FC236}">
                <a16:creationId xmlns:a16="http://schemas.microsoft.com/office/drawing/2014/main" id="{3F45CBFA-7446-E006-AFF9-3F81E7EB72E9}"/>
              </a:ext>
            </a:extLst>
          </xdr:cNvPr>
          <xdr:cNvSpPr/>
        </xdr:nvSpPr>
        <xdr:spPr>
          <a:xfrm>
            <a:off x="13609768" y="3311693"/>
            <a:ext cx="944207" cy="574417"/>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Electricity grid</a:t>
            </a:r>
          </a:p>
          <a:p>
            <a:pPr algn="ctr"/>
            <a:r>
              <a:rPr lang="en-GB" sz="1100">
                <a:solidFill>
                  <a:schemeClr val="tx1"/>
                </a:solidFill>
              </a:rPr>
              <a:t>(T&amp;D losses)</a:t>
            </a:r>
          </a:p>
        </xdr:txBody>
      </xdr:sp>
      <xdr:sp macro="" textlink="">
        <xdr:nvSpPr>
          <xdr:cNvPr id="40" name="Arrow: Pentagon 39">
            <a:extLst>
              <a:ext uri="{FF2B5EF4-FFF2-40B4-BE49-F238E27FC236}">
                <a16:creationId xmlns:a16="http://schemas.microsoft.com/office/drawing/2014/main" id="{A42541E6-AE86-2040-9417-414E827CBB9B}"/>
              </a:ext>
            </a:extLst>
          </xdr:cNvPr>
          <xdr:cNvSpPr/>
        </xdr:nvSpPr>
        <xdr:spPr>
          <a:xfrm rot="5400000">
            <a:off x="13937816" y="2669050"/>
            <a:ext cx="298464" cy="93552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41" name="Arrow: Pentagon 53">
            <a:extLst>
              <a:ext uri="{FF2B5EF4-FFF2-40B4-BE49-F238E27FC236}">
                <a16:creationId xmlns:a16="http://schemas.microsoft.com/office/drawing/2014/main" id="{61430318-396E-47C1-7977-CE2C9E726B01}"/>
              </a:ext>
            </a:extLst>
          </xdr:cNvPr>
          <xdr:cNvSpPr/>
        </xdr:nvSpPr>
        <xdr:spPr>
          <a:xfrm rot="5400000" flipV="1">
            <a:off x="10962459" y="5674585"/>
            <a:ext cx="419767" cy="265481"/>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42" name="Rectangle 38">
            <a:extLst>
              <a:ext uri="{FF2B5EF4-FFF2-40B4-BE49-F238E27FC236}">
                <a16:creationId xmlns:a16="http://schemas.microsoft.com/office/drawing/2014/main" id="{2B12EA67-4599-77EF-4DEA-00B4642BDCEE}"/>
              </a:ext>
            </a:extLst>
          </xdr:cNvPr>
          <xdr:cNvSpPr/>
        </xdr:nvSpPr>
        <xdr:spPr>
          <a:xfrm rot="16200000">
            <a:off x="10592072" y="6621235"/>
            <a:ext cx="1141104" cy="246826"/>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Fugitive non-CO</a:t>
            </a:r>
            <a:r>
              <a:rPr lang="en-GB" sz="1100" baseline="-25000">
                <a:solidFill>
                  <a:schemeClr val="tx1"/>
                </a:solidFill>
              </a:rPr>
              <a:t>2</a:t>
            </a:r>
            <a:endParaRPr lang="en-GB" sz="1100">
              <a:solidFill>
                <a:schemeClr val="tx1"/>
              </a:solidFill>
            </a:endParaRPr>
          </a:p>
        </xdr:txBody>
      </xdr:sp>
      <xdr:sp macro="" textlink="">
        <xdr:nvSpPr>
          <xdr:cNvPr id="43" name="Rectangle 43">
            <a:extLst>
              <a:ext uri="{FF2B5EF4-FFF2-40B4-BE49-F238E27FC236}">
                <a16:creationId xmlns:a16="http://schemas.microsoft.com/office/drawing/2014/main" id="{47C0022E-9C57-3747-0339-DE869B39DCD5}"/>
              </a:ext>
            </a:extLst>
          </xdr:cNvPr>
          <xdr:cNvSpPr/>
        </xdr:nvSpPr>
        <xdr:spPr>
          <a:xfrm>
            <a:off x="10476450" y="5568918"/>
            <a:ext cx="847284" cy="3205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4" name="TextBox 46">
            <a:extLst>
              <a:ext uri="{FF2B5EF4-FFF2-40B4-BE49-F238E27FC236}">
                <a16:creationId xmlns:a16="http://schemas.microsoft.com/office/drawing/2014/main" id="{A67DDC82-D204-37C3-5681-50F65E68F5ED}"/>
              </a:ext>
            </a:extLst>
          </xdr:cNvPr>
          <xdr:cNvSpPr txBox="1"/>
        </xdr:nvSpPr>
        <xdr:spPr>
          <a:xfrm>
            <a:off x="10408877" y="5523129"/>
            <a:ext cx="700592" cy="584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Fugitive</a:t>
            </a:r>
            <a:r>
              <a:rPr lang="en-GB" sz="1100" baseline="0">
                <a:solidFill>
                  <a:srgbClr val="FF0000"/>
                </a:solidFill>
              </a:rPr>
              <a:t> non-CO2</a:t>
            </a:r>
            <a:endParaRPr lang="en-GB" sz="1100">
              <a:solidFill>
                <a:srgbClr val="FF0000"/>
              </a:solidFill>
            </a:endParaRPr>
          </a:p>
        </xdr:txBody>
      </xdr:sp>
      <xdr:sp macro="" textlink="">
        <xdr:nvSpPr>
          <xdr:cNvPr id="45" name="Rectangle 39">
            <a:extLst>
              <a:ext uri="{FF2B5EF4-FFF2-40B4-BE49-F238E27FC236}">
                <a16:creationId xmlns:a16="http://schemas.microsoft.com/office/drawing/2014/main" id="{90DB595E-4EA3-8FAD-1F23-D6588AD4F452}"/>
              </a:ext>
            </a:extLst>
          </xdr:cNvPr>
          <xdr:cNvSpPr/>
        </xdr:nvSpPr>
        <xdr:spPr>
          <a:xfrm>
            <a:off x="12696786" y="3312716"/>
            <a:ext cx="312059" cy="587774"/>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lIns="36000" rIns="3600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HCl</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1748117</xdr:colOff>
      <xdr:row>21</xdr:row>
      <xdr:rowOff>71718</xdr:rowOff>
    </xdr:from>
    <xdr:to>
      <xdr:col>6</xdr:col>
      <xdr:colOff>45356</xdr:colOff>
      <xdr:row>24</xdr:row>
      <xdr:rowOff>5055</xdr:rowOff>
    </xdr:to>
    <xdr:cxnSp macro="">
      <xdr:nvCxnSpPr>
        <xdr:cNvPr id="2" name="Straight Arrow Connector 20">
          <a:extLst>
            <a:ext uri="{FF2B5EF4-FFF2-40B4-BE49-F238E27FC236}">
              <a16:creationId xmlns:a16="http://schemas.microsoft.com/office/drawing/2014/main" id="{B2E96E7F-EFFC-43F0-8CF3-215DD18A8B4D}"/>
            </a:ext>
          </a:extLst>
        </xdr:cNvPr>
        <xdr:cNvCxnSpPr>
          <a:cxnSpLocks/>
          <a:stCxn id="3" idx="1"/>
        </xdr:cNvCxnSpPr>
      </xdr:nvCxnSpPr>
      <xdr:spPr>
        <a:xfrm flipH="1" flipV="1">
          <a:off x="11940988" y="5011271"/>
          <a:ext cx="753568" cy="47121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45356</xdr:colOff>
      <xdr:row>21</xdr:row>
      <xdr:rowOff>132254</xdr:rowOff>
    </xdr:from>
    <xdr:to>
      <xdr:col>11</xdr:col>
      <xdr:colOff>411480</xdr:colOff>
      <xdr:row>26</xdr:row>
      <xdr:rowOff>57149</xdr:rowOff>
    </xdr:to>
    <xdr:sp macro="" textlink="">
      <xdr:nvSpPr>
        <xdr:cNvPr id="3" name="TextBox 27">
          <a:extLst>
            <a:ext uri="{FF2B5EF4-FFF2-40B4-BE49-F238E27FC236}">
              <a16:creationId xmlns:a16="http://schemas.microsoft.com/office/drawing/2014/main" id="{4AFE0D73-50DA-4978-965F-3A4F3ACE5156}"/>
            </a:ext>
          </a:extLst>
        </xdr:cNvPr>
        <xdr:cNvSpPr txBox="1"/>
      </xdr:nvSpPr>
      <xdr:spPr>
        <a:xfrm>
          <a:off x="12694556" y="5130974"/>
          <a:ext cx="3414124" cy="839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Input GHG emissions results</a:t>
          </a:r>
          <a:r>
            <a:rPr lang="en-GB" sz="1100" baseline="0"/>
            <a:t> for any further consignments that have been calculated in another workbook, if applicable, and the corresponding % share of the total consignments this represents.</a:t>
          </a:r>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1020722</xdr:colOff>
      <xdr:row>9</xdr:row>
      <xdr:rowOff>16783</xdr:rowOff>
    </xdr:from>
    <xdr:to>
      <xdr:col>15</xdr:col>
      <xdr:colOff>145676</xdr:colOff>
      <xdr:row>15</xdr:row>
      <xdr:rowOff>22411</xdr:rowOff>
    </xdr:to>
    <xdr:cxnSp macro="">
      <xdr:nvCxnSpPr>
        <xdr:cNvPr id="64" name="Straight Arrow Connector 5">
          <a:extLst>
            <a:ext uri="{FF2B5EF4-FFF2-40B4-BE49-F238E27FC236}">
              <a16:creationId xmlns:a16="http://schemas.microsoft.com/office/drawing/2014/main" id="{1F73F79A-B7DB-449D-A95D-FED9A3772B76}"/>
            </a:ext>
          </a:extLst>
        </xdr:cNvPr>
        <xdr:cNvCxnSpPr/>
      </xdr:nvCxnSpPr>
      <xdr:spPr>
        <a:xfrm flipH="1" flipV="1">
          <a:off x="17246840" y="2986342"/>
          <a:ext cx="559307" cy="10701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31659</xdr:colOff>
      <xdr:row>8</xdr:row>
      <xdr:rowOff>88265</xdr:rowOff>
    </xdr:from>
    <xdr:to>
      <xdr:col>14</xdr:col>
      <xdr:colOff>112058</xdr:colOff>
      <xdr:row>8</xdr:row>
      <xdr:rowOff>88265</xdr:rowOff>
    </xdr:to>
    <xdr:cxnSp macro="">
      <xdr:nvCxnSpPr>
        <xdr:cNvPr id="3" name="Straight Arrow Connector 6">
          <a:extLst>
            <a:ext uri="{FF2B5EF4-FFF2-40B4-BE49-F238E27FC236}">
              <a16:creationId xmlns:a16="http://schemas.microsoft.com/office/drawing/2014/main" id="{90AE4BCC-B244-4C60-928F-24942D8E7656}"/>
            </a:ext>
          </a:extLst>
        </xdr:cNvPr>
        <xdr:cNvCxnSpPr/>
      </xdr:nvCxnSpPr>
      <xdr:spPr>
        <a:xfrm flipH="1">
          <a:off x="16257777" y="2878530"/>
          <a:ext cx="80399" cy="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54428</xdr:colOff>
      <xdr:row>9</xdr:row>
      <xdr:rowOff>38100</xdr:rowOff>
    </xdr:from>
    <xdr:to>
      <xdr:col>14</xdr:col>
      <xdr:colOff>504825</xdr:colOff>
      <xdr:row>19</xdr:row>
      <xdr:rowOff>0</xdr:rowOff>
    </xdr:to>
    <xdr:cxnSp macro="">
      <xdr:nvCxnSpPr>
        <xdr:cNvPr id="33" name="Straight Arrow Connector 9">
          <a:extLst>
            <a:ext uri="{FF2B5EF4-FFF2-40B4-BE49-F238E27FC236}">
              <a16:creationId xmlns:a16="http://schemas.microsoft.com/office/drawing/2014/main" id="{A7043B95-0D5D-4068-B236-4FE6DA9B6A99}"/>
            </a:ext>
          </a:extLst>
        </xdr:cNvPr>
        <xdr:cNvCxnSpPr/>
      </xdr:nvCxnSpPr>
      <xdr:spPr>
        <a:xfrm flipH="1">
          <a:off x="15561128" y="3028950"/>
          <a:ext cx="450397" cy="201930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59690</xdr:colOff>
      <xdr:row>8</xdr:row>
      <xdr:rowOff>79375</xdr:rowOff>
    </xdr:from>
    <xdr:to>
      <xdr:col>13</xdr:col>
      <xdr:colOff>64862</xdr:colOff>
      <xdr:row>8</xdr:row>
      <xdr:rowOff>79375</xdr:rowOff>
    </xdr:to>
    <xdr:cxnSp macro="">
      <xdr:nvCxnSpPr>
        <xdr:cNvPr id="28" name="Straight Arrow Connector 35">
          <a:extLst>
            <a:ext uri="{FF2B5EF4-FFF2-40B4-BE49-F238E27FC236}">
              <a16:creationId xmlns:a16="http://schemas.microsoft.com/office/drawing/2014/main" id="{BD427CCA-DEA5-4A78-83D1-767FD63B2ABD}"/>
            </a:ext>
          </a:extLst>
        </xdr:cNvPr>
        <xdr:cNvCxnSpPr/>
      </xdr:nvCxnSpPr>
      <xdr:spPr>
        <a:xfrm flipH="1" flipV="1">
          <a:off x="12823190" y="2800804"/>
          <a:ext cx="1325065" cy="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95250</xdr:rowOff>
    </xdr:from>
    <xdr:to>
      <xdr:col>19</xdr:col>
      <xdr:colOff>2815</xdr:colOff>
      <xdr:row>8</xdr:row>
      <xdr:rowOff>131356</xdr:rowOff>
    </xdr:to>
    <xdr:cxnSp macro="">
      <xdr:nvCxnSpPr>
        <xdr:cNvPr id="5" name="Straight Arrow Connector 5">
          <a:extLst>
            <a:ext uri="{FF2B5EF4-FFF2-40B4-BE49-F238E27FC236}">
              <a16:creationId xmlns:a16="http://schemas.microsoft.com/office/drawing/2014/main" id="{59557D79-9971-44AA-9F3E-590062A83BD7}"/>
            </a:ext>
          </a:extLst>
        </xdr:cNvPr>
        <xdr:cNvCxnSpPr/>
      </xdr:nvCxnSpPr>
      <xdr:spPr>
        <a:xfrm flipH="1" flipV="1">
          <a:off x="18015857" y="2816679"/>
          <a:ext cx="1431565" cy="361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846818</xdr:colOff>
      <xdr:row>14</xdr:row>
      <xdr:rowOff>95250</xdr:rowOff>
    </xdr:from>
    <xdr:to>
      <xdr:col>19</xdr:col>
      <xdr:colOff>870857</xdr:colOff>
      <xdr:row>19</xdr:row>
      <xdr:rowOff>0</xdr:rowOff>
    </xdr:to>
    <xdr:cxnSp macro="">
      <xdr:nvCxnSpPr>
        <xdr:cNvPr id="31" name="Straight Arrow Connector 5">
          <a:extLst>
            <a:ext uri="{FF2B5EF4-FFF2-40B4-BE49-F238E27FC236}">
              <a16:creationId xmlns:a16="http://schemas.microsoft.com/office/drawing/2014/main" id="{C116381A-82B2-43E9-AFA9-E14F506B5F8F}"/>
            </a:ext>
          </a:extLst>
        </xdr:cNvPr>
        <xdr:cNvCxnSpPr/>
      </xdr:nvCxnSpPr>
      <xdr:spPr>
        <a:xfrm flipH="1">
          <a:off x="19978461" y="4109357"/>
          <a:ext cx="24039" cy="77243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1078139</xdr:colOff>
      <xdr:row>14</xdr:row>
      <xdr:rowOff>136072</xdr:rowOff>
    </xdr:from>
    <xdr:to>
      <xdr:col>19</xdr:col>
      <xdr:colOff>857250</xdr:colOff>
      <xdr:row>19</xdr:row>
      <xdr:rowOff>0</xdr:rowOff>
    </xdr:to>
    <xdr:cxnSp macro="">
      <xdr:nvCxnSpPr>
        <xdr:cNvPr id="32" name="Straight Arrow Connector 5">
          <a:extLst>
            <a:ext uri="{FF2B5EF4-FFF2-40B4-BE49-F238E27FC236}">
              <a16:creationId xmlns:a16="http://schemas.microsoft.com/office/drawing/2014/main" id="{C67511BA-3413-4AB3-80EE-CB6515D203A1}"/>
            </a:ext>
          </a:extLst>
        </xdr:cNvPr>
        <xdr:cNvCxnSpPr/>
      </xdr:nvCxnSpPr>
      <xdr:spPr>
        <a:xfrm flipH="1">
          <a:off x="18753818" y="4150179"/>
          <a:ext cx="1235075" cy="7075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698725</xdr:colOff>
      <xdr:row>15</xdr:row>
      <xdr:rowOff>87287</xdr:rowOff>
    </xdr:from>
    <xdr:to>
      <xdr:col>21</xdr:col>
      <xdr:colOff>114300</xdr:colOff>
      <xdr:row>19</xdr:row>
      <xdr:rowOff>123825</xdr:rowOff>
    </xdr:to>
    <xdr:cxnSp macro="">
      <xdr:nvCxnSpPr>
        <xdr:cNvPr id="34" name="Straight Arrow Connector 5">
          <a:extLst>
            <a:ext uri="{FF2B5EF4-FFF2-40B4-BE49-F238E27FC236}">
              <a16:creationId xmlns:a16="http://schemas.microsoft.com/office/drawing/2014/main" id="{87A25FA4-C9E1-4BBB-9226-ABB466145FE0}"/>
            </a:ext>
          </a:extLst>
        </xdr:cNvPr>
        <xdr:cNvCxnSpPr>
          <a:cxnSpLocks/>
          <a:stCxn id="9" idx="2"/>
        </xdr:cNvCxnSpPr>
      </xdr:nvCxnSpPr>
      <xdr:spPr>
        <a:xfrm>
          <a:off x="20615500" y="4144937"/>
          <a:ext cx="891950" cy="7604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906907</xdr:colOff>
      <xdr:row>15</xdr:row>
      <xdr:rowOff>35217</xdr:rowOff>
    </xdr:from>
    <xdr:to>
      <xdr:col>16</xdr:col>
      <xdr:colOff>1247029</xdr:colOff>
      <xdr:row>18</xdr:row>
      <xdr:rowOff>219075</xdr:rowOff>
    </xdr:to>
    <xdr:sp macro="" textlink="">
      <xdr:nvSpPr>
        <xdr:cNvPr id="51" name="TextBox 10">
          <a:extLst>
            <a:ext uri="{FF2B5EF4-FFF2-40B4-BE49-F238E27FC236}">
              <a16:creationId xmlns:a16="http://schemas.microsoft.com/office/drawing/2014/main" id="{C95364B4-A7A9-4257-82A4-DFCC58B9CF0F}"/>
            </a:ext>
          </a:extLst>
        </xdr:cNvPr>
        <xdr:cNvSpPr txBox="1"/>
      </xdr:nvSpPr>
      <xdr:spPr>
        <a:xfrm>
          <a:off x="17178782" y="4035717"/>
          <a:ext cx="2403872" cy="7077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electricity/heat inputs and hydrogen output.</a:t>
          </a:r>
          <a:endParaRPr lang="en-GB" sz="1100"/>
        </a:p>
      </xdr:txBody>
    </xdr:sp>
    <xdr:clientData/>
  </xdr:twoCellAnchor>
  <xdr:twoCellAnchor>
    <xdr:from>
      <xdr:col>18</xdr:col>
      <xdr:colOff>1436007</xdr:colOff>
      <xdr:row>7</xdr:row>
      <xdr:rowOff>87993</xdr:rowOff>
    </xdr:from>
    <xdr:to>
      <xdr:col>21</xdr:col>
      <xdr:colOff>10432</xdr:colOff>
      <xdr:row>10</xdr:row>
      <xdr:rowOff>190500</xdr:rowOff>
    </xdr:to>
    <xdr:sp macro="" textlink="">
      <xdr:nvSpPr>
        <xdr:cNvPr id="37" name="TextBox 11">
          <a:extLst>
            <a:ext uri="{FF2B5EF4-FFF2-40B4-BE49-F238E27FC236}">
              <a16:creationId xmlns:a16="http://schemas.microsoft.com/office/drawing/2014/main" id="{312B19F3-5A0D-470F-9BCC-073D65F61423}"/>
            </a:ext>
          </a:extLst>
        </xdr:cNvPr>
        <xdr:cNvSpPr txBox="1"/>
      </xdr:nvSpPr>
      <xdr:spPr>
        <a:xfrm>
          <a:off x="19179721" y="2646136"/>
          <a:ext cx="2615747" cy="6331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LHV energy content of all products and co-products.</a:t>
          </a:r>
        </a:p>
      </xdr:txBody>
    </xdr:sp>
    <xdr:clientData/>
  </xdr:twoCellAnchor>
  <xdr:twoCellAnchor>
    <xdr:from>
      <xdr:col>1</xdr:col>
      <xdr:colOff>11550</xdr:colOff>
      <xdr:row>4</xdr:row>
      <xdr:rowOff>7436</xdr:rowOff>
    </xdr:from>
    <xdr:to>
      <xdr:col>2</xdr:col>
      <xdr:colOff>2387599</xdr:colOff>
      <xdr:row>4</xdr:row>
      <xdr:rowOff>835566</xdr:rowOff>
    </xdr:to>
    <xdr:sp macro="" textlink="">
      <xdr:nvSpPr>
        <xdr:cNvPr id="23" name="TextBox 17">
          <a:extLst>
            <a:ext uri="{FF2B5EF4-FFF2-40B4-BE49-F238E27FC236}">
              <a16:creationId xmlns:a16="http://schemas.microsoft.com/office/drawing/2014/main" id="{2CBCF78C-4D14-4743-ACE4-8C2A9D2BD09C}"/>
            </a:ext>
          </a:extLst>
        </xdr:cNvPr>
        <xdr:cNvSpPr txBox="1"/>
      </xdr:nvSpPr>
      <xdr:spPr>
        <a:xfrm>
          <a:off x="299417" y="1065769"/>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18</xdr:col>
      <xdr:colOff>1285873</xdr:colOff>
      <xdr:row>11</xdr:row>
      <xdr:rowOff>167911</xdr:rowOff>
    </xdr:from>
    <xdr:to>
      <xdr:col>22</xdr:col>
      <xdr:colOff>105862</xdr:colOff>
      <xdr:row>15</xdr:row>
      <xdr:rowOff>85382</xdr:rowOff>
    </xdr:to>
    <xdr:sp macro="" textlink="">
      <xdr:nvSpPr>
        <xdr:cNvPr id="9" name="TextBox 27">
          <a:extLst>
            <a:ext uri="{FF2B5EF4-FFF2-40B4-BE49-F238E27FC236}">
              <a16:creationId xmlns:a16="http://schemas.microsoft.com/office/drawing/2014/main" id="{CD07B94D-CA09-4EB6-B3A0-39B11C0789DA}"/>
            </a:ext>
          </a:extLst>
        </xdr:cNvPr>
        <xdr:cNvSpPr txBox="1"/>
      </xdr:nvSpPr>
      <xdr:spPr>
        <a:xfrm>
          <a:off x="18345148" y="3501661"/>
          <a:ext cx="4544514" cy="64137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GHG intensity of each input/output is used to calculate the total emissions from each category on a /MJ main output basis. Note</a:t>
          </a:r>
          <a:r>
            <a:rPr lang="en-GB" sz="1100" baseline="0"/>
            <a:t> the GHG intensity has units gCO</a:t>
          </a:r>
          <a:r>
            <a:rPr lang="en-GB" sz="1100" baseline="-25000"/>
            <a:t>2</a:t>
          </a:r>
          <a:r>
            <a:rPr lang="en-GB" sz="1100" baseline="0"/>
            <a:t>e/kg for flows with tonnes/yr units.</a:t>
          </a:r>
          <a:endParaRPr lang="en-GB" sz="1100"/>
        </a:p>
      </xdr:txBody>
    </xdr:sp>
    <xdr:clientData/>
  </xdr:twoCellAnchor>
  <xdr:twoCellAnchor>
    <xdr:from>
      <xdr:col>14</xdr:col>
      <xdr:colOff>28484</xdr:colOff>
      <xdr:row>9</xdr:row>
      <xdr:rowOff>28575</xdr:rowOff>
    </xdr:from>
    <xdr:to>
      <xdr:col>14</xdr:col>
      <xdr:colOff>542925</xdr:colOff>
      <xdr:row>25</xdr:row>
      <xdr:rowOff>2134</xdr:rowOff>
    </xdr:to>
    <xdr:cxnSp macro="">
      <xdr:nvCxnSpPr>
        <xdr:cNvPr id="16" name="Straight Arrow Connector 9">
          <a:extLst>
            <a:ext uri="{FF2B5EF4-FFF2-40B4-BE49-F238E27FC236}">
              <a16:creationId xmlns:a16="http://schemas.microsoft.com/office/drawing/2014/main" id="{701E8559-AB6D-441B-ACF0-3E46433D11BA}"/>
            </a:ext>
          </a:extLst>
        </xdr:cNvPr>
        <xdr:cNvCxnSpPr/>
      </xdr:nvCxnSpPr>
      <xdr:spPr>
        <a:xfrm flipH="1">
          <a:off x="15535184" y="3019425"/>
          <a:ext cx="514441" cy="3383509"/>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10432</xdr:colOff>
      <xdr:row>9</xdr:row>
      <xdr:rowOff>33617</xdr:rowOff>
    </xdr:from>
    <xdr:to>
      <xdr:col>14</xdr:col>
      <xdr:colOff>537882</xdr:colOff>
      <xdr:row>29</xdr:row>
      <xdr:rowOff>863</xdr:rowOff>
    </xdr:to>
    <xdr:cxnSp macro="">
      <xdr:nvCxnSpPr>
        <xdr:cNvPr id="17" name="Straight Arrow Connector 9">
          <a:extLst>
            <a:ext uri="{FF2B5EF4-FFF2-40B4-BE49-F238E27FC236}">
              <a16:creationId xmlns:a16="http://schemas.microsoft.com/office/drawing/2014/main" id="{DB59B409-1378-4C11-9074-CBC9260A2ECF}"/>
            </a:ext>
          </a:extLst>
        </xdr:cNvPr>
        <xdr:cNvCxnSpPr/>
      </xdr:nvCxnSpPr>
      <xdr:spPr>
        <a:xfrm flipH="1">
          <a:off x="16236550" y="3003176"/>
          <a:ext cx="527450" cy="4180658"/>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21227</xdr:colOff>
      <xdr:row>9</xdr:row>
      <xdr:rowOff>33617</xdr:rowOff>
    </xdr:from>
    <xdr:to>
      <xdr:col>14</xdr:col>
      <xdr:colOff>560294</xdr:colOff>
      <xdr:row>36</xdr:row>
      <xdr:rowOff>359501</xdr:rowOff>
    </xdr:to>
    <xdr:cxnSp macro="">
      <xdr:nvCxnSpPr>
        <xdr:cNvPr id="18" name="Straight Arrow Connector 9">
          <a:extLst>
            <a:ext uri="{FF2B5EF4-FFF2-40B4-BE49-F238E27FC236}">
              <a16:creationId xmlns:a16="http://schemas.microsoft.com/office/drawing/2014/main" id="{93EEBA12-4005-4304-9B5B-9D1A7D0BD858}"/>
            </a:ext>
          </a:extLst>
        </xdr:cNvPr>
        <xdr:cNvCxnSpPr/>
      </xdr:nvCxnSpPr>
      <xdr:spPr>
        <a:xfrm flipH="1">
          <a:off x="16247345" y="3003176"/>
          <a:ext cx="539067" cy="529009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414617</xdr:colOff>
      <xdr:row>0</xdr:row>
      <xdr:rowOff>156882</xdr:rowOff>
    </xdr:from>
    <xdr:to>
      <xdr:col>19</xdr:col>
      <xdr:colOff>280147</xdr:colOff>
      <xdr:row>2</xdr:row>
      <xdr:rowOff>159944</xdr:rowOff>
    </xdr:to>
    <xdr:sp macro="" textlink="">
      <xdr:nvSpPr>
        <xdr:cNvPr id="11" name="TextBox 8">
          <a:extLst>
            <a:ext uri="{FF2B5EF4-FFF2-40B4-BE49-F238E27FC236}">
              <a16:creationId xmlns:a16="http://schemas.microsoft.com/office/drawing/2014/main" id="{F4636034-6F4D-4828-A273-2F5F4FD1C093}"/>
            </a:ext>
          </a:extLst>
        </xdr:cNvPr>
        <xdr:cNvSpPr txBox="1"/>
      </xdr:nvSpPr>
      <xdr:spPr>
        <a:xfrm>
          <a:off x="16640735" y="156882"/>
          <a:ext cx="5905500"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13</xdr:col>
      <xdr:colOff>635000</xdr:colOff>
      <xdr:row>1</xdr:row>
      <xdr:rowOff>90151</xdr:rowOff>
    </xdr:from>
    <xdr:to>
      <xdr:col>14</xdr:col>
      <xdr:colOff>411442</xdr:colOff>
      <xdr:row>4</xdr:row>
      <xdr:rowOff>111125</xdr:rowOff>
    </xdr:to>
    <xdr:cxnSp macro="">
      <xdr:nvCxnSpPr>
        <xdr:cNvPr id="2" name="Straight Arrow Connector 5">
          <a:extLst>
            <a:ext uri="{FF2B5EF4-FFF2-40B4-BE49-F238E27FC236}">
              <a16:creationId xmlns:a16="http://schemas.microsoft.com/office/drawing/2014/main" id="{80200C09-855F-4278-944F-DD4E57464815}"/>
            </a:ext>
          </a:extLst>
        </xdr:cNvPr>
        <xdr:cNvCxnSpPr>
          <a:cxnSpLocks/>
          <a:stCxn id="11" idx="1"/>
        </xdr:cNvCxnSpPr>
      </xdr:nvCxnSpPr>
      <xdr:spPr>
        <a:xfrm flipH="1">
          <a:off x="15906750" y="487026"/>
          <a:ext cx="776567" cy="671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730250</xdr:colOff>
      <xdr:row>2</xdr:row>
      <xdr:rowOff>163119</xdr:rowOff>
    </xdr:from>
    <xdr:to>
      <xdr:col>16</xdr:col>
      <xdr:colOff>1304645</xdr:colOff>
      <xdr:row>4</xdr:row>
      <xdr:rowOff>285750</xdr:rowOff>
    </xdr:to>
    <xdr:cxnSp macro="">
      <xdr:nvCxnSpPr>
        <xdr:cNvPr id="7" name="Straight Arrow Connector 5">
          <a:extLst>
            <a:ext uri="{FF2B5EF4-FFF2-40B4-BE49-F238E27FC236}">
              <a16:creationId xmlns:a16="http://schemas.microsoft.com/office/drawing/2014/main" id="{6FC8FB0C-34C5-4C70-8A03-84C3915140F9}"/>
            </a:ext>
          </a:extLst>
        </xdr:cNvPr>
        <xdr:cNvCxnSpPr>
          <a:cxnSpLocks/>
          <a:stCxn id="11" idx="2"/>
        </xdr:cNvCxnSpPr>
      </xdr:nvCxnSpPr>
      <xdr:spPr>
        <a:xfrm flipH="1">
          <a:off x="19065875" y="813994"/>
          <a:ext cx="574395" cy="5195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E4Tech_theme">
  <a:themeElements>
    <a:clrScheme name="Custom 1">
      <a:dk1>
        <a:srgbClr val="000000"/>
      </a:dk1>
      <a:lt1>
        <a:srgbClr val="FFFFFF"/>
      </a:lt1>
      <a:dk2>
        <a:srgbClr val="000098"/>
      </a:dk2>
      <a:lt2>
        <a:srgbClr val="D8D9DB"/>
      </a:lt2>
      <a:accent1>
        <a:srgbClr val="1B429A"/>
      </a:accent1>
      <a:accent2>
        <a:srgbClr val="1383BD"/>
      </a:accent2>
      <a:accent3>
        <a:srgbClr val="6AB0E0"/>
      </a:accent3>
      <a:accent4>
        <a:srgbClr val="957FB5"/>
      </a:accent4>
      <a:accent5>
        <a:srgbClr val="4B8A60"/>
      </a:accent5>
      <a:accent6>
        <a:srgbClr val="8CB57E"/>
      </a:accent6>
      <a:hlink>
        <a:srgbClr val="001D4F"/>
      </a:hlink>
      <a:folHlink>
        <a:srgbClr val="001D4F"/>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sciencedirect.com/science/article/pii/S0301479722019296"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op.europa.eu/en/publication-detail/-/publication/7d6dd4ba-720a-11e9-9f05-01aa75ed71a1" TargetMode="External"/><Relationship Id="rId3" Type="http://schemas.openxmlformats.org/officeDocument/2006/relationships/hyperlink" Target="https://www.gov.uk/government/publications/rtfo-and-saf-mandate-technical-information" TargetMode="External"/><Relationship Id="rId7" Type="http://schemas.openxmlformats.org/officeDocument/2006/relationships/hyperlink" Target="https://publications.jrc.ec.europa.eu/repository/handle/JRC104759" TargetMode="External"/><Relationship Id="rId12" Type="http://schemas.openxmlformats.org/officeDocument/2006/relationships/printerSettings" Target="../printerSettings/printerSettings8.bin"/><Relationship Id="rId2" Type="http://schemas.openxmlformats.org/officeDocument/2006/relationships/hyperlink" Target="https://eur-lex.europa.eu/legal-content/EN/TXT/PDF/?uri=CELEX:02018L2001-20231120" TargetMode="External"/><Relationship Id="rId1" Type="http://schemas.openxmlformats.org/officeDocument/2006/relationships/hyperlink" Target="https://ec.europa.eu/jrc/en/publication/eur-scientific-and-technical-research-reports/jec-well-tank-report-v5" TargetMode="External"/><Relationship Id="rId6" Type="http://schemas.openxmlformats.org/officeDocument/2006/relationships/hyperlink" Target="https://www.gov.uk/government/publications/uk-low-carbon-hydrogen-standard-emissions-reporting-and-sustainability-criteria" TargetMode="External"/><Relationship Id="rId11" Type="http://schemas.openxmlformats.org/officeDocument/2006/relationships/hyperlink" Target="https://assets.publishing.service.gov.uk/government/uploads/system/uploads/attachment_data/file/947712/carbon-intensity-data-templates-2021.ods" TargetMode="External"/><Relationship Id="rId5" Type="http://schemas.openxmlformats.org/officeDocument/2006/relationships/hyperlink" Target="https://www.gov.uk/government/publications/uk-low-carbon-hydrogen-standard-emissions-reporting-and-sustainability-criteria" TargetMode="External"/><Relationship Id="rId10" Type="http://schemas.openxmlformats.org/officeDocument/2006/relationships/hyperlink" Target="https://web.archive.org/web/20190605065129/http:/www.arb.ca.gov/fuels/lcfs/workgroups/lcfssustain/ISCC_EU_205_GHG_Calculation_and_GHG_Audit_2.3_eng.pdf" TargetMode="External"/><Relationship Id="rId4" Type="http://schemas.openxmlformats.org/officeDocument/2006/relationships/hyperlink" Target="https://www.gov.uk/government/publications/greenhouse-gas-reporting-conversion-factors-2025" TargetMode="External"/><Relationship Id="rId9" Type="http://schemas.openxmlformats.org/officeDocument/2006/relationships/hyperlink" Target="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B33A-8519-45D5-AB98-505321E24A98}">
  <sheetPr codeName="Sheet51"/>
  <dimension ref="C11:C37"/>
  <sheetViews>
    <sheetView showGridLines="0" zoomScaleNormal="100" workbookViewId="0">
      <selection activeCell="A2" sqref="A2"/>
    </sheetView>
  </sheetViews>
  <sheetFormatPr defaultRowHeight="14.45"/>
  <cols>
    <col min="1" max="1" width="5" customWidth="1"/>
    <col min="2" max="2" width="11.85546875" customWidth="1"/>
    <col min="3" max="3" width="184.5703125" customWidth="1"/>
  </cols>
  <sheetData>
    <row r="11" spans="3:3" ht="57">
      <c r="C11" s="349" t="s">
        <v>0</v>
      </c>
    </row>
    <row r="13" spans="3:3" ht="57.95">
      <c r="C13" s="67" t="s">
        <v>1</v>
      </c>
    </row>
    <row r="14" spans="3:3">
      <c r="C14" s="67"/>
    </row>
    <row r="15" spans="3:3">
      <c r="C15" s="259" t="s">
        <v>2</v>
      </c>
    </row>
    <row r="16" spans="3:3" ht="29.1">
      <c r="C16" s="67" t="s">
        <v>3</v>
      </c>
    </row>
    <row r="18" spans="3:3">
      <c r="C18" s="67" t="s">
        <v>4</v>
      </c>
    </row>
    <row r="20" spans="3:3">
      <c r="C20" s="259" t="s">
        <v>5</v>
      </c>
    </row>
    <row r="21" spans="3:3" ht="43.5">
      <c r="C21" s="67" t="s">
        <v>6</v>
      </c>
    </row>
    <row r="23" spans="3:3">
      <c r="C23" s="259" t="s">
        <v>7</v>
      </c>
    </row>
    <row r="24" spans="3:3" ht="29.1">
      <c r="C24" s="67" t="s">
        <v>8</v>
      </c>
    </row>
    <row r="26" spans="3:3">
      <c r="C26" s="25" t="s">
        <v>9</v>
      </c>
    </row>
    <row r="27" spans="3:3">
      <c r="C27" t="s">
        <v>10</v>
      </c>
    </row>
    <row r="29" spans="3:3" ht="29.1">
      <c r="C29" s="67" t="s">
        <v>11</v>
      </c>
    </row>
    <row r="31" spans="3:3" ht="28.5">
      <c r="C31" s="146" t="s">
        <v>12</v>
      </c>
    </row>
    <row r="33" spans="3:3" ht="29.1">
      <c r="C33" s="67" t="s">
        <v>13</v>
      </c>
    </row>
    <row r="35" spans="3:3" ht="29.1">
      <c r="C35" s="67" t="s">
        <v>14</v>
      </c>
    </row>
    <row r="37" spans="3:3" ht="29.1">
      <c r="C37" s="67" t="s">
        <v>15</v>
      </c>
    </row>
  </sheetData>
  <pageMargins left="0" right="0" top="0" bottom="0" header="0" footer="0"/>
  <headerFooter>
    <oddHeader>&amp;C&amp;"Aptos"&amp;10&amp;K000000 OFFICIAL&amp;1#_x000D_</oddHeader>
    <oddFooter>&amp;C_x000D_&amp;1#&amp;"Aptos"&amp;10&amp;K000000 OFFICIAL</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CE75-FF2B-43E9-91B2-1B8DE2D4A3AB}">
  <sheetPr codeName="Sheet5">
    <tabColor rgb="FFC7E8FA"/>
  </sheetPr>
  <dimension ref="B2:W158"/>
  <sheetViews>
    <sheetView showGridLines="0" topLeftCell="A116" zoomScaleNormal="85" workbookViewId="0">
      <selection activeCell="F140" sqref="F140"/>
    </sheetView>
  </sheetViews>
  <sheetFormatPr defaultRowHeight="14.45"/>
  <cols>
    <col min="2" max="2" width="44" customWidth="1"/>
    <col min="3" max="3" width="24.5703125" customWidth="1"/>
    <col min="4" max="4" width="26.5703125" customWidth="1"/>
    <col min="5" max="5" width="24.140625" customWidth="1"/>
    <col min="6" max="6" width="25.42578125" customWidth="1"/>
    <col min="7" max="7" width="24.42578125" customWidth="1"/>
    <col min="8" max="8" width="39.5703125" customWidth="1"/>
    <col min="9" max="9" width="6.5703125" customWidth="1"/>
    <col min="10" max="10" width="25.140625" customWidth="1"/>
    <col min="11" max="11" width="24.140625" customWidth="1"/>
    <col min="12" max="12" width="26.85546875" customWidth="1"/>
    <col min="13" max="13" width="29.140625" customWidth="1"/>
    <col min="14" max="14" width="27.5703125" customWidth="1"/>
    <col min="15" max="15" width="24.5703125" customWidth="1"/>
    <col min="16" max="16" width="6.42578125" customWidth="1"/>
    <col min="17" max="17" width="24.140625" customWidth="1"/>
    <col min="18" max="18" width="25.85546875" customWidth="1"/>
    <col min="19" max="19" width="26.85546875" customWidth="1"/>
    <col min="20" max="20" width="24.140625" customWidth="1"/>
    <col min="21" max="21" width="25.140625" customWidth="1"/>
    <col min="22" max="22" width="19.5703125" customWidth="1"/>
    <col min="23" max="23" width="5.85546875" customWidth="1"/>
    <col min="24" max="24" width="13" bestFit="1" customWidth="1"/>
    <col min="25" max="25" width="12.42578125" customWidth="1"/>
    <col min="26" max="26" width="12.42578125" bestFit="1" customWidth="1"/>
    <col min="27" max="27" width="13" bestFit="1" customWidth="1"/>
    <col min="29" max="29" width="25.140625" customWidth="1"/>
    <col min="30" max="30" width="28.42578125" customWidth="1"/>
    <col min="31" max="31" width="25.5703125" customWidth="1"/>
  </cols>
  <sheetData>
    <row r="2" spans="2:23" s="121" customFormat="1">
      <c r="B2" s="121" t="s">
        <v>395</v>
      </c>
    </row>
    <row r="4" spans="2:23">
      <c r="B4" s="471" t="s">
        <v>396</v>
      </c>
    </row>
    <row r="5" spans="2:23">
      <c r="B5" s="471" t="s">
        <v>397</v>
      </c>
    </row>
    <row r="6" spans="2:23">
      <c r="B6" s="363" t="s">
        <v>398</v>
      </c>
    </row>
    <row r="7" spans="2:23" ht="16.5">
      <c r="B7" s="471" t="s">
        <v>399</v>
      </c>
    </row>
    <row r="8" spans="2:23" ht="16.5">
      <c r="B8" s="471" t="s">
        <v>400</v>
      </c>
    </row>
    <row r="9" spans="2:23" ht="16.5">
      <c r="B9" s="471" t="s">
        <v>401</v>
      </c>
    </row>
    <row r="10" spans="2:23" ht="16.5">
      <c r="B10" s="471" t="s">
        <v>402</v>
      </c>
    </row>
    <row r="11" spans="2:23">
      <c r="B11" s="471" t="s">
        <v>403</v>
      </c>
      <c r="C11" s="204"/>
      <c r="D11" s="204"/>
    </row>
    <row r="13" spans="2:23" ht="14.45" customHeight="1">
      <c r="B13" s="202"/>
      <c r="C13" s="203"/>
      <c r="D13" s="465" t="s">
        <v>404</v>
      </c>
      <c r="E13" s="463"/>
      <c r="F13" s="463"/>
      <c r="G13" s="463"/>
      <c r="H13" s="464"/>
    </row>
    <row r="14" spans="2:23" ht="28.7" customHeight="1">
      <c r="B14" s="217" t="s">
        <v>405</v>
      </c>
      <c r="C14" s="217" t="s">
        <v>406</v>
      </c>
      <c r="D14" s="269" t="s">
        <v>407</v>
      </c>
      <c r="E14" s="131" t="s">
        <v>408</v>
      </c>
      <c r="F14" s="131" t="s">
        <v>409</v>
      </c>
      <c r="G14" s="130" t="s">
        <v>410</v>
      </c>
      <c r="H14" s="216" t="s">
        <v>411</v>
      </c>
      <c r="I14" s="67"/>
      <c r="P14" s="67" t="s">
        <v>412</v>
      </c>
      <c r="W14" s="67" t="s">
        <v>412</v>
      </c>
    </row>
    <row r="15" spans="2:23" ht="16.5">
      <c r="B15" s="28" t="s">
        <v>413</v>
      </c>
      <c r="C15" s="28" t="s">
        <v>414</v>
      </c>
      <c r="D15" s="124">
        <v>8.413990921392756</v>
      </c>
      <c r="E15" s="221">
        <v>8.413990921392756</v>
      </c>
      <c r="F15" s="221">
        <v>2.7685895999999999</v>
      </c>
      <c r="G15" s="221">
        <v>26.895667199999991</v>
      </c>
      <c r="H15" s="125" t="s">
        <v>415</v>
      </c>
      <c r="I15" s="67"/>
      <c r="P15" s="67" t="s">
        <v>412</v>
      </c>
      <c r="W15" s="67" t="s">
        <v>412</v>
      </c>
    </row>
    <row r="16" spans="2:23" ht="16.5">
      <c r="B16" s="28" t="s">
        <v>416</v>
      </c>
      <c r="C16" s="28" t="s">
        <v>414</v>
      </c>
      <c r="D16" s="124">
        <v>7.6477616787943488</v>
      </c>
      <c r="E16" s="221">
        <v>7.6477616787943488</v>
      </c>
      <c r="F16" s="221">
        <v>2.4638667275746884</v>
      </c>
      <c r="G16" s="221">
        <v>28.227281873750169</v>
      </c>
      <c r="H16" s="125" t="s">
        <v>415</v>
      </c>
      <c r="I16" s="67"/>
      <c r="P16" s="67" t="s">
        <v>412</v>
      </c>
      <c r="W16" s="67" t="s">
        <v>412</v>
      </c>
    </row>
    <row r="17" spans="2:23" ht="16.5">
      <c r="B17" s="28" t="s">
        <v>417</v>
      </c>
      <c r="C17" s="28" t="s">
        <v>414</v>
      </c>
      <c r="D17" s="205" t="s">
        <v>418</v>
      </c>
      <c r="E17" s="221" t="s">
        <v>419</v>
      </c>
      <c r="F17" s="221" t="s">
        <v>419</v>
      </c>
      <c r="G17" s="221" t="s">
        <v>419</v>
      </c>
      <c r="H17" s="462" t="s">
        <v>420</v>
      </c>
      <c r="I17" s="67"/>
      <c r="P17" s="67"/>
      <c r="W17" s="67"/>
    </row>
    <row r="18" spans="2:23" ht="16.5">
      <c r="B18" s="28" t="s">
        <v>421</v>
      </c>
      <c r="C18" s="28" t="s">
        <v>414</v>
      </c>
      <c r="D18" s="205" t="s">
        <v>418</v>
      </c>
      <c r="E18" s="221" t="s">
        <v>419</v>
      </c>
      <c r="F18" s="221" t="s">
        <v>419</v>
      </c>
      <c r="G18" s="221" t="s">
        <v>419</v>
      </c>
      <c r="H18" s="462" t="s">
        <v>420</v>
      </c>
      <c r="I18" s="67"/>
      <c r="P18" s="67"/>
      <c r="W18" s="67"/>
    </row>
    <row r="19" spans="2:23" ht="16.5">
      <c r="B19" s="28" t="s">
        <v>422</v>
      </c>
      <c r="C19" s="28" t="s">
        <v>414</v>
      </c>
      <c r="D19" s="124">
        <v>5.5967130104359839</v>
      </c>
      <c r="E19" s="221">
        <v>3.9976521503114175</v>
      </c>
      <c r="F19" s="221">
        <v>-44.062769117291573</v>
      </c>
      <c r="G19" s="221">
        <v>30.259422186659656</v>
      </c>
      <c r="H19" s="125" t="s">
        <v>423</v>
      </c>
      <c r="I19" s="67"/>
      <c r="P19" s="67" t="s">
        <v>412</v>
      </c>
      <c r="W19" s="67" t="s">
        <v>412</v>
      </c>
    </row>
    <row r="20" spans="2:23" ht="16.5">
      <c r="B20" s="28" t="s">
        <v>424</v>
      </c>
      <c r="C20" s="28" t="s">
        <v>414</v>
      </c>
      <c r="D20" s="124">
        <v>5.087042247644483</v>
      </c>
      <c r="E20" s="221">
        <v>3.6336016054603451</v>
      </c>
      <c r="F20" s="221">
        <v>-34.413298020865213</v>
      </c>
      <c r="G20" s="221">
        <v>31.757246135493411</v>
      </c>
      <c r="H20" s="125" t="s">
        <v>423</v>
      </c>
      <c r="I20" s="67"/>
      <c r="P20" s="67" t="s">
        <v>412</v>
      </c>
      <c r="W20" s="67" t="s">
        <v>412</v>
      </c>
    </row>
    <row r="21" spans="2:23" ht="16.5">
      <c r="B21" s="28" t="s">
        <v>425</v>
      </c>
      <c r="C21" s="28" t="s">
        <v>414</v>
      </c>
      <c r="D21" s="124">
        <v>9.4423899454909037</v>
      </c>
      <c r="E21" s="221">
        <v>6.7445642467792171</v>
      </c>
      <c r="F21" s="221">
        <v>6.0843299581785155</v>
      </c>
      <c r="G21" s="221">
        <v>10.045735689782724</v>
      </c>
      <c r="H21" s="125" t="s">
        <v>426</v>
      </c>
      <c r="I21" s="67"/>
      <c r="P21" s="67" t="s">
        <v>412</v>
      </c>
      <c r="W21" s="67" t="s">
        <v>412</v>
      </c>
    </row>
    <row r="22" spans="2:23" ht="16.5">
      <c r="B22" s="28" t="s">
        <v>427</v>
      </c>
      <c r="C22" s="28" t="s">
        <v>414</v>
      </c>
      <c r="D22" s="124">
        <v>0.6399861312087467</v>
      </c>
      <c r="E22" s="221">
        <v>0.45713295086339051</v>
      </c>
      <c r="F22" s="221">
        <v>0.45713295086339051</v>
      </c>
      <c r="G22" s="221">
        <v>1.1778807546997814</v>
      </c>
      <c r="H22" s="125" t="s">
        <v>428</v>
      </c>
      <c r="I22" s="67"/>
      <c r="P22" s="67" t="s">
        <v>412</v>
      </c>
      <c r="W22" s="67" t="s">
        <v>412</v>
      </c>
    </row>
    <row r="23" spans="2:23" ht="16.5">
      <c r="B23" s="28" t="s">
        <v>429</v>
      </c>
      <c r="C23" s="28" t="s">
        <v>414</v>
      </c>
      <c r="D23" s="124">
        <v>0.6399861312087467</v>
      </c>
      <c r="E23" s="221">
        <v>0.45713295086339051</v>
      </c>
      <c r="F23" s="221">
        <v>0.45713295086339051</v>
      </c>
      <c r="G23" s="221">
        <v>1.1778807546997814</v>
      </c>
      <c r="H23" s="125" t="s">
        <v>428</v>
      </c>
      <c r="I23" s="67"/>
      <c r="P23" s="67" t="s">
        <v>412</v>
      </c>
      <c r="W23" s="67" t="s">
        <v>412</v>
      </c>
    </row>
    <row r="24" spans="2:23" ht="16.5">
      <c r="B24" s="28" t="s">
        <v>430</v>
      </c>
      <c r="C24" s="28" t="s">
        <v>414</v>
      </c>
      <c r="D24" s="124"/>
      <c r="E24" s="221"/>
      <c r="F24" s="221"/>
      <c r="G24" s="221"/>
      <c r="H24" s="28" t="s">
        <v>431</v>
      </c>
      <c r="I24" s="67"/>
      <c r="P24" s="67" t="s">
        <v>412</v>
      </c>
      <c r="W24" s="67" t="s">
        <v>412</v>
      </c>
    </row>
    <row r="25" spans="2:23" ht="16.5">
      <c r="B25" s="28" t="s">
        <v>432</v>
      </c>
      <c r="C25" s="28" t="s">
        <v>414</v>
      </c>
      <c r="D25" s="124"/>
      <c r="E25" s="221"/>
      <c r="F25" s="221"/>
      <c r="G25" s="221"/>
      <c r="H25" s="28" t="s">
        <v>433</v>
      </c>
      <c r="I25" s="67"/>
      <c r="P25" s="67" t="s">
        <v>412</v>
      </c>
      <c r="W25" s="67" t="s">
        <v>412</v>
      </c>
    </row>
    <row r="26" spans="2:23" ht="16.5">
      <c r="B26" s="28" t="s">
        <v>434</v>
      </c>
      <c r="C26" s="28" t="s">
        <v>414</v>
      </c>
      <c r="D26" s="124"/>
      <c r="E26" s="221"/>
      <c r="F26" s="221"/>
      <c r="G26" s="221"/>
      <c r="H26" s="28" t="s">
        <v>435</v>
      </c>
      <c r="I26" s="67"/>
      <c r="P26" s="67" t="s">
        <v>412</v>
      </c>
      <c r="W26" s="67" t="s">
        <v>412</v>
      </c>
    </row>
    <row r="27" spans="2:23">
      <c r="D27" s="107"/>
      <c r="E27" s="88"/>
    </row>
    <row r="28" spans="2:23">
      <c r="D28" s="107"/>
      <c r="E28" s="88"/>
    </row>
    <row r="29" spans="2:23" ht="14.45" customHeight="1">
      <c r="B29" s="202"/>
      <c r="C29" s="202"/>
      <c r="D29" s="465" t="s">
        <v>436</v>
      </c>
      <c r="E29" s="468"/>
      <c r="F29" s="468"/>
      <c r="G29" s="468"/>
      <c r="H29" s="469"/>
    </row>
    <row r="30" spans="2:23" ht="28.7" customHeight="1">
      <c r="B30" s="217" t="s">
        <v>405</v>
      </c>
      <c r="C30" s="217" t="s">
        <v>406</v>
      </c>
      <c r="D30" s="466" t="s">
        <v>407</v>
      </c>
      <c r="E30" s="219" t="s">
        <v>408</v>
      </c>
      <c r="F30" s="219" t="s">
        <v>409</v>
      </c>
      <c r="G30" s="220" t="s">
        <v>410</v>
      </c>
      <c r="H30" s="467" t="s">
        <v>411</v>
      </c>
    </row>
    <row r="31" spans="2:23" ht="16.5">
      <c r="B31" s="28" t="s">
        <v>413</v>
      </c>
      <c r="C31" s="28" t="s">
        <v>414</v>
      </c>
      <c r="D31" s="124">
        <v>0.75531281770322034</v>
      </c>
      <c r="E31" s="221">
        <v>0.53950915550230027</v>
      </c>
      <c r="F31" s="221">
        <v>0.53371621100230038</v>
      </c>
      <c r="G31" s="221">
        <v>0.54530210000230039</v>
      </c>
      <c r="H31" s="125" t="s">
        <v>437</v>
      </c>
    </row>
    <row r="32" spans="2:23" ht="16.5">
      <c r="B32" s="28" t="s">
        <v>416</v>
      </c>
      <c r="C32" s="28" t="s">
        <v>414</v>
      </c>
      <c r="D32" s="124">
        <v>4.4514479857375457</v>
      </c>
      <c r="E32" s="221">
        <v>3.1796057040982473</v>
      </c>
      <c r="F32" s="221">
        <v>2.3094602685081465</v>
      </c>
      <c r="G32" s="221">
        <v>0.56008879411171475</v>
      </c>
      <c r="H32" s="125" t="s">
        <v>438</v>
      </c>
    </row>
    <row r="33" spans="2:11" ht="16.5">
      <c r="B33" s="28" t="s">
        <v>417</v>
      </c>
      <c r="C33" s="28" t="s">
        <v>414</v>
      </c>
      <c r="D33" s="205" t="s">
        <v>418</v>
      </c>
      <c r="E33" s="221" t="s">
        <v>419</v>
      </c>
      <c r="F33" s="221" t="s">
        <v>419</v>
      </c>
      <c r="G33" s="221" t="s">
        <v>419</v>
      </c>
      <c r="H33" s="462" t="s">
        <v>420</v>
      </c>
    </row>
    <row r="34" spans="2:11" ht="16.5">
      <c r="B34" s="28" t="s">
        <v>421</v>
      </c>
      <c r="C34" s="28" t="s">
        <v>414</v>
      </c>
      <c r="D34" s="436">
        <v>4.4514479857375457</v>
      </c>
      <c r="E34" s="221">
        <v>3.1796057040982473</v>
      </c>
      <c r="F34" s="221">
        <v>2.3094602685081465</v>
      </c>
      <c r="G34" s="221">
        <v>0.56008879411171475</v>
      </c>
      <c r="H34" s="125" t="s">
        <v>439</v>
      </c>
    </row>
    <row r="35" spans="2:11" ht="16.5">
      <c r="B35" s="28" t="s">
        <v>422</v>
      </c>
      <c r="C35" s="28" t="s">
        <v>414</v>
      </c>
      <c r="D35" s="396">
        <v>0.75531281770322034</v>
      </c>
      <c r="E35" s="221">
        <v>0.53950915550230027</v>
      </c>
      <c r="F35" s="221">
        <v>0.53371621100230038</v>
      </c>
      <c r="G35" s="221">
        <v>0.54530210000230039</v>
      </c>
      <c r="H35" s="126" t="s">
        <v>440</v>
      </c>
    </row>
    <row r="36" spans="2:11" ht="16.5">
      <c r="B36" s="28" t="s">
        <v>424</v>
      </c>
      <c r="C36" s="28" t="s">
        <v>414</v>
      </c>
      <c r="D36" s="124">
        <v>4.4514479857375457</v>
      </c>
      <c r="E36" s="221">
        <v>3.1796057040982473</v>
      </c>
      <c r="F36" s="221">
        <v>2.3094576016613484</v>
      </c>
      <c r="G36" s="221">
        <v>0.56008552214183205</v>
      </c>
      <c r="H36" s="125" t="s">
        <v>441</v>
      </c>
    </row>
    <row r="37" spans="2:11" ht="16.5">
      <c r="B37" s="28" t="s">
        <v>425</v>
      </c>
      <c r="C37" s="28" t="s">
        <v>414</v>
      </c>
      <c r="D37" s="124">
        <v>14.868342250970558</v>
      </c>
      <c r="E37" s="221">
        <v>10.62024446497897</v>
      </c>
      <c r="F37" s="221">
        <v>10.62024446497897</v>
      </c>
      <c r="G37" s="221">
        <v>10.62024446497897</v>
      </c>
      <c r="H37" s="125"/>
    </row>
    <row r="38" spans="2:11" ht="16.5">
      <c r="B38" s="28" t="s">
        <v>427</v>
      </c>
      <c r="C38" s="28" t="s">
        <v>414</v>
      </c>
      <c r="D38" s="124">
        <v>16.040298065011847</v>
      </c>
      <c r="E38" s="221">
        <v>11.457355760722749</v>
      </c>
      <c r="F38" s="221">
        <v>11.457355760722749</v>
      </c>
      <c r="G38" s="221">
        <v>11.484302341937189</v>
      </c>
      <c r="H38" s="125"/>
    </row>
    <row r="39" spans="2:11" ht="16.5">
      <c r="B39" s="28" t="s">
        <v>429</v>
      </c>
      <c r="C39" s="28" t="s">
        <v>414</v>
      </c>
      <c r="D39" s="124">
        <v>16.040298065011847</v>
      </c>
      <c r="E39" s="221">
        <v>11.457355760722749</v>
      </c>
      <c r="F39" s="221">
        <v>11.457355760722749</v>
      </c>
      <c r="G39" s="221">
        <v>11.484302341937189</v>
      </c>
      <c r="H39" s="127"/>
    </row>
    <row r="40" spans="2:11" ht="16.5">
      <c r="B40" s="28" t="s">
        <v>430</v>
      </c>
      <c r="C40" s="28" t="s">
        <v>414</v>
      </c>
      <c r="D40" s="205" t="s">
        <v>418</v>
      </c>
      <c r="E40" s="345">
        <v>64.366050000000001</v>
      </c>
      <c r="F40" s="221">
        <v>56.729400000000005</v>
      </c>
      <c r="G40" s="221">
        <v>72.548175000000015</v>
      </c>
      <c r="H40" s="127" t="s">
        <v>442</v>
      </c>
    </row>
    <row r="41" spans="2:11" ht="16.5">
      <c r="B41" s="28" t="s">
        <v>432</v>
      </c>
      <c r="C41" s="28" t="s">
        <v>414</v>
      </c>
      <c r="D41" s="124">
        <v>0</v>
      </c>
      <c r="E41" s="221">
        <v>0</v>
      </c>
      <c r="F41" s="221">
        <v>0</v>
      </c>
      <c r="G41" s="221">
        <v>0</v>
      </c>
      <c r="H41" s="127" t="s">
        <v>443</v>
      </c>
      <c r="K41" s="344"/>
    </row>
    <row r="42" spans="2:11" ht="16.5">
      <c r="B42" s="28" t="s">
        <v>434</v>
      </c>
      <c r="C42" s="28" t="s">
        <v>414</v>
      </c>
      <c r="D42" s="124">
        <v>2.54223328229217</v>
      </c>
      <c r="E42" s="221">
        <v>2.25551524293591</v>
      </c>
      <c r="F42" s="221">
        <v>1.9879117395367343</v>
      </c>
      <c r="G42" s="221">
        <v>2.54223328229217</v>
      </c>
      <c r="H42" s="127" t="s">
        <v>444</v>
      </c>
    </row>
    <row r="43" spans="2:11">
      <c r="D43" s="107"/>
      <c r="E43" s="88"/>
    </row>
    <row r="44" spans="2:11">
      <c r="D44" s="107"/>
      <c r="E44" s="88"/>
    </row>
    <row r="45" spans="2:11" ht="14.45" customHeight="1">
      <c r="B45" s="202"/>
      <c r="C45" s="203"/>
      <c r="D45" s="465" t="s">
        <v>445</v>
      </c>
      <c r="E45" s="468"/>
      <c r="F45" s="468"/>
      <c r="G45" s="468"/>
      <c r="H45" s="469"/>
    </row>
    <row r="46" spans="2:11" ht="28.7" customHeight="1">
      <c r="B46" s="217" t="s">
        <v>405</v>
      </c>
      <c r="C46" s="217" t="s">
        <v>406</v>
      </c>
      <c r="D46" s="269" t="s">
        <v>407</v>
      </c>
      <c r="E46" s="131" t="s">
        <v>408</v>
      </c>
      <c r="F46" s="131" t="s">
        <v>409</v>
      </c>
      <c r="G46" s="130" t="s">
        <v>410</v>
      </c>
      <c r="H46" s="216" t="s">
        <v>411</v>
      </c>
    </row>
    <row r="47" spans="2:11" ht="16.5">
      <c r="B47" s="28" t="s">
        <v>413</v>
      </c>
      <c r="C47" s="28" t="s">
        <v>414</v>
      </c>
      <c r="D47" s="124">
        <v>0.39772777043334007</v>
      </c>
      <c r="E47" s="221">
        <v>0.28409126459524292</v>
      </c>
      <c r="F47" s="221">
        <v>0.28409126459524292</v>
      </c>
      <c r="G47" s="221">
        <v>0.28409126459524292</v>
      </c>
      <c r="H47" s="126" t="s">
        <v>446</v>
      </c>
    </row>
    <row r="48" spans="2:11" ht="16.5">
      <c r="B48" s="28" t="s">
        <v>416</v>
      </c>
      <c r="C48" s="28" t="s">
        <v>414</v>
      </c>
      <c r="D48" s="124">
        <v>0.39436994696292882</v>
      </c>
      <c r="E48" s="221">
        <v>0.28169281925923489</v>
      </c>
      <c r="F48" s="221">
        <v>0.28169281925923489</v>
      </c>
      <c r="G48" s="221">
        <v>0.28169281925923489</v>
      </c>
      <c r="H48" s="126" t="s">
        <v>446</v>
      </c>
    </row>
    <row r="49" spans="2:8" ht="16.5">
      <c r="B49" s="28" t="s">
        <v>417</v>
      </c>
      <c r="C49" s="28" t="s">
        <v>414</v>
      </c>
      <c r="D49" s="205" t="s">
        <v>418</v>
      </c>
      <c r="E49" s="221" t="s">
        <v>419</v>
      </c>
      <c r="F49" s="221" t="s">
        <v>419</v>
      </c>
      <c r="G49" s="221" t="s">
        <v>419</v>
      </c>
      <c r="H49" s="462" t="s">
        <v>420</v>
      </c>
    </row>
    <row r="50" spans="2:8" ht="16.5">
      <c r="B50" s="28" t="s">
        <v>421</v>
      </c>
      <c r="C50" s="28" t="s">
        <v>414</v>
      </c>
      <c r="D50" s="396">
        <v>0.39436994696292882</v>
      </c>
      <c r="E50" s="221">
        <v>0.28169281925923489</v>
      </c>
      <c r="F50" s="221">
        <v>0.28169281925923489</v>
      </c>
      <c r="G50" s="221">
        <v>0.28169281925923489</v>
      </c>
      <c r="H50" s="125" t="s">
        <v>447</v>
      </c>
    </row>
    <row r="51" spans="2:8" ht="16.5">
      <c r="B51" s="28" t="s">
        <v>422</v>
      </c>
      <c r="C51" s="28" t="s">
        <v>414</v>
      </c>
      <c r="D51" s="124">
        <v>0.39772777043334007</v>
      </c>
      <c r="E51" s="221">
        <v>0.28409126459524292</v>
      </c>
      <c r="F51" s="221">
        <v>0.28409126459524292</v>
      </c>
      <c r="G51" s="221">
        <v>0.28409126459524292</v>
      </c>
      <c r="H51" s="126" t="s">
        <v>446</v>
      </c>
    </row>
    <row r="52" spans="2:8" ht="16.5">
      <c r="B52" s="28" t="s">
        <v>424</v>
      </c>
      <c r="C52" s="28" t="s">
        <v>414</v>
      </c>
      <c r="D52" s="124">
        <v>0.39436994696292882</v>
      </c>
      <c r="E52" s="221">
        <v>0.28169281925923489</v>
      </c>
      <c r="F52" s="221">
        <v>0.28169281925923489</v>
      </c>
      <c r="G52" s="221">
        <v>0.28169281925923489</v>
      </c>
      <c r="H52" s="126" t="s">
        <v>446</v>
      </c>
    </row>
    <row r="53" spans="2:8" ht="16.5">
      <c r="B53" s="28" t="s">
        <v>425</v>
      </c>
      <c r="C53" s="28" t="s">
        <v>414</v>
      </c>
      <c r="D53" s="124">
        <v>3.5511417495819044</v>
      </c>
      <c r="E53" s="221">
        <v>2.5365298211299319</v>
      </c>
      <c r="F53" s="221">
        <v>2.5365298211299319</v>
      </c>
      <c r="G53" s="221">
        <v>2.5365298211299319</v>
      </c>
      <c r="H53" s="125" t="s">
        <v>448</v>
      </c>
    </row>
    <row r="54" spans="2:8" ht="16.5">
      <c r="B54" s="28" t="s">
        <v>427</v>
      </c>
      <c r="C54" s="28" t="s">
        <v>414</v>
      </c>
      <c r="D54" s="124">
        <v>3.8549359498943487</v>
      </c>
      <c r="E54" s="221">
        <v>2.7535256784959636</v>
      </c>
      <c r="F54" s="221">
        <v>2.7535256784959636</v>
      </c>
      <c r="G54" s="221">
        <v>2.9986284369369178</v>
      </c>
      <c r="H54" s="125" t="s">
        <v>449</v>
      </c>
    </row>
    <row r="55" spans="2:8" ht="16.5">
      <c r="B55" s="28" t="s">
        <v>429</v>
      </c>
      <c r="C55" s="28" t="s">
        <v>414</v>
      </c>
      <c r="D55" s="124">
        <v>3.8549359498943487</v>
      </c>
      <c r="E55" s="221">
        <v>2.7535256784959636</v>
      </c>
      <c r="F55" s="221">
        <v>2.7535256784959636</v>
      </c>
      <c r="G55" s="221">
        <v>2.9986284369369178</v>
      </c>
      <c r="H55" s="125" t="s">
        <v>449</v>
      </c>
    </row>
    <row r="56" spans="2:8" ht="16.5">
      <c r="B56" s="28" t="s">
        <v>430</v>
      </c>
      <c r="C56" s="28" t="s">
        <v>414</v>
      </c>
      <c r="D56" s="124">
        <v>3.617164730355555E-2</v>
      </c>
      <c r="E56" s="221">
        <v>2.583689093111111E-2</v>
      </c>
      <c r="F56" s="221">
        <v>2.583689093111111E-2</v>
      </c>
      <c r="G56" s="221">
        <v>2.583689093111111E-2</v>
      </c>
      <c r="H56" s="125" t="s">
        <v>450</v>
      </c>
    </row>
    <row r="57" spans="2:8" ht="16.5">
      <c r="B57" s="28" t="s">
        <v>432</v>
      </c>
      <c r="C57" s="28" t="s">
        <v>414</v>
      </c>
      <c r="D57" s="124">
        <v>3.617164730355555E-2</v>
      </c>
      <c r="E57" s="221">
        <v>2.583689093111111E-2</v>
      </c>
      <c r="F57" s="221">
        <v>2.583689093111111E-2</v>
      </c>
      <c r="G57" s="221">
        <v>2.583689093111111E-2</v>
      </c>
      <c r="H57" s="125" t="s">
        <v>450</v>
      </c>
    </row>
    <row r="58" spans="2:8" ht="16.5">
      <c r="B58" s="28" t="s">
        <v>434</v>
      </c>
      <c r="C58" s="28" t="s">
        <v>414</v>
      </c>
      <c r="D58" s="124">
        <v>3.617164730355555E-2</v>
      </c>
      <c r="E58" s="221">
        <v>2.583689093111111E-2</v>
      </c>
      <c r="F58" s="221">
        <v>2.583689093111111E-2</v>
      </c>
      <c r="G58" s="221">
        <v>2.583689093111111E-2</v>
      </c>
      <c r="H58" s="125" t="s">
        <v>450</v>
      </c>
    </row>
    <row r="59" spans="2:8">
      <c r="D59" s="107"/>
      <c r="E59" s="88"/>
    </row>
    <row r="60" spans="2:8">
      <c r="D60" s="107"/>
      <c r="E60" s="88"/>
    </row>
    <row r="61" spans="2:8">
      <c r="B61" s="202"/>
      <c r="C61" s="203"/>
      <c r="D61" s="465" t="s">
        <v>451</v>
      </c>
      <c r="E61" s="468"/>
      <c r="F61" s="468"/>
      <c r="G61" s="468"/>
      <c r="H61" s="469"/>
    </row>
    <row r="62" spans="2:8" ht="28.7" customHeight="1">
      <c r="B62" s="217" t="s">
        <v>405</v>
      </c>
      <c r="C62" s="217" t="s">
        <v>406</v>
      </c>
      <c r="D62" s="215" t="s">
        <v>407</v>
      </c>
      <c r="E62" s="131" t="s">
        <v>408</v>
      </c>
      <c r="F62" s="131" t="s">
        <v>409</v>
      </c>
      <c r="G62" s="130" t="s">
        <v>410</v>
      </c>
      <c r="H62" s="216" t="s">
        <v>411</v>
      </c>
    </row>
    <row r="63" spans="2:8" ht="16.5">
      <c r="B63" s="28" t="s">
        <v>413</v>
      </c>
      <c r="C63" s="28" t="s">
        <v>414</v>
      </c>
      <c r="D63" s="205" t="s">
        <v>418</v>
      </c>
      <c r="E63" s="221">
        <v>77.687458333333325</v>
      </c>
      <c r="F63" s="221">
        <v>76.150783333333337</v>
      </c>
      <c r="G63" s="221">
        <v>79.224133333333327</v>
      </c>
      <c r="H63" s="28"/>
    </row>
    <row r="64" spans="2:8" ht="16.5">
      <c r="B64" s="28" t="s">
        <v>416</v>
      </c>
      <c r="C64" s="28" t="s">
        <v>414</v>
      </c>
      <c r="D64" s="205" t="s">
        <v>418</v>
      </c>
      <c r="E64" s="221">
        <v>70.612765370829877</v>
      </c>
      <c r="F64" s="221">
        <v>67.769300778182924</v>
      </c>
      <c r="G64" s="221">
        <v>83.146550192425309</v>
      </c>
      <c r="H64" s="28"/>
    </row>
    <row r="65" spans="2:8" ht="16.5">
      <c r="B65" s="28" t="s">
        <v>417</v>
      </c>
      <c r="C65" s="28" t="s">
        <v>414</v>
      </c>
      <c r="D65" s="124" t="s">
        <v>418</v>
      </c>
      <c r="E65" s="221" t="s">
        <v>419</v>
      </c>
      <c r="F65" s="221" t="s">
        <v>419</v>
      </c>
      <c r="G65" s="221" t="s">
        <v>419</v>
      </c>
      <c r="H65" s="125"/>
    </row>
    <row r="66" spans="2:8" ht="16.5">
      <c r="B66" s="28" t="s">
        <v>421</v>
      </c>
      <c r="C66" s="28" t="s">
        <v>414</v>
      </c>
      <c r="D66" s="124" t="s">
        <v>418</v>
      </c>
      <c r="E66" s="221" t="s">
        <v>419</v>
      </c>
      <c r="F66" s="221" t="s">
        <v>419</v>
      </c>
      <c r="G66" s="221" t="s">
        <v>419</v>
      </c>
      <c r="H66" s="125"/>
    </row>
    <row r="67" spans="2:8" ht="16.5">
      <c r="B67" s="28" t="s">
        <v>422</v>
      </c>
      <c r="C67" s="28" t="s">
        <v>414</v>
      </c>
      <c r="D67" s="205" t="s">
        <v>418</v>
      </c>
      <c r="E67" s="221">
        <v>0</v>
      </c>
      <c r="F67" s="221">
        <v>0</v>
      </c>
      <c r="G67" s="221">
        <v>0</v>
      </c>
      <c r="H67" s="28"/>
    </row>
    <row r="68" spans="2:8" ht="16.5">
      <c r="B68" s="28" t="s">
        <v>424</v>
      </c>
      <c r="C68" s="28" t="s">
        <v>414</v>
      </c>
      <c r="D68" s="205" t="s">
        <v>418</v>
      </c>
      <c r="E68" s="221">
        <v>0</v>
      </c>
      <c r="F68" s="221">
        <v>0</v>
      </c>
      <c r="G68" s="221">
        <v>0</v>
      </c>
      <c r="H68" s="28"/>
    </row>
    <row r="69" spans="2:8" ht="16.5">
      <c r="B69" s="28" t="s">
        <v>425</v>
      </c>
      <c r="C69" s="28" t="s">
        <v>414</v>
      </c>
      <c r="D69" s="205" t="s">
        <v>418</v>
      </c>
      <c r="E69" s="221">
        <v>0</v>
      </c>
      <c r="F69" s="221">
        <v>0</v>
      </c>
      <c r="G69" s="221">
        <v>0</v>
      </c>
      <c r="H69" s="28"/>
    </row>
    <row r="70" spans="2:8" ht="16.5">
      <c r="B70" s="28" t="s">
        <v>427</v>
      </c>
      <c r="C70" s="28" t="s">
        <v>414</v>
      </c>
      <c r="D70" s="205" t="s">
        <v>418</v>
      </c>
      <c r="E70" s="221">
        <v>0</v>
      </c>
      <c r="F70" s="221">
        <v>0</v>
      </c>
      <c r="G70" s="221">
        <v>0</v>
      </c>
      <c r="H70" s="28" t="s">
        <v>452</v>
      </c>
    </row>
    <row r="71" spans="2:8" ht="16.5">
      <c r="B71" s="28" t="s">
        <v>429</v>
      </c>
      <c r="C71" s="28" t="s">
        <v>414</v>
      </c>
      <c r="D71" s="205" t="s">
        <v>418</v>
      </c>
      <c r="E71" s="221">
        <v>175.17627323448303</v>
      </c>
      <c r="F71" s="221">
        <v>175.17627323448303</v>
      </c>
      <c r="G71" s="221">
        <v>175.17627323448303</v>
      </c>
      <c r="H71" s="28" t="s">
        <v>453</v>
      </c>
    </row>
    <row r="72" spans="2:8" ht="16.5">
      <c r="B72" s="28" t="s">
        <v>430</v>
      </c>
      <c r="C72" s="28" t="s">
        <v>414</v>
      </c>
      <c r="D72" s="205" t="s">
        <v>418</v>
      </c>
      <c r="E72" s="221">
        <v>0</v>
      </c>
      <c r="F72" s="221">
        <v>0</v>
      </c>
      <c r="G72" s="221">
        <v>0</v>
      </c>
      <c r="H72" s="28"/>
    </row>
    <row r="73" spans="2:8" ht="16.5">
      <c r="B73" s="28" t="s">
        <v>432</v>
      </c>
      <c r="C73" s="28" t="s">
        <v>414</v>
      </c>
      <c r="D73" s="205" t="s">
        <v>418</v>
      </c>
      <c r="E73" s="221">
        <v>0</v>
      </c>
      <c r="F73" s="221">
        <v>0</v>
      </c>
      <c r="G73" s="221">
        <v>0</v>
      </c>
      <c r="H73" s="28"/>
    </row>
    <row r="74" spans="2:8" ht="16.5">
      <c r="B74" s="28" t="s">
        <v>434</v>
      </c>
      <c r="C74" s="28" t="s">
        <v>414</v>
      </c>
      <c r="D74" s="205" t="s">
        <v>418</v>
      </c>
      <c r="E74" s="221">
        <v>0</v>
      </c>
      <c r="F74" s="221">
        <v>0</v>
      </c>
      <c r="G74" s="221">
        <v>0</v>
      </c>
      <c r="H74" s="28"/>
    </row>
    <row r="75" spans="2:8">
      <c r="E75" s="88"/>
    </row>
    <row r="76" spans="2:8">
      <c r="D76" s="107"/>
      <c r="E76" s="88"/>
    </row>
    <row r="77" spans="2:8" ht="14.45" customHeight="1">
      <c r="B77" s="202"/>
      <c r="C77" s="203"/>
      <c r="D77" s="465" t="s">
        <v>454</v>
      </c>
      <c r="E77" s="468"/>
      <c r="F77" s="468"/>
      <c r="G77" s="468"/>
      <c r="H77" s="469"/>
    </row>
    <row r="78" spans="2:8" ht="28.7" customHeight="1">
      <c r="B78" s="217" t="s">
        <v>405</v>
      </c>
      <c r="C78" s="217" t="s">
        <v>406</v>
      </c>
      <c r="D78" s="215" t="s">
        <v>407</v>
      </c>
      <c r="E78" s="131" t="s">
        <v>408</v>
      </c>
      <c r="F78" s="131" t="s">
        <v>409</v>
      </c>
      <c r="G78" s="130" t="s">
        <v>410</v>
      </c>
      <c r="H78" s="216" t="s">
        <v>411</v>
      </c>
    </row>
    <row r="79" spans="2:8" ht="16.5">
      <c r="B79" s="28" t="s">
        <v>413</v>
      </c>
      <c r="C79" s="28" t="s">
        <v>414</v>
      </c>
      <c r="D79" s="205" t="s">
        <v>418</v>
      </c>
      <c r="E79" s="222" t="s">
        <v>455</v>
      </c>
      <c r="F79" s="222" t="s">
        <v>455</v>
      </c>
      <c r="G79" s="222" t="s">
        <v>455</v>
      </c>
      <c r="H79" s="28" t="s">
        <v>456</v>
      </c>
    </row>
    <row r="80" spans="2:8" ht="16.5">
      <c r="B80" s="28" t="s">
        <v>416</v>
      </c>
      <c r="C80" s="28" t="s">
        <v>414</v>
      </c>
      <c r="D80" s="205" t="s">
        <v>418</v>
      </c>
      <c r="E80" s="222" t="s">
        <v>455</v>
      </c>
      <c r="F80" s="222" t="s">
        <v>455</v>
      </c>
      <c r="G80" s="222" t="s">
        <v>455</v>
      </c>
      <c r="H80" s="28" t="s">
        <v>456</v>
      </c>
    </row>
    <row r="81" spans="2:8" ht="16.5">
      <c r="B81" s="28" t="s">
        <v>417</v>
      </c>
      <c r="C81" s="28" t="s">
        <v>414</v>
      </c>
      <c r="D81" s="124" t="s">
        <v>418</v>
      </c>
      <c r="E81" s="221" t="s">
        <v>419</v>
      </c>
      <c r="F81" s="221" t="s">
        <v>419</v>
      </c>
      <c r="G81" s="221" t="s">
        <v>419</v>
      </c>
      <c r="H81" s="125"/>
    </row>
    <row r="82" spans="2:8" ht="16.5">
      <c r="B82" s="28" t="s">
        <v>421</v>
      </c>
      <c r="C82" s="28" t="s">
        <v>414</v>
      </c>
      <c r="D82" s="124" t="s">
        <v>418</v>
      </c>
      <c r="E82" s="221" t="s">
        <v>419</v>
      </c>
      <c r="F82" s="221" t="s">
        <v>419</v>
      </c>
      <c r="G82" s="221" t="s">
        <v>419</v>
      </c>
      <c r="H82" s="125"/>
    </row>
    <row r="83" spans="2:8" ht="16.5">
      <c r="B83" s="28" t="s">
        <v>422</v>
      </c>
      <c r="C83" s="28" t="s">
        <v>414</v>
      </c>
      <c r="D83" s="205" t="s">
        <v>418</v>
      </c>
      <c r="E83" s="222" t="s">
        <v>455</v>
      </c>
      <c r="F83" s="222" t="s">
        <v>455</v>
      </c>
      <c r="G83" s="222" t="s">
        <v>455</v>
      </c>
      <c r="H83" s="28" t="s">
        <v>456</v>
      </c>
    </row>
    <row r="84" spans="2:8" ht="16.5">
      <c r="B84" s="28" t="s">
        <v>424</v>
      </c>
      <c r="C84" s="28" t="s">
        <v>414</v>
      </c>
      <c r="D84" s="205" t="s">
        <v>418</v>
      </c>
      <c r="E84" s="222" t="s">
        <v>455</v>
      </c>
      <c r="F84" s="222" t="s">
        <v>455</v>
      </c>
      <c r="G84" s="222" t="s">
        <v>455</v>
      </c>
      <c r="H84" s="28" t="s">
        <v>456</v>
      </c>
    </row>
    <row r="85" spans="2:8" ht="16.5">
      <c r="B85" s="28" t="s">
        <v>425</v>
      </c>
      <c r="C85" s="28" t="s">
        <v>414</v>
      </c>
      <c r="D85" s="205" t="s">
        <v>418</v>
      </c>
      <c r="E85" s="222" t="s">
        <v>455</v>
      </c>
      <c r="F85" s="222" t="s">
        <v>455</v>
      </c>
      <c r="G85" s="222" t="s">
        <v>455</v>
      </c>
      <c r="H85" s="28" t="s">
        <v>456</v>
      </c>
    </row>
    <row r="86" spans="2:8" ht="16.5">
      <c r="B86" s="28" t="s">
        <v>427</v>
      </c>
      <c r="C86" s="28" t="s">
        <v>414</v>
      </c>
      <c r="D86" s="205" t="s">
        <v>418</v>
      </c>
      <c r="E86" s="222" t="s">
        <v>455</v>
      </c>
      <c r="F86" s="222" t="s">
        <v>455</v>
      </c>
      <c r="G86" s="222" t="s">
        <v>455</v>
      </c>
      <c r="H86" s="28" t="s">
        <v>456</v>
      </c>
    </row>
    <row r="87" spans="2:8" ht="16.5">
      <c r="B87" s="28" t="s">
        <v>429</v>
      </c>
      <c r="C87" s="28" t="s">
        <v>414</v>
      </c>
      <c r="D87" s="205" t="s">
        <v>418</v>
      </c>
      <c r="E87" s="222" t="s">
        <v>455</v>
      </c>
      <c r="F87" s="222" t="s">
        <v>455</v>
      </c>
      <c r="G87" s="222" t="s">
        <v>455</v>
      </c>
      <c r="H87" s="28" t="s">
        <v>456</v>
      </c>
    </row>
    <row r="88" spans="2:8" ht="16.5">
      <c r="B88" s="28" t="s">
        <v>430</v>
      </c>
      <c r="C88" s="28" t="s">
        <v>414</v>
      </c>
      <c r="D88" s="205" t="s">
        <v>418</v>
      </c>
      <c r="E88" s="221">
        <v>0</v>
      </c>
      <c r="F88" s="221">
        <v>0</v>
      </c>
      <c r="G88" s="221">
        <v>0</v>
      </c>
      <c r="H88" s="28"/>
    </row>
    <row r="89" spans="2:8" ht="16.5">
      <c r="B89" s="28" t="s">
        <v>432</v>
      </c>
      <c r="C89" s="28" t="s">
        <v>414</v>
      </c>
      <c r="D89" s="205" t="s">
        <v>418</v>
      </c>
      <c r="E89" s="221">
        <v>0</v>
      </c>
      <c r="F89" s="221">
        <v>0</v>
      </c>
      <c r="G89" s="221">
        <v>0</v>
      </c>
      <c r="H89" s="28"/>
    </row>
    <row r="90" spans="2:8" ht="16.5">
      <c r="B90" s="28" t="s">
        <v>434</v>
      </c>
      <c r="C90" s="28" t="s">
        <v>414</v>
      </c>
      <c r="D90" s="205" t="s">
        <v>418</v>
      </c>
      <c r="E90" s="221">
        <v>0</v>
      </c>
      <c r="F90" s="221">
        <v>0</v>
      </c>
      <c r="G90" s="221">
        <v>0</v>
      </c>
      <c r="H90" s="28"/>
    </row>
    <row r="91" spans="2:8">
      <c r="D91" s="107"/>
      <c r="E91" s="88"/>
    </row>
    <row r="92" spans="2:8">
      <c r="D92" s="107"/>
      <c r="E92" s="88"/>
    </row>
    <row r="93" spans="2:8" ht="14.45" customHeight="1">
      <c r="B93" s="202"/>
      <c r="C93" s="203"/>
      <c r="D93" s="465" t="s">
        <v>457</v>
      </c>
      <c r="E93" s="468"/>
      <c r="F93" s="468"/>
      <c r="G93" s="468"/>
      <c r="H93" s="469"/>
    </row>
    <row r="94" spans="2:8" ht="28.7" customHeight="1">
      <c r="B94" s="217" t="s">
        <v>405</v>
      </c>
      <c r="C94" s="217" t="s">
        <v>406</v>
      </c>
      <c r="D94" s="215" t="s">
        <v>407</v>
      </c>
      <c r="E94" s="207" t="s">
        <v>408</v>
      </c>
      <c r="F94" s="207" t="s">
        <v>409</v>
      </c>
      <c r="G94" s="208" t="s">
        <v>410</v>
      </c>
      <c r="H94" s="216" t="s">
        <v>411</v>
      </c>
    </row>
    <row r="95" spans="2:8" ht="16.5">
      <c r="B95" s="28" t="s">
        <v>413</v>
      </c>
      <c r="C95" s="28" t="s">
        <v>414</v>
      </c>
      <c r="D95" s="206" t="s">
        <v>418</v>
      </c>
      <c r="E95" s="221">
        <v>-66.03433958333332</v>
      </c>
      <c r="F95" s="221">
        <v>-68.61185578333334</v>
      </c>
      <c r="G95" s="221">
        <v>-53.000945199999997</v>
      </c>
      <c r="H95" s="28"/>
    </row>
    <row r="96" spans="2:8" ht="16.5">
      <c r="B96" s="28" t="s">
        <v>416</v>
      </c>
      <c r="C96" s="28" t="s">
        <v>414</v>
      </c>
      <c r="D96" s="206" t="s">
        <v>418</v>
      </c>
      <c r="E96" s="221">
        <v>-67.082127102288382</v>
      </c>
      <c r="F96" s="221">
        <v>-64.85522084472106</v>
      </c>
      <c r="G96" s="221">
        <v>-78.989222682804041</v>
      </c>
      <c r="H96" s="28"/>
    </row>
    <row r="97" spans="2:8" ht="16.5">
      <c r="B97" s="28" t="s">
        <v>417</v>
      </c>
      <c r="C97" s="28" t="s">
        <v>414</v>
      </c>
      <c r="D97" s="124" t="s">
        <v>418</v>
      </c>
      <c r="E97" s="221" t="s">
        <v>419</v>
      </c>
      <c r="F97" s="221" t="s">
        <v>419</v>
      </c>
      <c r="G97" s="221" t="s">
        <v>419</v>
      </c>
      <c r="H97" s="125"/>
    </row>
    <row r="98" spans="2:8" ht="16.5">
      <c r="B98" s="28" t="s">
        <v>421</v>
      </c>
      <c r="C98" s="28" t="s">
        <v>414</v>
      </c>
      <c r="D98" s="437" t="s">
        <v>418</v>
      </c>
      <c r="E98" s="221" t="s">
        <v>419</v>
      </c>
      <c r="F98" s="221" t="s">
        <v>419</v>
      </c>
      <c r="G98" s="221" t="s">
        <v>419</v>
      </c>
      <c r="H98" s="125"/>
    </row>
    <row r="99" spans="2:8" ht="16.5">
      <c r="B99" s="28" t="s">
        <v>422</v>
      </c>
      <c r="C99" s="28" t="s">
        <v>414</v>
      </c>
      <c r="D99" s="206" t="s">
        <v>418</v>
      </c>
      <c r="E99" s="221">
        <v>-64.138620000000003</v>
      </c>
      <c r="F99" s="221">
        <v>-66.642140640000008</v>
      </c>
      <c r="G99" s="221">
        <v>-51.479389439999999</v>
      </c>
      <c r="H99" s="28"/>
    </row>
    <row r="100" spans="2:8" ht="16.5">
      <c r="B100" s="28" t="s">
        <v>424</v>
      </c>
      <c r="C100" s="28" t="s">
        <v>414</v>
      </c>
      <c r="D100" s="206" t="s">
        <v>418</v>
      </c>
      <c r="E100" s="221">
        <v>-65.156327543424311</v>
      </c>
      <c r="F100" s="221">
        <v>-62.992693934359799</v>
      </c>
      <c r="G100" s="221">
        <v>-76.720792308825693</v>
      </c>
      <c r="H100" s="28"/>
    </row>
    <row r="101" spans="2:8" ht="16.5">
      <c r="B101" s="28" t="s">
        <v>425</v>
      </c>
      <c r="C101" s="28" t="s">
        <v>414</v>
      </c>
      <c r="D101" s="206" t="s">
        <v>418</v>
      </c>
      <c r="E101" s="221">
        <v>-243.93611525000813</v>
      </c>
      <c r="F101" s="221">
        <v>-249.07161241316618</v>
      </c>
      <c r="G101" s="221">
        <v>-231.09737234211298</v>
      </c>
      <c r="H101" s="28"/>
    </row>
    <row r="102" spans="2:8" ht="16.5">
      <c r="B102" s="28" t="s">
        <v>427</v>
      </c>
      <c r="C102" s="28" t="s">
        <v>414</v>
      </c>
      <c r="D102" s="206" t="s">
        <v>418</v>
      </c>
      <c r="E102" s="221">
        <v>-166.41745957275887</v>
      </c>
      <c r="F102" s="221">
        <v>-169.92098503744856</v>
      </c>
      <c r="G102" s="221">
        <v>-157.65864591103474</v>
      </c>
      <c r="H102" s="28"/>
    </row>
    <row r="103" spans="2:8" ht="16.5">
      <c r="B103" s="28" t="s">
        <v>429</v>
      </c>
      <c r="C103" s="28" t="s">
        <v>414</v>
      </c>
      <c r="D103" s="206" t="s">
        <v>418</v>
      </c>
      <c r="E103" s="221">
        <v>-166.41745957275887</v>
      </c>
      <c r="F103" s="221">
        <v>-169.92098503744856</v>
      </c>
      <c r="G103" s="221">
        <v>-157.65864591103474</v>
      </c>
      <c r="H103" s="28"/>
    </row>
    <row r="104" spans="2:8" ht="16.5">
      <c r="B104" s="28" t="s">
        <v>430</v>
      </c>
      <c r="C104" s="28" t="s">
        <v>414</v>
      </c>
      <c r="D104" s="206" t="s">
        <v>418</v>
      </c>
      <c r="E104" s="221">
        <v>0</v>
      </c>
      <c r="F104" s="221">
        <v>0</v>
      </c>
      <c r="G104" s="221">
        <v>0</v>
      </c>
      <c r="H104" s="28"/>
    </row>
    <row r="105" spans="2:8" ht="16.5">
      <c r="B105" s="28" t="s">
        <v>432</v>
      </c>
      <c r="C105" s="28" t="s">
        <v>414</v>
      </c>
      <c r="D105" s="206" t="s">
        <v>418</v>
      </c>
      <c r="E105" s="221">
        <v>0</v>
      </c>
      <c r="F105" s="221">
        <v>0</v>
      </c>
      <c r="G105" s="221">
        <v>0</v>
      </c>
      <c r="H105" s="28"/>
    </row>
    <row r="106" spans="2:8" ht="16.5">
      <c r="B106" s="28" t="s">
        <v>434</v>
      </c>
      <c r="C106" s="28" t="s">
        <v>414</v>
      </c>
      <c r="D106" s="206" t="s">
        <v>418</v>
      </c>
      <c r="E106" s="221">
        <v>0</v>
      </c>
      <c r="F106" s="221">
        <v>0</v>
      </c>
      <c r="G106" s="221">
        <v>0</v>
      </c>
      <c r="H106" s="28"/>
    </row>
    <row r="107" spans="2:8">
      <c r="D107" s="107"/>
      <c r="E107" s="88"/>
    </row>
    <row r="108" spans="2:8">
      <c r="D108" s="107"/>
      <c r="E108" s="88"/>
    </row>
    <row r="109" spans="2:8" ht="14.45" customHeight="1">
      <c r="B109" s="202"/>
      <c r="C109" s="203"/>
      <c r="D109" s="465" t="s">
        <v>458</v>
      </c>
      <c r="E109" s="468"/>
      <c r="F109" s="468"/>
      <c r="G109" s="468"/>
      <c r="H109" s="469"/>
    </row>
    <row r="110" spans="2:8" ht="28.7" customHeight="1">
      <c r="B110" s="217" t="s">
        <v>405</v>
      </c>
      <c r="C110" s="217" t="s">
        <v>406</v>
      </c>
      <c r="D110" s="215" t="s">
        <v>407</v>
      </c>
      <c r="E110" s="207" t="s">
        <v>408</v>
      </c>
      <c r="F110" s="207" t="s">
        <v>409</v>
      </c>
      <c r="G110" s="208" t="s">
        <v>410</v>
      </c>
      <c r="H110" s="216" t="s">
        <v>411</v>
      </c>
    </row>
    <row r="111" spans="2:8" ht="16.5">
      <c r="B111" s="28" t="s">
        <v>413</v>
      </c>
      <c r="C111" s="28" t="s">
        <v>414</v>
      </c>
      <c r="D111" s="206" t="s">
        <v>418</v>
      </c>
      <c r="E111" s="221">
        <v>1.221220749665328</v>
      </c>
      <c r="F111" s="221">
        <v>1.221220749665328</v>
      </c>
      <c r="G111" s="221">
        <v>1.221220749665328</v>
      </c>
      <c r="H111" s="28"/>
    </row>
    <row r="112" spans="2:8" ht="16.5">
      <c r="B112" s="28" t="s">
        <v>416</v>
      </c>
      <c r="C112" s="28" t="s">
        <v>414</v>
      </c>
      <c r="D112" s="206" t="s">
        <v>418</v>
      </c>
      <c r="E112" s="221">
        <v>0.76823333654718573</v>
      </c>
      <c r="F112" s="221">
        <v>0.76823333654718573</v>
      </c>
      <c r="G112" s="221">
        <v>0.76823333654718573</v>
      </c>
      <c r="H112" s="28"/>
    </row>
    <row r="113" spans="2:15" ht="16.5">
      <c r="B113" s="28" t="s">
        <v>417</v>
      </c>
      <c r="C113" s="28" t="s">
        <v>414</v>
      </c>
      <c r="D113" s="124" t="s">
        <v>418</v>
      </c>
      <c r="E113" s="221" t="s">
        <v>419</v>
      </c>
      <c r="F113" s="221" t="s">
        <v>419</v>
      </c>
      <c r="G113" s="221" t="s">
        <v>419</v>
      </c>
      <c r="H113" s="125"/>
    </row>
    <row r="114" spans="2:15" ht="16.5">
      <c r="B114" s="28" t="s">
        <v>421</v>
      </c>
      <c r="C114" s="28" t="s">
        <v>414</v>
      </c>
      <c r="D114" s="437" t="s">
        <v>418</v>
      </c>
      <c r="E114" s="221" t="s">
        <v>419</v>
      </c>
      <c r="F114" s="221" t="s">
        <v>419</v>
      </c>
      <c r="G114" s="221" t="s">
        <v>419</v>
      </c>
      <c r="H114" s="125"/>
    </row>
    <row r="115" spans="2:15" ht="16.5">
      <c r="B115" s="28" t="s">
        <v>422</v>
      </c>
      <c r="C115" s="28" t="s">
        <v>414</v>
      </c>
      <c r="D115" s="206" t="s">
        <v>418</v>
      </c>
      <c r="E115" s="221">
        <v>1.221220749665328</v>
      </c>
      <c r="F115" s="221">
        <v>1.221220749665328</v>
      </c>
      <c r="G115" s="221">
        <v>1.221220749665328</v>
      </c>
      <c r="H115" s="28"/>
    </row>
    <row r="116" spans="2:15" ht="16.5">
      <c r="B116" s="28" t="s">
        <v>424</v>
      </c>
      <c r="C116" s="28" t="s">
        <v>414</v>
      </c>
      <c r="D116" s="206" t="s">
        <v>418</v>
      </c>
      <c r="E116" s="221">
        <v>0.76823333654718573</v>
      </c>
      <c r="F116" s="221">
        <v>0.76823333654718573</v>
      </c>
      <c r="G116" s="221">
        <v>0.76823333654718573</v>
      </c>
      <c r="H116" s="28"/>
    </row>
    <row r="117" spans="2:15" ht="16.5">
      <c r="B117" s="28" t="s">
        <v>425</v>
      </c>
      <c r="C117" s="28" t="s">
        <v>414</v>
      </c>
      <c r="D117" s="206" t="s">
        <v>418</v>
      </c>
      <c r="E117" s="221">
        <v>0</v>
      </c>
      <c r="F117" s="221">
        <v>0</v>
      </c>
      <c r="G117" s="221">
        <v>0</v>
      </c>
      <c r="H117" s="28"/>
    </row>
    <row r="118" spans="2:15" ht="16.5">
      <c r="B118" s="28" t="s">
        <v>427</v>
      </c>
      <c r="C118" s="28" t="s">
        <v>414</v>
      </c>
      <c r="D118" s="206" t="s">
        <v>418</v>
      </c>
      <c r="E118" s="221">
        <v>0</v>
      </c>
      <c r="F118" s="221">
        <v>0</v>
      </c>
      <c r="G118" s="221">
        <v>0</v>
      </c>
      <c r="H118" s="28"/>
    </row>
    <row r="119" spans="2:15" ht="16.5">
      <c r="B119" s="28" t="s">
        <v>429</v>
      </c>
      <c r="C119" s="28" t="s">
        <v>414</v>
      </c>
      <c r="D119" s="206" t="s">
        <v>418</v>
      </c>
      <c r="E119" s="221">
        <v>0</v>
      </c>
      <c r="F119" s="221">
        <v>0</v>
      </c>
      <c r="G119" s="221">
        <v>0</v>
      </c>
      <c r="H119" s="28"/>
    </row>
    <row r="120" spans="2:15" ht="16.5">
      <c r="B120" s="28" t="s">
        <v>430</v>
      </c>
      <c r="C120" s="28" t="s">
        <v>414</v>
      </c>
      <c r="D120" s="206" t="s">
        <v>418</v>
      </c>
      <c r="E120" s="221">
        <v>0</v>
      </c>
      <c r="F120" s="221">
        <v>0</v>
      </c>
      <c r="G120" s="221">
        <v>0</v>
      </c>
      <c r="H120" s="28"/>
    </row>
    <row r="121" spans="2:15" ht="16.5">
      <c r="B121" s="28" t="s">
        <v>432</v>
      </c>
      <c r="C121" s="28" t="s">
        <v>414</v>
      </c>
      <c r="D121" s="206" t="s">
        <v>418</v>
      </c>
      <c r="E121" s="221">
        <v>0</v>
      </c>
      <c r="F121" s="221">
        <v>0</v>
      </c>
      <c r="G121" s="221">
        <v>0</v>
      </c>
      <c r="H121" s="28"/>
    </row>
    <row r="122" spans="2:15" ht="16.5">
      <c r="B122" s="28" t="s">
        <v>434</v>
      </c>
      <c r="C122" s="28" t="s">
        <v>414</v>
      </c>
      <c r="D122" s="206" t="s">
        <v>418</v>
      </c>
      <c r="E122" s="221">
        <v>0</v>
      </c>
      <c r="F122" s="221">
        <v>0</v>
      </c>
      <c r="G122" s="221">
        <v>0</v>
      </c>
      <c r="H122" s="28"/>
      <c r="O122" s="73"/>
    </row>
    <row r="123" spans="2:15">
      <c r="D123" s="107"/>
      <c r="E123" s="88"/>
    </row>
    <row r="124" spans="2:15">
      <c r="D124" s="107"/>
      <c r="E124" s="88"/>
    </row>
    <row r="125" spans="2:15" ht="14.45" customHeight="1">
      <c r="B125" s="202"/>
      <c r="C125" s="203"/>
      <c r="D125" s="465" t="s">
        <v>459</v>
      </c>
      <c r="E125" s="468"/>
      <c r="F125" s="468"/>
      <c r="G125" s="468"/>
      <c r="H125" s="469"/>
    </row>
    <row r="126" spans="2:15" ht="28.7" customHeight="1">
      <c r="B126" s="217" t="s">
        <v>405</v>
      </c>
      <c r="C126" s="217" t="s">
        <v>406</v>
      </c>
      <c r="D126" s="215" t="s">
        <v>407</v>
      </c>
      <c r="E126" s="207" t="s">
        <v>408</v>
      </c>
      <c r="F126" s="207" t="s">
        <v>409</v>
      </c>
      <c r="G126" s="208" t="s">
        <v>410</v>
      </c>
      <c r="H126" s="216" t="s">
        <v>411</v>
      </c>
    </row>
    <row r="127" spans="2:15" ht="16.5">
      <c r="B127" s="28" t="s">
        <v>413</v>
      </c>
      <c r="C127" s="28" t="s">
        <v>414</v>
      </c>
      <c r="D127" s="206" t="s">
        <v>418</v>
      </c>
      <c r="E127" s="221">
        <v>0</v>
      </c>
      <c r="F127" s="221">
        <v>0</v>
      </c>
      <c r="G127" s="221">
        <v>0</v>
      </c>
      <c r="H127" s="28"/>
    </row>
    <row r="128" spans="2:15" ht="16.5">
      <c r="B128" s="28" t="s">
        <v>416</v>
      </c>
      <c r="C128" s="28" t="s">
        <v>414</v>
      </c>
      <c r="D128" s="206" t="s">
        <v>418</v>
      </c>
      <c r="E128" s="221">
        <v>0</v>
      </c>
      <c r="F128" s="221">
        <v>0</v>
      </c>
      <c r="G128" s="221">
        <v>0</v>
      </c>
      <c r="H128" s="28"/>
    </row>
    <row r="129" spans="2:15" ht="16.5">
      <c r="B129" s="28" t="s">
        <v>417</v>
      </c>
      <c r="C129" s="28" t="s">
        <v>414</v>
      </c>
      <c r="D129" s="124" t="s">
        <v>418</v>
      </c>
      <c r="E129" s="221" t="s">
        <v>419</v>
      </c>
      <c r="F129" s="221" t="s">
        <v>419</v>
      </c>
      <c r="G129" s="221" t="s">
        <v>419</v>
      </c>
      <c r="H129" s="125"/>
    </row>
    <row r="130" spans="2:15" ht="16.5">
      <c r="B130" s="28" t="s">
        <v>421</v>
      </c>
      <c r="C130" s="28" t="s">
        <v>414</v>
      </c>
      <c r="D130" s="437" t="s">
        <v>418</v>
      </c>
      <c r="E130" s="221" t="s">
        <v>419</v>
      </c>
      <c r="F130" s="221" t="s">
        <v>419</v>
      </c>
      <c r="G130" s="221" t="s">
        <v>419</v>
      </c>
      <c r="H130" s="125"/>
    </row>
    <row r="131" spans="2:15" ht="16.5">
      <c r="B131" s="28" t="s">
        <v>422</v>
      </c>
      <c r="C131" s="28" t="s">
        <v>414</v>
      </c>
      <c r="D131" s="206" t="s">
        <v>418</v>
      </c>
      <c r="E131" s="221">
        <v>0</v>
      </c>
      <c r="F131" s="221">
        <v>0</v>
      </c>
      <c r="G131" s="221">
        <v>0</v>
      </c>
      <c r="H131" s="28"/>
    </row>
    <row r="132" spans="2:15" ht="16.5">
      <c r="B132" s="28" t="s">
        <v>424</v>
      </c>
      <c r="C132" s="28" t="s">
        <v>414</v>
      </c>
      <c r="D132" s="206" t="s">
        <v>418</v>
      </c>
      <c r="E132" s="221">
        <v>0</v>
      </c>
      <c r="F132" s="221">
        <v>0</v>
      </c>
      <c r="G132" s="221">
        <v>0</v>
      </c>
      <c r="H132" s="28"/>
    </row>
    <row r="133" spans="2:15" ht="16.5">
      <c r="B133" s="28" t="s">
        <v>425</v>
      </c>
      <c r="C133" s="28" t="s">
        <v>414</v>
      </c>
      <c r="D133" s="206" t="s">
        <v>418</v>
      </c>
      <c r="E133" s="221">
        <v>0</v>
      </c>
      <c r="F133" s="221">
        <v>0</v>
      </c>
      <c r="G133" s="221">
        <v>0</v>
      </c>
      <c r="H133" s="28"/>
    </row>
    <row r="134" spans="2:15" ht="16.5">
      <c r="B134" s="28" t="s">
        <v>427</v>
      </c>
      <c r="C134" s="28" t="s">
        <v>414</v>
      </c>
      <c r="D134" s="206" t="s">
        <v>418</v>
      </c>
      <c r="E134" s="221">
        <v>0</v>
      </c>
      <c r="F134" s="221">
        <v>0</v>
      </c>
      <c r="G134" s="221">
        <v>0</v>
      </c>
      <c r="H134" s="28"/>
    </row>
    <row r="135" spans="2:15" ht="16.5">
      <c r="B135" s="28" t="s">
        <v>429</v>
      </c>
      <c r="C135" s="28" t="s">
        <v>414</v>
      </c>
      <c r="D135" s="206" t="s">
        <v>418</v>
      </c>
      <c r="E135" s="221">
        <v>9.2614584079701014</v>
      </c>
      <c r="F135" s="221">
        <v>9.2614584079701086</v>
      </c>
      <c r="G135" s="221">
        <v>9.2614584079701086</v>
      </c>
      <c r="H135" s="28" t="s">
        <v>460</v>
      </c>
    </row>
    <row r="136" spans="2:15" ht="16.5">
      <c r="B136" s="28" t="s">
        <v>430</v>
      </c>
      <c r="C136" s="28" t="s">
        <v>414</v>
      </c>
      <c r="D136" s="206" t="s">
        <v>418</v>
      </c>
      <c r="E136" s="221">
        <v>0</v>
      </c>
      <c r="F136" s="221">
        <v>0</v>
      </c>
      <c r="G136" s="221">
        <v>0</v>
      </c>
      <c r="H136" s="28"/>
    </row>
    <row r="137" spans="2:15" ht="16.5">
      <c r="B137" s="28" t="s">
        <v>432</v>
      </c>
      <c r="C137" s="28" t="s">
        <v>414</v>
      </c>
      <c r="D137" s="206" t="s">
        <v>418</v>
      </c>
      <c r="E137" s="221">
        <v>0</v>
      </c>
      <c r="F137" s="221">
        <v>0</v>
      </c>
      <c r="G137" s="221">
        <v>0</v>
      </c>
      <c r="H137" s="28"/>
    </row>
    <row r="138" spans="2:15" ht="16.5">
      <c r="B138" s="28" t="s">
        <v>434</v>
      </c>
      <c r="C138" s="28" t="s">
        <v>414</v>
      </c>
      <c r="D138" s="206" t="s">
        <v>418</v>
      </c>
      <c r="E138" s="221">
        <v>0</v>
      </c>
      <c r="F138" s="221">
        <v>0</v>
      </c>
      <c r="G138" s="221">
        <v>0</v>
      </c>
      <c r="H138" s="28"/>
      <c r="O138" s="73"/>
    </row>
    <row r="139" spans="2:15">
      <c r="O139" s="129"/>
    </row>
    <row r="140" spans="2:15">
      <c r="O140" s="129"/>
    </row>
    <row r="141" spans="2:15" ht="14.45" customHeight="1">
      <c r="B141" s="202"/>
      <c r="C141" s="203"/>
      <c r="D141" s="465" t="s">
        <v>461</v>
      </c>
      <c r="E141" s="468"/>
      <c r="F141" s="468"/>
      <c r="G141" s="468"/>
      <c r="H141" s="469"/>
      <c r="O141" s="129"/>
    </row>
    <row r="142" spans="2:15" ht="28.7" customHeight="1">
      <c r="B142" s="217" t="s">
        <v>405</v>
      </c>
      <c r="C142" s="217" t="s">
        <v>406</v>
      </c>
      <c r="D142" s="218" t="s">
        <v>407</v>
      </c>
      <c r="E142" s="219" t="s">
        <v>408</v>
      </c>
      <c r="F142" s="219" t="s">
        <v>409</v>
      </c>
      <c r="G142" s="220" t="s">
        <v>410</v>
      </c>
      <c r="H142" s="216" t="s">
        <v>411</v>
      </c>
      <c r="O142" s="129"/>
    </row>
    <row r="143" spans="2:15" ht="16.5">
      <c r="B143" s="28" t="s">
        <v>413</v>
      </c>
      <c r="C143" s="28" t="s">
        <v>414</v>
      </c>
      <c r="D143" s="206" t="s">
        <v>462</v>
      </c>
      <c r="E143" s="221">
        <v>22.111930841155633</v>
      </c>
      <c r="F143" s="221">
        <v>12.34654537526287</v>
      </c>
      <c r="G143" s="221">
        <v>55.169469447596185</v>
      </c>
      <c r="H143" s="28"/>
      <c r="J143" s="356"/>
      <c r="K143" s="356"/>
      <c r="L143" s="356"/>
      <c r="O143" s="129"/>
    </row>
    <row r="144" spans="2:15" ht="16.5">
      <c r="B144" s="28" t="s">
        <v>416</v>
      </c>
      <c r="C144" s="28" t="s">
        <v>414</v>
      </c>
      <c r="D144" s="206" t="s">
        <v>462</v>
      </c>
      <c r="E144" s="221">
        <v>15.407931807240518</v>
      </c>
      <c r="F144" s="221">
        <v>8.7373330853511124</v>
      </c>
      <c r="G144" s="221">
        <v>33.994624333289565</v>
      </c>
      <c r="H144" s="28"/>
      <c r="J144" s="356"/>
      <c r="K144" s="356"/>
      <c r="L144" s="356"/>
      <c r="O144" s="129"/>
    </row>
    <row r="145" spans="2:15" ht="16.5">
      <c r="B145" s="28" t="s">
        <v>417</v>
      </c>
      <c r="C145" s="28" t="s">
        <v>414</v>
      </c>
      <c r="D145" s="124" t="s">
        <v>462</v>
      </c>
      <c r="E145" s="221" t="s">
        <v>419</v>
      </c>
      <c r="F145" s="221" t="s">
        <v>419</v>
      </c>
      <c r="G145" s="221" t="s">
        <v>419</v>
      </c>
      <c r="H145" s="125"/>
      <c r="J145" s="356"/>
      <c r="K145" s="356"/>
      <c r="L145" s="356"/>
    </row>
    <row r="146" spans="2:15" ht="16.5">
      <c r="B146" s="28" t="s">
        <v>421</v>
      </c>
      <c r="C146" s="28" t="s">
        <v>414</v>
      </c>
      <c r="D146" s="437" t="s">
        <v>462</v>
      </c>
      <c r="E146" s="221" t="s">
        <v>419</v>
      </c>
      <c r="F146" s="221" t="s">
        <v>419</v>
      </c>
      <c r="G146" s="221" t="s">
        <v>419</v>
      </c>
      <c r="H146" s="125"/>
      <c r="J146" s="356"/>
      <c r="K146" s="356"/>
      <c r="L146" s="356"/>
    </row>
    <row r="147" spans="2:15" ht="16.5">
      <c r="B147" s="28" t="s">
        <v>422</v>
      </c>
      <c r="C147" s="28" t="s">
        <v>414</v>
      </c>
      <c r="D147" s="206" t="s">
        <v>462</v>
      </c>
      <c r="E147" s="221">
        <v>-58.096146679925717</v>
      </c>
      <c r="F147" s="221">
        <v>-108.66588153202871</v>
      </c>
      <c r="G147" s="221">
        <v>-19.169353139077472</v>
      </c>
      <c r="H147" s="28"/>
      <c r="J147" s="356"/>
      <c r="K147" s="356"/>
      <c r="L147" s="356"/>
      <c r="O147" s="129"/>
    </row>
    <row r="148" spans="2:15" ht="16.5">
      <c r="B148" s="28" t="s">
        <v>424</v>
      </c>
      <c r="C148" s="28" t="s">
        <v>414</v>
      </c>
      <c r="D148" s="206" t="s">
        <v>462</v>
      </c>
      <c r="E148" s="221">
        <v>-57.293194078059301</v>
      </c>
      <c r="F148" s="221">
        <v>-94.046608197757251</v>
      </c>
      <c r="G148" s="221">
        <v>-43.353534495384032</v>
      </c>
      <c r="H148" s="28"/>
      <c r="J148" s="356"/>
      <c r="K148" s="356"/>
      <c r="L148" s="356"/>
      <c r="O148" s="129"/>
    </row>
    <row r="149" spans="2:15" ht="16.5">
      <c r="B149" s="28" t="s">
        <v>425</v>
      </c>
      <c r="C149" s="28" t="s">
        <v>414</v>
      </c>
      <c r="D149" s="206" t="s">
        <v>462</v>
      </c>
      <c r="E149" s="221">
        <v>-224.03477671712</v>
      </c>
      <c r="F149" s="221">
        <v>-229.83050816887877</v>
      </c>
      <c r="G149" s="221">
        <v>-207.89486236622136</v>
      </c>
      <c r="H149" s="28"/>
      <c r="J149" s="356"/>
      <c r="K149" s="356"/>
      <c r="L149" s="356"/>
      <c r="O149" s="129"/>
    </row>
    <row r="150" spans="2:15" ht="16.5">
      <c r="B150" s="28" t="s">
        <v>427</v>
      </c>
      <c r="C150" s="28" t="s">
        <v>414</v>
      </c>
      <c r="D150" s="206" t="s">
        <v>462</v>
      </c>
      <c r="E150" s="221">
        <v>-151.74944518267677</v>
      </c>
      <c r="F150" s="221">
        <v>-155.25297064736645</v>
      </c>
      <c r="G150" s="221">
        <v>-141.99783437746086</v>
      </c>
      <c r="H150" s="28"/>
      <c r="J150" s="356"/>
      <c r="K150" s="356"/>
      <c r="L150" s="356"/>
      <c r="O150" s="129"/>
    </row>
    <row r="151" spans="2:15" ht="16.5">
      <c r="B151" s="28" t="s">
        <v>429</v>
      </c>
      <c r="C151" s="28" t="s">
        <v>414</v>
      </c>
      <c r="D151" s="206" t="s">
        <v>462</v>
      </c>
      <c r="E151" s="221">
        <v>23.426828051806268</v>
      </c>
      <c r="F151" s="221">
        <v>19.923302587116581</v>
      </c>
      <c r="G151" s="221">
        <v>33.178438857022172</v>
      </c>
      <c r="H151" s="28"/>
      <c r="J151" s="356"/>
      <c r="K151" s="356"/>
      <c r="L151" s="356"/>
      <c r="O151" s="129"/>
    </row>
    <row r="152" spans="2:15" ht="16.5">
      <c r="B152" s="28" t="s">
        <v>430</v>
      </c>
      <c r="C152" s="28" t="s">
        <v>414</v>
      </c>
      <c r="D152" s="206" t="s">
        <v>462</v>
      </c>
      <c r="E152" s="221">
        <v>64.391886890931119</v>
      </c>
      <c r="F152" s="221">
        <v>56.755236890931116</v>
      </c>
      <c r="G152" s="221">
        <v>72.574011890931132</v>
      </c>
      <c r="H152" s="28"/>
      <c r="J152" s="356"/>
      <c r="K152" s="356"/>
      <c r="L152" s="356"/>
      <c r="O152" s="129"/>
    </row>
    <row r="153" spans="2:15" ht="16.5">
      <c r="B153" s="28" t="s">
        <v>432</v>
      </c>
      <c r="C153" s="28" t="s">
        <v>414</v>
      </c>
      <c r="D153" s="206" t="s">
        <v>462</v>
      </c>
      <c r="E153" s="221">
        <v>2.583689093111111E-2</v>
      </c>
      <c r="F153" s="221">
        <v>2.583689093111111E-2</v>
      </c>
      <c r="G153" s="221">
        <v>2.583689093111111E-2</v>
      </c>
      <c r="H153" s="28"/>
      <c r="J153" s="356"/>
      <c r="K153" s="356"/>
      <c r="L153" s="356"/>
      <c r="O153" s="129"/>
    </row>
    <row r="154" spans="2:15" ht="16.5">
      <c r="B154" s="28" t="s">
        <v>434</v>
      </c>
      <c r="C154" s="28" t="s">
        <v>414</v>
      </c>
      <c r="D154" s="206" t="s">
        <v>462</v>
      </c>
      <c r="E154" s="221">
        <v>2.2813521338670211</v>
      </c>
      <c r="F154" s="221">
        <v>2.0137486304678456</v>
      </c>
      <c r="G154" s="221">
        <v>2.5680701732232811</v>
      </c>
      <c r="H154" s="28"/>
      <c r="J154" s="356"/>
      <c r="K154" s="356"/>
      <c r="L154" s="356"/>
      <c r="O154" s="129"/>
    </row>
    <row r="155" spans="2:15">
      <c r="O155" s="129"/>
    </row>
    <row r="156" spans="2:15">
      <c r="E156" s="449"/>
      <c r="F156" s="449"/>
      <c r="G156" s="449"/>
      <c r="O156" s="129"/>
    </row>
    <row r="157" spans="2:15">
      <c r="E157" s="449"/>
      <c r="O157" s="129"/>
    </row>
    <row r="158" spans="2:15">
      <c r="D158" s="63"/>
    </row>
  </sheetData>
  <dataConsolidate/>
  <dataValidations count="3">
    <dataValidation type="custom" allowBlank="1" showInputMessage="1" showErrorMessage="1" error="Please do not change these values" sqref="D139:H142 H59:H124 D13:H14 D16:D18 H41:H46 G147:G154 D40 D43:D124 G19 D24:E39 H34:H39 E15:F19 H19:H23 H27:H32 E40:E124 D143:F154 F24:G124" xr:uid="{1CB40847-4927-492B-871E-A5C6F226D270}">
      <formula1>"Please do not change these values"</formula1>
    </dataValidation>
    <dataValidation type="custom" allowBlank="1" showInputMessage="1" showErrorMessage="1" error="Please do not change" sqref="H15:H16 D20:G23 H40 G143:G146 B125:H138 G15:G18 D19 D41:D42" xr:uid="{6ACDC8DC-875B-4134-95D4-71BF964CF026}">
      <formula1>"Please do not change"</formula1>
    </dataValidation>
    <dataValidation type="custom" allowBlank="1" showInputMessage="1" showErrorMessage="1" error="Please do nto change" sqref="D15" xr:uid="{223DED5F-D736-4708-B3C7-577EC47AFEB4}">
      <formula1>"Please do not change"</formula1>
    </dataValidation>
  </dataValidations>
  <pageMargins left="0" right="0" top="0" bottom="0" header="0" footer="0"/>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AE97-7D7F-4210-9F0A-D077D06F022E}">
  <sheetPr>
    <tabColor rgb="FFC7E8FA"/>
  </sheetPr>
  <dimension ref="B2:J409"/>
  <sheetViews>
    <sheetView showGridLines="0" tabSelected="1" topLeftCell="A143" zoomScale="85" zoomScaleNormal="85" workbookViewId="0">
      <selection activeCell="J162" sqref="J162"/>
    </sheetView>
  </sheetViews>
  <sheetFormatPr defaultRowHeight="14.45" outlineLevelRow="1"/>
  <cols>
    <col min="2" max="2" width="38.7109375" customWidth="1"/>
    <col min="3" max="3" width="24" customWidth="1"/>
    <col min="4" max="4" width="23.42578125" customWidth="1"/>
    <col min="5" max="5" width="25.42578125" customWidth="1"/>
    <col min="6" max="7" width="22.140625" customWidth="1"/>
  </cols>
  <sheetData>
    <row r="2" spans="2:10" s="455" customFormat="1">
      <c r="B2" s="121" t="s">
        <v>463</v>
      </c>
      <c r="C2" s="209"/>
      <c r="D2" s="209"/>
    </row>
    <row r="3" spans="2:10" s="4" customFormat="1">
      <c r="B3" s="97"/>
      <c r="E3" s="10"/>
      <c r="F3" s="10"/>
      <c r="G3" s="10"/>
      <c r="H3" s="10"/>
      <c r="I3" s="10"/>
      <c r="J3" s="10"/>
    </row>
    <row r="4" spans="2:10" s="4" customFormat="1" ht="16.5">
      <c r="B4" s="217" t="s">
        <v>464</v>
      </c>
      <c r="C4" s="456" t="s">
        <v>465</v>
      </c>
      <c r="D4" s="217" t="s">
        <v>466</v>
      </c>
      <c r="E4" s="10"/>
      <c r="F4" s="10"/>
      <c r="G4" s="10"/>
      <c r="H4" s="10"/>
      <c r="I4" s="10"/>
      <c r="J4" s="10"/>
    </row>
    <row r="5" spans="2:10" s="4" customFormat="1" ht="16.5">
      <c r="B5" s="28" t="s">
        <v>467</v>
      </c>
      <c r="C5" s="454">
        <v>1</v>
      </c>
      <c r="D5" s="28" t="s">
        <v>468</v>
      </c>
      <c r="E5" s="10"/>
      <c r="F5" s="10"/>
      <c r="G5" s="10"/>
      <c r="H5" s="10"/>
      <c r="I5" s="10"/>
      <c r="J5" s="10"/>
    </row>
    <row r="6" spans="2:10" s="4" customFormat="1" ht="16.5">
      <c r="B6" s="28" t="s">
        <v>469</v>
      </c>
      <c r="C6" s="454">
        <v>28</v>
      </c>
      <c r="D6" s="28" t="s">
        <v>468</v>
      </c>
      <c r="E6" s="10"/>
      <c r="F6" s="10"/>
      <c r="G6" s="10"/>
      <c r="H6" s="10"/>
      <c r="I6" s="10"/>
      <c r="J6" s="10"/>
    </row>
    <row r="7" spans="2:10" s="4" customFormat="1" ht="16.5">
      <c r="B7" s="28" t="s">
        <v>470</v>
      </c>
      <c r="C7" s="454">
        <v>265</v>
      </c>
      <c r="D7" s="28" t="s">
        <v>468</v>
      </c>
    </row>
    <row r="8" spans="2:10" s="4" customFormat="1" ht="16.5">
      <c r="B8" s="28" t="s">
        <v>471</v>
      </c>
      <c r="C8" s="454">
        <v>23500</v>
      </c>
      <c r="D8" s="28" t="s">
        <v>468</v>
      </c>
    </row>
    <row r="9" spans="2:10" s="4" customFormat="1">
      <c r="B9" s="28" t="s">
        <v>472</v>
      </c>
      <c r="C9" s="454">
        <v>12400</v>
      </c>
      <c r="D9" s="28" t="s">
        <v>468</v>
      </c>
    </row>
    <row r="10" spans="2:10" s="4" customFormat="1">
      <c r="B10" s="28" t="s">
        <v>473</v>
      </c>
      <c r="C10" s="454">
        <v>677</v>
      </c>
      <c r="D10" s="28" t="s">
        <v>468</v>
      </c>
    </row>
    <row r="11" spans="2:10" s="4" customFormat="1">
      <c r="B11" s="28" t="s">
        <v>474</v>
      </c>
      <c r="C11" s="454">
        <v>116</v>
      </c>
      <c r="D11" s="28" t="s">
        <v>468</v>
      </c>
    </row>
    <row r="12" spans="2:10" s="4" customFormat="1">
      <c r="B12" s="28" t="s">
        <v>475</v>
      </c>
      <c r="C12" s="454">
        <v>3170</v>
      </c>
      <c r="D12" s="28" t="s">
        <v>468</v>
      </c>
    </row>
    <row r="13" spans="2:10" s="4" customFormat="1">
      <c r="B13" s="28" t="s">
        <v>476</v>
      </c>
      <c r="C13" s="454">
        <v>1120</v>
      </c>
      <c r="D13" s="28" t="s">
        <v>468</v>
      </c>
    </row>
    <row r="14" spans="2:10" s="4" customFormat="1">
      <c r="B14" s="28" t="s">
        <v>477</v>
      </c>
      <c r="C14" s="454">
        <v>1300</v>
      </c>
      <c r="D14" s="28" t="s">
        <v>468</v>
      </c>
    </row>
    <row r="15" spans="2:10" s="4" customFormat="1">
      <c r="B15" s="28" t="s">
        <v>478</v>
      </c>
      <c r="C15" s="454">
        <v>328</v>
      </c>
      <c r="D15" s="28" t="s">
        <v>468</v>
      </c>
    </row>
    <row r="16" spans="2:10" s="4" customFormat="1">
      <c r="B16" s="28" t="s">
        <v>479</v>
      </c>
      <c r="C16" s="454">
        <v>4800</v>
      </c>
      <c r="D16" s="28" t="s">
        <v>468</v>
      </c>
    </row>
    <row r="17" spans="2:4" s="4" customFormat="1">
      <c r="B17" s="28" t="s">
        <v>480</v>
      </c>
      <c r="C17" s="454">
        <v>16</v>
      </c>
      <c r="D17" s="28" t="s">
        <v>468</v>
      </c>
    </row>
    <row r="18" spans="2:4" s="4" customFormat="1">
      <c r="B18" s="28" t="s">
        <v>481</v>
      </c>
      <c r="C18" s="454">
        <v>138</v>
      </c>
      <c r="D18" s="28" t="s">
        <v>468</v>
      </c>
    </row>
    <row r="19" spans="2:4" s="4" customFormat="1">
      <c r="B19" s="28" t="s">
        <v>482</v>
      </c>
      <c r="C19" s="454">
        <v>4</v>
      </c>
      <c r="D19" s="28" t="s">
        <v>468</v>
      </c>
    </row>
    <row r="20" spans="2:4" s="4" customFormat="1">
      <c r="B20" s="28" t="s">
        <v>483</v>
      </c>
      <c r="C20" s="454">
        <v>3350</v>
      </c>
      <c r="D20" s="28" t="s">
        <v>468</v>
      </c>
    </row>
    <row r="21" spans="2:4" s="4" customFormat="1">
      <c r="B21" s="28" t="s">
        <v>484</v>
      </c>
      <c r="C21" s="454">
        <v>1210</v>
      </c>
      <c r="D21" s="28" t="s">
        <v>468</v>
      </c>
    </row>
    <row r="22" spans="2:4" s="4" customFormat="1">
      <c r="B22" s="28" t="s">
        <v>485</v>
      </c>
      <c r="C22" s="454">
        <v>1330</v>
      </c>
      <c r="D22" s="28" t="s">
        <v>468</v>
      </c>
    </row>
    <row r="23" spans="2:4" s="4" customFormat="1">
      <c r="B23" s="28" t="s">
        <v>486</v>
      </c>
      <c r="C23" s="454">
        <v>8060</v>
      </c>
      <c r="D23" s="28" t="s">
        <v>468</v>
      </c>
    </row>
    <row r="24" spans="2:4" s="4" customFormat="1">
      <c r="B24" s="28" t="s">
        <v>487</v>
      </c>
      <c r="C24" s="454">
        <v>716</v>
      </c>
      <c r="D24" s="28" t="s">
        <v>468</v>
      </c>
    </row>
    <row r="25" spans="2:4" s="4" customFormat="1">
      <c r="B25" s="28" t="s">
        <v>488</v>
      </c>
      <c r="C25" s="454">
        <v>858</v>
      </c>
      <c r="D25" s="28" t="s">
        <v>468</v>
      </c>
    </row>
    <row r="26" spans="2:4" s="4" customFormat="1">
      <c r="B26" s="28" t="s">
        <v>489</v>
      </c>
      <c r="C26" s="454">
        <v>804</v>
      </c>
      <c r="D26" s="28" t="s">
        <v>468</v>
      </c>
    </row>
    <row r="27" spans="2:4" s="4" customFormat="1">
      <c r="B27" s="28" t="s">
        <v>490</v>
      </c>
      <c r="C27" s="454">
        <v>1650</v>
      </c>
      <c r="D27" s="28" t="s">
        <v>468</v>
      </c>
    </row>
    <row r="28" spans="2:4" s="4" customFormat="1"/>
    <row r="29" spans="2:4" s="4" customFormat="1"/>
    <row r="30" spans="2:4" s="209" customFormat="1">
      <c r="B30" s="121" t="s">
        <v>491</v>
      </c>
    </row>
    <row r="31" spans="2:4">
      <c r="B31" s="25"/>
    </row>
    <row r="32" spans="2:4" s="4" customFormat="1" ht="16.5">
      <c r="B32" s="217" t="s">
        <v>492</v>
      </c>
      <c r="C32" s="456" t="s">
        <v>493</v>
      </c>
      <c r="D32" s="217" t="s">
        <v>466</v>
      </c>
    </row>
    <row r="33" spans="2:4" s="4" customFormat="1">
      <c r="B33" s="28" t="s">
        <v>342</v>
      </c>
      <c r="C33" s="28">
        <v>12</v>
      </c>
      <c r="D33" s="28" t="s">
        <v>494</v>
      </c>
    </row>
    <row r="34" spans="2:4" s="4" customFormat="1">
      <c r="B34" s="28" t="s">
        <v>360</v>
      </c>
      <c r="C34" s="28">
        <v>13</v>
      </c>
      <c r="D34" s="28" t="s">
        <v>494</v>
      </c>
    </row>
    <row r="35" spans="2:4" s="4" customFormat="1">
      <c r="B35" s="28" t="s">
        <v>375</v>
      </c>
      <c r="C35" s="28">
        <v>55</v>
      </c>
      <c r="D35" s="28" t="s">
        <v>494</v>
      </c>
    </row>
    <row r="36" spans="2:4" s="4" customFormat="1">
      <c r="B36" s="28" t="s">
        <v>380</v>
      </c>
      <c r="C36" s="28">
        <v>0</v>
      </c>
      <c r="D36" s="28" t="s">
        <v>494</v>
      </c>
    </row>
    <row r="37" spans="2:4" s="4" customFormat="1">
      <c r="B37" s="28" t="s">
        <v>384</v>
      </c>
      <c r="C37" s="28">
        <v>0</v>
      </c>
      <c r="D37" s="28" t="s">
        <v>494</v>
      </c>
    </row>
    <row r="40" spans="2:4" s="209" customFormat="1">
      <c r="B40" s="121" t="s">
        <v>495</v>
      </c>
    </row>
    <row r="41" spans="2:4" outlineLevel="1"/>
    <row r="42" spans="2:4" outlineLevel="1">
      <c r="B42" t="s">
        <v>496</v>
      </c>
    </row>
    <row r="43" spans="2:4" outlineLevel="1">
      <c r="B43" t="s">
        <v>497</v>
      </c>
    </row>
    <row r="44" spans="2:4" outlineLevel="1">
      <c r="B44" t="s">
        <v>498</v>
      </c>
    </row>
    <row r="45" spans="2:4" outlineLevel="1">
      <c r="B45" t="s">
        <v>499</v>
      </c>
    </row>
    <row r="46" spans="2:4" outlineLevel="1"/>
    <row r="47" spans="2:4" ht="16.5" outlineLevel="1">
      <c r="B47" s="217" t="s">
        <v>500</v>
      </c>
      <c r="C47" s="217" t="s">
        <v>501</v>
      </c>
    </row>
    <row r="48" spans="2:4" outlineLevel="1">
      <c r="B48" s="28" t="s">
        <v>502</v>
      </c>
      <c r="C48" s="446">
        <v>14.2</v>
      </c>
    </row>
    <row r="49" spans="2:3" outlineLevel="1">
      <c r="B49" s="28" t="s">
        <v>503</v>
      </c>
      <c r="C49" s="429">
        <v>11.7</v>
      </c>
    </row>
    <row r="50" spans="2:3" outlineLevel="1">
      <c r="B50" s="28" t="s">
        <v>504</v>
      </c>
      <c r="C50" s="429">
        <v>9.1</v>
      </c>
    </row>
    <row r="51" spans="2:3" outlineLevel="1">
      <c r="B51" s="28" t="s">
        <v>505</v>
      </c>
      <c r="C51" s="429">
        <v>9.9</v>
      </c>
    </row>
    <row r="52" spans="2:3" outlineLevel="1">
      <c r="B52" s="28" t="s">
        <v>506</v>
      </c>
      <c r="C52" s="429">
        <v>9.6</v>
      </c>
    </row>
    <row r="53" spans="2:3" outlineLevel="1">
      <c r="B53" s="28" t="s">
        <v>507</v>
      </c>
      <c r="C53" s="429">
        <v>4.7</v>
      </c>
    </row>
    <row r="54" spans="2:3" outlineLevel="1">
      <c r="B54" s="28" t="s">
        <v>508</v>
      </c>
      <c r="C54" s="429">
        <v>7.2</v>
      </c>
    </row>
    <row r="55" spans="2:3" outlineLevel="1">
      <c r="B55" s="28" t="s">
        <v>509</v>
      </c>
      <c r="C55" s="429">
        <v>2.4</v>
      </c>
    </row>
    <row r="56" spans="2:3" outlineLevel="1">
      <c r="B56" s="28" t="s">
        <v>510</v>
      </c>
      <c r="C56" s="429">
        <v>3.9</v>
      </c>
    </row>
    <row r="57" spans="2:3" outlineLevel="1">
      <c r="B57" s="28" t="s">
        <v>511</v>
      </c>
      <c r="C57" s="429">
        <v>7.9</v>
      </c>
    </row>
    <row r="58" spans="2:3" outlineLevel="1">
      <c r="B58" s="28" t="s">
        <v>512</v>
      </c>
      <c r="C58" s="429">
        <v>11.7</v>
      </c>
    </row>
    <row r="59" spans="2:3" outlineLevel="1">
      <c r="B59" s="28" t="s">
        <v>513</v>
      </c>
      <c r="C59" s="429">
        <v>14.4</v>
      </c>
    </row>
    <row r="60" spans="2:3" outlineLevel="1">
      <c r="B60" s="28" t="s">
        <v>514</v>
      </c>
      <c r="C60" s="429">
        <v>5.0999999999999996</v>
      </c>
    </row>
    <row r="61" spans="2:3" outlineLevel="1">
      <c r="B61" s="28" t="s">
        <v>515</v>
      </c>
      <c r="C61" s="429">
        <v>7.6</v>
      </c>
    </row>
    <row r="62" spans="2:3" outlineLevel="1">
      <c r="B62" s="28" t="s">
        <v>516</v>
      </c>
      <c r="C62" s="429">
        <v>11.1</v>
      </c>
    </row>
    <row r="63" spans="2:3" outlineLevel="1">
      <c r="B63" s="28" t="s">
        <v>517</v>
      </c>
      <c r="C63" s="429">
        <v>6.9</v>
      </c>
    </row>
    <row r="64" spans="2:3" outlineLevel="1">
      <c r="B64" s="28" t="s">
        <v>518</v>
      </c>
      <c r="C64" s="429">
        <v>14.7</v>
      </c>
    </row>
    <row r="65" spans="2:3" outlineLevel="1">
      <c r="B65" s="28" t="s">
        <v>519</v>
      </c>
      <c r="C65" s="429">
        <v>3.4</v>
      </c>
    </row>
    <row r="66" spans="2:3" outlineLevel="1">
      <c r="B66" s="28" t="s">
        <v>520</v>
      </c>
      <c r="C66" s="429">
        <v>13.7</v>
      </c>
    </row>
    <row r="67" spans="2:3" outlineLevel="1">
      <c r="B67" s="28" t="s">
        <v>521</v>
      </c>
      <c r="C67" s="429">
        <v>5.9</v>
      </c>
    </row>
    <row r="68" spans="2:3" outlineLevel="1">
      <c r="B68" s="28" t="s">
        <v>522</v>
      </c>
      <c r="C68" s="429">
        <v>4.8</v>
      </c>
    </row>
    <row r="69" spans="2:3" outlineLevel="1">
      <c r="B69" s="28" t="s">
        <v>523</v>
      </c>
      <c r="C69" s="429">
        <v>10</v>
      </c>
    </row>
    <row r="70" spans="2:3" outlineLevel="1">
      <c r="B70" s="28" t="s">
        <v>524</v>
      </c>
      <c r="C70" s="429">
        <v>8.6</v>
      </c>
    </row>
    <row r="71" spans="2:3" outlineLevel="1">
      <c r="B71" s="28" t="s">
        <v>525</v>
      </c>
      <c r="C71" s="429">
        <v>7.7</v>
      </c>
    </row>
    <row r="72" spans="2:3" outlineLevel="1">
      <c r="B72" s="28" t="s">
        <v>526</v>
      </c>
      <c r="C72" s="429">
        <v>2.6</v>
      </c>
    </row>
    <row r="73" spans="2:3" outlineLevel="1">
      <c r="B73" s="28" t="s">
        <v>527</v>
      </c>
      <c r="C73" s="429">
        <v>9.6</v>
      </c>
    </row>
    <row r="74" spans="2:3" outlineLevel="1">
      <c r="B74" s="28" t="s">
        <v>528</v>
      </c>
      <c r="C74" s="429">
        <v>7.2</v>
      </c>
    </row>
    <row r="75" spans="2:3" outlineLevel="1">
      <c r="B75" s="28" t="s">
        <v>529</v>
      </c>
      <c r="C75" s="429">
        <v>8.4</v>
      </c>
    </row>
    <row r="76" spans="2:3" outlineLevel="1">
      <c r="B76" s="28" t="s">
        <v>530</v>
      </c>
      <c r="C76" s="429">
        <v>7.3</v>
      </c>
    </row>
    <row r="77" spans="2:3" outlineLevel="1">
      <c r="B77" s="28" t="s">
        <v>531</v>
      </c>
      <c r="C77" s="429">
        <v>17.5</v>
      </c>
    </row>
    <row r="78" spans="2:3" outlineLevel="1">
      <c r="B78" s="28" t="s">
        <v>532</v>
      </c>
      <c r="C78" s="429">
        <v>5.8</v>
      </c>
    </row>
    <row r="79" spans="2:3" outlineLevel="1">
      <c r="B79" s="28" t="s">
        <v>533</v>
      </c>
      <c r="C79" s="429">
        <v>54.1</v>
      </c>
    </row>
    <row r="80" spans="2:3" outlineLevel="1">
      <c r="B80" s="28" t="s">
        <v>534</v>
      </c>
      <c r="C80" s="429">
        <v>10</v>
      </c>
    </row>
    <row r="81" spans="2:3" outlineLevel="1">
      <c r="B81" s="28" t="s">
        <v>535</v>
      </c>
      <c r="C81" s="429">
        <v>12.5</v>
      </c>
    </row>
    <row r="82" spans="2:3" outlineLevel="1">
      <c r="B82" s="28" t="s">
        <v>536</v>
      </c>
      <c r="C82" s="429">
        <v>15.6</v>
      </c>
    </row>
    <row r="83" spans="2:3" outlineLevel="1">
      <c r="B83" s="28" t="s">
        <v>537</v>
      </c>
      <c r="C83" s="429">
        <v>10.3</v>
      </c>
    </row>
    <row r="84" spans="2:3" outlineLevel="1">
      <c r="B84" s="28" t="s">
        <v>538</v>
      </c>
      <c r="C84" s="429">
        <v>3.8</v>
      </c>
    </row>
    <row r="85" spans="2:3" outlineLevel="1">
      <c r="B85" s="28" t="s">
        <v>539</v>
      </c>
      <c r="C85" s="429">
        <v>5.4</v>
      </c>
    </row>
    <row r="86" spans="2:3" outlineLevel="1">
      <c r="B86" s="28" t="s">
        <v>540</v>
      </c>
      <c r="C86" s="429">
        <v>22.4</v>
      </c>
    </row>
    <row r="87" spans="2:3" outlineLevel="1">
      <c r="B87" s="28" t="s">
        <v>541</v>
      </c>
      <c r="C87" s="429">
        <v>10.3</v>
      </c>
    </row>
    <row r="88" spans="2:3" outlineLevel="1">
      <c r="B88" s="28" t="s">
        <v>542</v>
      </c>
      <c r="C88" s="429">
        <v>3.6</v>
      </c>
    </row>
    <row r="89" spans="2:3" outlineLevel="1">
      <c r="B89" s="28" t="s">
        <v>543</v>
      </c>
      <c r="C89" s="429">
        <v>10.8</v>
      </c>
    </row>
    <row r="90" spans="2:3" outlineLevel="1">
      <c r="B90" s="28" t="s">
        <v>544</v>
      </c>
      <c r="C90" s="429">
        <v>10.6</v>
      </c>
    </row>
    <row r="91" spans="2:3" outlineLevel="1">
      <c r="B91" s="28" t="s">
        <v>545</v>
      </c>
      <c r="C91" s="429">
        <v>10.7</v>
      </c>
    </row>
    <row r="92" spans="2:3" outlineLevel="1">
      <c r="B92" s="28" t="s">
        <v>546</v>
      </c>
      <c r="C92" s="429">
        <v>8</v>
      </c>
    </row>
    <row r="93" spans="2:3" outlineLevel="1">
      <c r="B93" s="28" t="s">
        <v>547</v>
      </c>
      <c r="C93" s="429">
        <v>7.6</v>
      </c>
    </row>
    <row r="94" spans="2:3" outlineLevel="1">
      <c r="B94" s="28" t="s">
        <v>548</v>
      </c>
      <c r="C94" s="429">
        <v>5.5</v>
      </c>
    </row>
    <row r="95" spans="2:3" outlineLevel="1">
      <c r="B95" s="28" t="s">
        <v>549</v>
      </c>
      <c r="C95" s="429">
        <v>7.1</v>
      </c>
    </row>
    <row r="96" spans="2:3" outlineLevel="1">
      <c r="B96" s="28" t="s">
        <v>550</v>
      </c>
      <c r="C96" s="429">
        <v>12.7</v>
      </c>
    </row>
    <row r="97" spans="2:3" outlineLevel="1">
      <c r="B97" s="28" t="s">
        <v>551</v>
      </c>
      <c r="C97" s="429">
        <v>2.4</v>
      </c>
    </row>
    <row r="98" spans="2:3" outlineLevel="1">
      <c r="B98" s="28" t="s">
        <v>552</v>
      </c>
      <c r="C98" s="429">
        <v>11.2</v>
      </c>
    </row>
    <row r="99" spans="2:3" outlineLevel="1">
      <c r="B99" s="28" t="s">
        <v>553</v>
      </c>
      <c r="C99" s="429">
        <v>12.1</v>
      </c>
    </row>
    <row r="100" spans="2:3" outlineLevel="1">
      <c r="B100" s="28" t="s">
        <v>554</v>
      </c>
      <c r="C100" s="429">
        <v>13.9</v>
      </c>
    </row>
    <row r="101" spans="2:3" outlineLevel="1">
      <c r="B101" s="28" t="s">
        <v>555</v>
      </c>
      <c r="C101" s="429">
        <v>10.4</v>
      </c>
    </row>
    <row r="102" spans="2:3" outlineLevel="1">
      <c r="B102" s="28" t="s">
        <v>556</v>
      </c>
      <c r="C102" s="429">
        <v>34.700000000000003</v>
      </c>
    </row>
    <row r="103" spans="2:3" outlineLevel="1">
      <c r="B103" s="28" t="s">
        <v>557</v>
      </c>
      <c r="C103" s="429">
        <v>7.4</v>
      </c>
    </row>
    <row r="104" spans="2:3" outlineLevel="1">
      <c r="B104" s="28" t="s">
        <v>558</v>
      </c>
      <c r="C104" s="429">
        <v>6.1</v>
      </c>
    </row>
    <row r="105" spans="2:3" outlineLevel="1">
      <c r="B105" s="28" t="s">
        <v>559</v>
      </c>
      <c r="C105" s="429">
        <v>13.1</v>
      </c>
    </row>
    <row r="106" spans="2:3" outlineLevel="1">
      <c r="B106" s="28" t="s">
        <v>560</v>
      </c>
      <c r="C106" s="429">
        <v>12.5</v>
      </c>
    </row>
    <row r="107" spans="2:3" outlineLevel="1">
      <c r="B107" s="28" t="s">
        <v>561</v>
      </c>
      <c r="C107" s="429">
        <v>2.7</v>
      </c>
    </row>
    <row r="108" spans="2:3" outlineLevel="1">
      <c r="B108" s="28" t="s">
        <v>562</v>
      </c>
      <c r="C108" s="429">
        <v>32.6</v>
      </c>
    </row>
    <row r="109" spans="2:3" outlineLevel="1">
      <c r="B109" s="28" t="s">
        <v>563</v>
      </c>
      <c r="C109" s="429">
        <v>7.6</v>
      </c>
    </row>
    <row r="110" spans="2:3" outlineLevel="1">
      <c r="B110" s="28" t="s">
        <v>564</v>
      </c>
      <c r="C110" s="429">
        <v>8.1999999999999993</v>
      </c>
    </row>
    <row r="111" spans="2:3" outlineLevel="1">
      <c r="B111" s="28" t="s">
        <v>565</v>
      </c>
      <c r="C111" s="429">
        <v>15.6</v>
      </c>
    </row>
    <row r="112" spans="2:3" outlineLevel="1">
      <c r="B112" s="28" t="s">
        <v>566</v>
      </c>
      <c r="C112" s="429">
        <v>4.5</v>
      </c>
    </row>
    <row r="113" spans="2:3" outlineLevel="1">
      <c r="B113" s="28" t="s">
        <v>567</v>
      </c>
      <c r="C113" s="429">
        <v>25</v>
      </c>
    </row>
    <row r="114" spans="2:3" outlineLevel="1">
      <c r="B114" s="28" t="s">
        <v>568</v>
      </c>
      <c r="C114" s="429">
        <v>8.6999999999999993</v>
      </c>
    </row>
    <row r="115" spans="2:3" outlineLevel="1">
      <c r="B115" s="28" t="s">
        <v>569</v>
      </c>
      <c r="C115" s="429">
        <v>9.6999999999999993</v>
      </c>
    </row>
    <row r="116" spans="2:3" outlineLevel="1">
      <c r="B116" s="28" t="s">
        <v>570</v>
      </c>
      <c r="C116" s="429">
        <v>17.100000000000001</v>
      </c>
    </row>
    <row r="117" spans="2:3" outlineLevel="1">
      <c r="B117" s="28" t="s">
        <v>571</v>
      </c>
      <c r="C117" s="429">
        <v>6.9</v>
      </c>
    </row>
    <row r="118" spans="2:3" outlineLevel="1">
      <c r="B118" s="28" t="s">
        <v>572</v>
      </c>
      <c r="C118" s="429">
        <v>9.3000000000000007</v>
      </c>
    </row>
    <row r="119" spans="2:3" outlineLevel="1">
      <c r="B119" s="28" t="s">
        <v>573</v>
      </c>
      <c r="C119" s="429">
        <v>8.8000000000000007</v>
      </c>
    </row>
    <row r="120" spans="2:3" outlineLevel="1">
      <c r="B120" s="28" t="s">
        <v>574</v>
      </c>
      <c r="C120" s="429">
        <v>4.8</v>
      </c>
    </row>
    <row r="121" spans="2:3" outlineLevel="1">
      <c r="B121" s="28" t="s">
        <v>575</v>
      </c>
      <c r="C121" s="429">
        <v>4.0999999999999996</v>
      </c>
    </row>
    <row r="122" spans="2:3" outlineLevel="1">
      <c r="B122" s="28" t="s">
        <v>576</v>
      </c>
      <c r="C122" s="429">
        <v>8.4</v>
      </c>
    </row>
    <row r="123" spans="2:3" outlineLevel="1">
      <c r="B123" s="28" t="s">
        <v>577</v>
      </c>
      <c r="C123" s="429">
        <v>15.8</v>
      </c>
    </row>
    <row r="124" spans="2:3" outlineLevel="1">
      <c r="B124" s="28" t="s">
        <v>578</v>
      </c>
      <c r="C124" s="429">
        <v>16.5</v>
      </c>
    </row>
    <row r="125" spans="2:3" outlineLevel="1">
      <c r="B125" s="28" t="s">
        <v>579</v>
      </c>
      <c r="C125" s="429">
        <v>11.3</v>
      </c>
    </row>
    <row r="126" spans="2:3" outlineLevel="1">
      <c r="B126" s="28" t="s">
        <v>580</v>
      </c>
      <c r="C126" s="429">
        <v>12.4</v>
      </c>
    </row>
    <row r="127" spans="2:3" outlineLevel="1"/>
    <row r="129" spans="2:5" s="209" customFormat="1" ht="15" customHeight="1">
      <c r="B129" s="121" t="s">
        <v>581</v>
      </c>
    </row>
    <row r="130" spans="2:5" outlineLevel="1"/>
    <row r="131" spans="2:5" outlineLevel="1">
      <c r="B131" t="s">
        <v>582</v>
      </c>
    </row>
    <row r="132" spans="2:5" outlineLevel="1">
      <c r="B132" t="s">
        <v>583</v>
      </c>
    </row>
    <row r="133" spans="2:5" ht="14.45" customHeight="1" outlineLevel="1">
      <c r="B133" t="s">
        <v>584</v>
      </c>
    </row>
    <row r="134" spans="2:5" ht="14.45" customHeight="1" outlineLevel="1"/>
    <row r="135" spans="2:5" ht="16.5" outlineLevel="1">
      <c r="B135" s="217" t="s">
        <v>585</v>
      </c>
      <c r="C135" s="217" t="s">
        <v>586</v>
      </c>
      <c r="D135" s="217" t="s">
        <v>587</v>
      </c>
      <c r="E135" s="217" t="s">
        <v>588</v>
      </c>
    </row>
    <row r="136" spans="2:5" outlineLevel="1">
      <c r="B136" s="28" t="s">
        <v>589</v>
      </c>
      <c r="C136" s="429">
        <v>0</v>
      </c>
      <c r="D136" s="429">
        <v>0</v>
      </c>
      <c r="E136" s="28" t="s">
        <v>590</v>
      </c>
    </row>
    <row r="137" spans="2:5" outlineLevel="1">
      <c r="B137" s="28" t="s">
        <v>591</v>
      </c>
      <c r="C137" s="429">
        <v>0</v>
      </c>
      <c r="D137" s="429">
        <v>0</v>
      </c>
      <c r="E137" s="28" t="s">
        <v>590</v>
      </c>
    </row>
    <row r="138" spans="2:5" outlineLevel="1">
      <c r="B138" s="28" t="s">
        <v>592</v>
      </c>
      <c r="C138" s="429">
        <v>0</v>
      </c>
      <c r="D138" s="429">
        <v>0</v>
      </c>
      <c r="E138" s="28" t="s">
        <v>593</v>
      </c>
    </row>
    <row r="139" spans="2:5" outlineLevel="1">
      <c r="B139" s="28" t="s">
        <v>594</v>
      </c>
      <c r="C139" s="429">
        <v>0</v>
      </c>
      <c r="D139" s="429">
        <v>0</v>
      </c>
      <c r="E139" s="28" t="s">
        <v>595</v>
      </c>
    </row>
    <row r="140" spans="2:5" outlineLevel="1">
      <c r="B140" s="28" t="s">
        <v>596</v>
      </c>
      <c r="C140" s="429">
        <v>0</v>
      </c>
      <c r="D140" s="429">
        <v>0</v>
      </c>
      <c r="E140" s="28" t="s">
        <v>593</v>
      </c>
    </row>
    <row r="141" spans="2:5" outlineLevel="1">
      <c r="B141" s="28" t="s">
        <v>597</v>
      </c>
      <c r="C141" s="429">
        <v>0</v>
      </c>
      <c r="D141" s="429">
        <v>0</v>
      </c>
      <c r="E141" s="28" t="s">
        <v>598</v>
      </c>
    </row>
    <row r="142" spans="2:5" outlineLevel="1">
      <c r="B142" s="28" t="s">
        <v>599</v>
      </c>
      <c r="C142" s="429">
        <v>471.6</v>
      </c>
      <c r="D142" s="429">
        <v>131</v>
      </c>
      <c r="E142" s="28" t="s">
        <v>600</v>
      </c>
    </row>
    <row r="143" spans="2:5" outlineLevel="1">
      <c r="B143" s="28" t="s">
        <v>601</v>
      </c>
      <c r="C143" s="429">
        <v>153.4</v>
      </c>
      <c r="D143" s="429">
        <v>42.6</v>
      </c>
      <c r="E143" s="28" t="s">
        <v>602</v>
      </c>
    </row>
    <row r="144" spans="2:5" outlineLevel="1">
      <c r="B144" s="28" t="s">
        <v>603</v>
      </c>
      <c r="C144" s="429">
        <v>811.1</v>
      </c>
      <c r="D144" s="429">
        <v>225.3</v>
      </c>
      <c r="E144" s="28" t="s">
        <v>604</v>
      </c>
    </row>
    <row r="145" spans="2:7" outlineLevel="1">
      <c r="B145" s="28" t="s">
        <v>605</v>
      </c>
      <c r="C145" s="429">
        <v>1009.8</v>
      </c>
      <c r="D145" s="429">
        <v>280.5</v>
      </c>
      <c r="E145" s="28" t="s">
        <v>606</v>
      </c>
    </row>
    <row r="146" spans="2:7" outlineLevel="1">
      <c r="B146" s="28" t="s">
        <v>607</v>
      </c>
      <c r="C146" s="429">
        <v>247</v>
      </c>
      <c r="D146" s="429">
        <v>68.599999999999994</v>
      </c>
      <c r="E146" s="28" t="s">
        <v>608</v>
      </c>
    </row>
    <row r="147" spans="2:7" outlineLevel="1">
      <c r="B147" s="28" t="s">
        <v>609</v>
      </c>
      <c r="C147" s="429">
        <v>4.43</v>
      </c>
      <c r="D147" s="429">
        <v>1.23</v>
      </c>
      <c r="E147" s="28" t="s">
        <v>610</v>
      </c>
    </row>
    <row r="148" spans="2:7" outlineLevel="1"/>
    <row r="150" spans="2:7" s="209" customFormat="1">
      <c r="B150" s="121" t="s">
        <v>611</v>
      </c>
    </row>
    <row r="151" spans="2:7" outlineLevel="1"/>
    <row r="152" spans="2:7" outlineLevel="1">
      <c r="B152" t="s">
        <v>612</v>
      </c>
    </row>
    <row r="153" spans="2:7" outlineLevel="1">
      <c r="B153" t="s">
        <v>613</v>
      </c>
    </row>
    <row r="154" spans="2:7" outlineLevel="1">
      <c r="B154" t="s">
        <v>614</v>
      </c>
    </row>
    <row r="155" spans="2:7" outlineLevel="1">
      <c r="B155" t="s">
        <v>615</v>
      </c>
    </row>
    <row r="156" spans="2:7" outlineLevel="1">
      <c r="B156" t="s">
        <v>616</v>
      </c>
    </row>
    <row r="157" spans="2:7" outlineLevel="1">
      <c r="B157" t="s">
        <v>617</v>
      </c>
    </row>
    <row r="158" spans="2:7" outlineLevel="1">
      <c r="B158" t="s">
        <v>618</v>
      </c>
    </row>
    <row r="159" spans="2:7" outlineLevel="1"/>
    <row r="160" spans="2:7" ht="30.95" customHeight="1" outlineLevel="1">
      <c r="B160" s="217" t="s">
        <v>619</v>
      </c>
      <c r="C160" s="441" t="s">
        <v>620</v>
      </c>
      <c r="D160" s="441" t="s">
        <v>621</v>
      </c>
      <c r="E160" s="441" t="s">
        <v>622</v>
      </c>
      <c r="F160" s="441" t="s">
        <v>623</v>
      </c>
      <c r="G160" s="441" t="s">
        <v>624</v>
      </c>
    </row>
    <row r="161" spans="2:7" outlineLevel="1">
      <c r="B161" s="257">
        <f>Units!S86</f>
        <v>2025</v>
      </c>
      <c r="C161" s="429">
        <f>IF(Initial_questions!$E$17=Units!$Y$84,D161,F161)</f>
        <v>184.26352549619571</v>
      </c>
      <c r="D161" s="429">
        <v>130.91551280016185</v>
      </c>
      <c r="E161" s="429">
        <v>36.365420222267176</v>
      </c>
      <c r="F161" s="429">
        <v>184.26352549619571</v>
      </c>
      <c r="G161" s="429">
        <v>51.184312637832143</v>
      </c>
    </row>
    <row r="162" spans="2:7" outlineLevel="1">
      <c r="B162" s="257">
        <f>Units!S87</f>
        <v>2026</v>
      </c>
      <c r="C162" s="429">
        <f>IF(Initial_questions!$E$17=Units!$Y$84,D162,F162)</f>
        <v>172.31381078150903</v>
      </c>
      <c r="D162" s="429">
        <v>44.596428692009525</v>
      </c>
      <c r="E162" s="429">
        <v>12.387896858891533</v>
      </c>
      <c r="F162" s="429">
        <v>172.31381078150903</v>
      </c>
      <c r="G162" s="429">
        <v>47.864947439308061</v>
      </c>
    </row>
    <row r="163" spans="2:7" outlineLevel="1">
      <c r="B163" s="257">
        <f>Units!S88</f>
        <v>2027</v>
      </c>
      <c r="C163" s="429">
        <f>IF(Initial_questions!$E$17=Units!$Y$84,D163,F163)</f>
        <v>160.36409606682236</v>
      </c>
      <c r="D163" s="429">
        <v>34.64134942052128</v>
      </c>
      <c r="E163" s="429">
        <v>9.6225970612559113</v>
      </c>
      <c r="F163" s="429">
        <v>160.36409606682236</v>
      </c>
      <c r="G163" s="429">
        <v>44.545582240783986</v>
      </c>
    </row>
    <row r="164" spans="2:7" outlineLevel="1">
      <c r="B164" s="257">
        <f>Units!S89</f>
        <v>2028</v>
      </c>
      <c r="C164" s="429">
        <f>IF(Initial_questions!$E$17=Units!$Y$84,D164,F164)</f>
        <v>148.41438135213571</v>
      </c>
      <c r="D164" s="429">
        <v>41.36329206991234</v>
      </c>
      <c r="E164" s="429">
        <v>11.489803352753427</v>
      </c>
      <c r="F164" s="429">
        <v>148.41438135213571</v>
      </c>
      <c r="G164" s="429">
        <v>41.226217042259918</v>
      </c>
    </row>
    <row r="165" spans="2:7" outlineLevel="1">
      <c r="B165" s="257">
        <f>Units!S90</f>
        <v>2029</v>
      </c>
      <c r="C165" s="429">
        <f>IF(Initial_questions!$E$17=Units!$Y$84,D165,F165)</f>
        <v>136.464666637449</v>
      </c>
      <c r="D165" s="429">
        <v>30.342470382140757</v>
      </c>
      <c r="E165" s="429">
        <v>8.4284639950390989</v>
      </c>
      <c r="F165" s="429">
        <v>136.464666637449</v>
      </c>
      <c r="G165" s="429">
        <v>37.906851843735829</v>
      </c>
    </row>
    <row r="166" spans="2:7" outlineLevel="1">
      <c r="B166" s="257">
        <f>Units!S91</f>
        <v>2030</v>
      </c>
      <c r="C166" s="429">
        <f>IF(Initial_questions!$E$17=Units!$Y$84,D166,F166)</f>
        <v>124.51495192276234</v>
      </c>
      <c r="D166" s="429">
        <v>15.676618162847149</v>
      </c>
      <c r="E166" s="429">
        <v>4.3546161563464301</v>
      </c>
      <c r="F166" s="429">
        <v>124.51495192276234</v>
      </c>
      <c r="G166" s="429">
        <v>34.587486645211762</v>
      </c>
    </row>
    <row r="167" spans="2:7" outlineLevel="1">
      <c r="B167" s="257">
        <f>Units!S92</f>
        <v>2031</v>
      </c>
      <c r="C167" s="429">
        <f>IF(Initial_questions!$E$17=Units!$Y$84,D167,F167)</f>
        <v>112.56523720807567</v>
      </c>
      <c r="D167" s="429">
        <v>12.317293197671358</v>
      </c>
      <c r="E167" s="429">
        <v>3.4214703326864884</v>
      </c>
      <c r="F167" s="429">
        <v>112.56523720807567</v>
      </c>
      <c r="G167" s="429">
        <v>31.268121446687687</v>
      </c>
    </row>
    <row r="168" spans="2:7" outlineLevel="1">
      <c r="B168" s="257">
        <f>Units!S93</f>
        <v>2032</v>
      </c>
      <c r="C168" s="429">
        <f>IF(Initial_questions!$E$17=Units!$Y$84,D168,F168)</f>
        <v>100.61552249338899</v>
      </c>
      <c r="D168" s="429">
        <v>7.5152329566302098</v>
      </c>
      <c r="E168" s="429">
        <v>2.0875647101750583</v>
      </c>
      <c r="F168" s="429">
        <v>100.61552249338899</v>
      </c>
      <c r="G168" s="429">
        <v>27.948756248163608</v>
      </c>
    </row>
    <row r="169" spans="2:7" outlineLevel="1">
      <c r="B169" s="257">
        <f>Units!S94</f>
        <v>2033</v>
      </c>
      <c r="C169" s="429">
        <f>IF(Initial_questions!$E$17=Units!$Y$84,D169,F169)</f>
        <v>88.665807778702316</v>
      </c>
      <c r="D169" s="429">
        <v>7.0841453737567921</v>
      </c>
      <c r="E169" s="429">
        <v>1.9678181593768866</v>
      </c>
      <c r="F169" s="429">
        <v>88.665807778702316</v>
      </c>
      <c r="G169" s="429">
        <v>24.62939104963953</v>
      </c>
    </row>
    <row r="170" spans="2:7" outlineLevel="1">
      <c r="B170" s="257">
        <f>Units!S95</f>
        <v>2034</v>
      </c>
      <c r="C170" s="429">
        <f>IF(Initial_questions!$E$17=Units!$Y$84,D170,F170)</f>
        <v>76.716093064015638</v>
      </c>
      <c r="D170" s="429">
        <v>6.7965231803390669</v>
      </c>
      <c r="E170" s="429">
        <v>1.8879231056497408</v>
      </c>
      <c r="F170" s="429">
        <v>76.716093064015638</v>
      </c>
      <c r="G170" s="429">
        <v>21.310025851115455</v>
      </c>
    </row>
    <row r="171" spans="2:7" outlineLevel="1">
      <c r="B171" s="257">
        <f>Units!S96</f>
        <v>2035</v>
      </c>
      <c r="C171" s="429">
        <f>IF(Initial_questions!$E$17=Units!$Y$84,D171,F171)</f>
        <v>64.76637834932896</v>
      </c>
      <c r="D171" s="429">
        <v>6.1824312561330617</v>
      </c>
      <c r="E171" s="429">
        <v>1.7173420155925172</v>
      </c>
      <c r="F171" s="429">
        <v>64.76637834932896</v>
      </c>
      <c r="G171" s="429">
        <v>17.990660652591377</v>
      </c>
    </row>
    <row r="172" spans="2:7" outlineLevel="1">
      <c r="B172" s="257">
        <f>Units!S97</f>
        <v>2036</v>
      </c>
      <c r="C172" s="429">
        <f>IF(Initial_questions!$E$17=Units!$Y$84,D172,F172)</f>
        <v>52.816663634642282</v>
      </c>
      <c r="D172" s="429">
        <v>5.5854543403887229</v>
      </c>
      <c r="E172" s="429">
        <v>1.551515094552423</v>
      </c>
      <c r="F172" s="429">
        <v>52.816663634642282</v>
      </c>
      <c r="G172" s="429">
        <v>14.6712954540673</v>
      </c>
    </row>
    <row r="173" spans="2:7" outlineLevel="1">
      <c r="B173" s="257">
        <f>Units!S98</f>
        <v>2037</v>
      </c>
      <c r="C173" s="429">
        <f>IF(Initial_questions!$E$17=Units!$Y$84,D173,F173)</f>
        <v>40.866948919955632</v>
      </c>
      <c r="D173" s="429">
        <v>4.6465188452685906</v>
      </c>
      <c r="E173" s="429">
        <v>1.290699679241275</v>
      </c>
      <c r="F173" s="429">
        <v>40.866948919955632</v>
      </c>
      <c r="G173" s="429">
        <v>11.35193025554323</v>
      </c>
    </row>
    <row r="174" spans="2:7" outlineLevel="1">
      <c r="B174" s="257">
        <f>Units!S99</f>
        <v>2038</v>
      </c>
      <c r="C174" s="429">
        <f>IF(Initial_questions!$E$17=Units!$Y$84,D174,F174)</f>
        <v>28.917234205268954</v>
      </c>
      <c r="D174" s="429">
        <v>4.6555333272126864</v>
      </c>
      <c r="E174" s="429">
        <v>1.2932037020035241</v>
      </c>
      <c r="F174" s="429">
        <v>28.917234205268954</v>
      </c>
      <c r="G174" s="429">
        <v>8.0325650570191538</v>
      </c>
    </row>
    <row r="175" spans="2:7" outlineLevel="1">
      <c r="B175" s="257">
        <f>Units!S100</f>
        <v>2039</v>
      </c>
      <c r="C175" s="429">
        <f>IF(Initial_questions!$E$17=Units!$Y$84,D175,F175)</f>
        <v>16.967519490582276</v>
      </c>
      <c r="D175" s="429">
        <v>3.8938357508130053</v>
      </c>
      <c r="E175" s="429">
        <v>1.0816210418925014</v>
      </c>
      <c r="F175" s="429">
        <v>16.967519490582276</v>
      </c>
      <c r="G175" s="429">
        <v>4.7131998584950763</v>
      </c>
    </row>
    <row r="176" spans="2:7" outlineLevel="1">
      <c r="B176" s="257">
        <f>Units!S101</f>
        <v>2040</v>
      </c>
      <c r="C176" s="429">
        <f>IF(Initial_questions!$E$17=Units!$Y$84,D176,F176)</f>
        <v>5.0178047758955948</v>
      </c>
      <c r="D176" s="429">
        <v>2.1413728188321235</v>
      </c>
      <c r="E176" s="429">
        <v>0.59482578300892319</v>
      </c>
      <c r="F176" s="429">
        <v>5.0178047758955948</v>
      </c>
      <c r="G176" s="429">
        <v>1.3938346599709985</v>
      </c>
    </row>
    <row r="177" spans="2:7" outlineLevel="1">
      <c r="B177" s="257">
        <f>Units!S102</f>
        <v>2041</v>
      </c>
      <c r="C177" s="429">
        <f>IF(Initial_questions!$E$17=Units!$Y$84,D177,F177)</f>
        <v>0</v>
      </c>
      <c r="D177" s="429">
        <v>2.0938513203849682</v>
      </c>
      <c r="E177" s="429">
        <v>0.58162536677360221</v>
      </c>
      <c r="F177" s="429">
        <v>0</v>
      </c>
      <c r="G177" s="429">
        <v>0</v>
      </c>
    </row>
    <row r="178" spans="2:7" outlineLevel="1">
      <c r="B178" s="257">
        <f>Units!S103</f>
        <v>2042</v>
      </c>
      <c r="C178" s="429">
        <f>IF(Initial_questions!$E$17=Units!$Y$84,D178,F178)</f>
        <v>0</v>
      </c>
      <c r="D178" s="429">
        <v>1.9229204834645484</v>
      </c>
      <c r="E178" s="429">
        <v>0.53414457874015231</v>
      </c>
      <c r="F178" s="429">
        <v>0</v>
      </c>
      <c r="G178" s="429">
        <v>0</v>
      </c>
    </row>
    <row r="179" spans="2:7" outlineLevel="1">
      <c r="B179" s="257">
        <f>Units!S104</f>
        <v>2043</v>
      </c>
      <c r="C179" s="429">
        <f>IF(Initial_questions!$E$17=Units!$Y$84,D179,F179)</f>
        <v>0</v>
      </c>
      <c r="D179" s="429">
        <v>2.0341474648773556</v>
      </c>
      <c r="E179" s="429">
        <v>0.56504096246593216</v>
      </c>
      <c r="F179" s="429">
        <v>0</v>
      </c>
      <c r="G179" s="429">
        <v>0</v>
      </c>
    </row>
    <row r="180" spans="2:7" outlineLevel="1">
      <c r="B180" s="257">
        <f>Units!S105</f>
        <v>2044</v>
      </c>
      <c r="C180" s="429">
        <f>IF(Initial_questions!$E$17=Units!$Y$84,D180,F180)</f>
        <v>0</v>
      </c>
      <c r="D180" s="429">
        <v>2.0759995629268104</v>
      </c>
      <c r="E180" s="429">
        <v>0.57666654525744732</v>
      </c>
      <c r="F180" s="429">
        <v>0</v>
      </c>
      <c r="G180" s="429">
        <v>0</v>
      </c>
    </row>
    <row r="181" spans="2:7" outlineLevel="1">
      <c r="B181" s="257">
        <f>Units!S106</f>
        <v>2045</v>
      </c>
      <c r="C181" s="429">
        <f>IF(Initial_questions!$E$17=Units!$Y$84,D181,F181)</f>
        <v>0</v>
      </c>
      <c r="D181" s="429">
        <v>1.7856504328264191</v>
      </c>
      <c r="E181" s="429">
        <v>0.49601400911844973</v>
      </c>
      <c r="F181" s="429">
        <v>0</v>
      </c>
      <c r="G181" s="429">
        <v>0</v>
      </c>
    </row>
    <row r="182" spans="2:7" outlineLevel="1">
      <c r="B182" s="257">
        <f>Units!S107</f>
        <v>2046</v>
      </c>
      <c r="C182" s="429">
        <f>IF(Initial_questions!$E$17=Units!$Y$84,D182,F182)</f>
        <v>0</v>
      </c>
      <c r="D182" s="429">
        <v>1.6662765605451453</v>
      </c>
      <c r="E182" s="429">
        <v>0.46285460015142921</v>
      </c>
      <c r="F182" s="429">
        <v>0</v>
      </c>
      <c r="G182" s="429">
        <v>0</v>
      </c>
    </row>
    <row r="183" spans="2:7" outlineLevel="1">
      <c r="B183" s="257">
        <f>Units!S108</f>
        <v>2047</v>
      </c>
      <c r="C183" s="429">
        <f>IF(Initial_questions!$E$17=Units!$Y$84,D183,F183)</f>
        <v>0</v>
      </c>
      <c r="D183" s="429">
        <v>1.4906832560572241</v>
      </c>
      <c r="E183" s="429">
        <v>0.41407868223811778</v>
      </c>
      <c r="F183" s="429">
        <v>0</v>
      </c>
      <c r="G183" s="429">
        <v>0</v>
      </c>
    </row>
    <row r="184" spans="2:7" outlineLevel="1">
      <c r="B184" s="257">
        <f>Units!S109</f>
        <v>2048</v>
      </c>
      <c r="C184" s="429">
        <f>IF(Initial_questions!$E$17=Units!$Y$84,D184,F184)</f>
        <v>0</v>
      </c>
      <c r="D184" s="429">
        <v>1.5026280092453803</v>
      </c>
      <c r="E184" s="429">
        <v>0.41739666923482788</v>
      </c>
      <c r="F184" s="429">
        <v>0</v>
      </c>
      <c r="G184" s="429">
        <v>0</v>
      </c>
    </row>
    <row r="185" spans="2:7" outlineLevel="1">
      <c r="B185" s="257">
        <f>Units!S110</f>
        <v>2049</v>
      </c>
      <c r="C185" s="429">
        <f>IF(Initial_questions!$E$17=Units!$Y$84,D185,F185)</f>
        <v>0</v>
      </c>
      <c r="D185" s="429">
        <v>1.3593081344128628</v>
      </c>
      <c r="E185" s="429">
        <v>0.37758559289246191</v>
      </c>
      <c r="F185" s="429">
        <v>0</v>
      </c>
      <c r="G185" s="429">
        <v>0</v>
      </c>
    </row>
    <row r="186" spans="2:7" outlineLevel="1">
      <c r="B186" s="257">
        <f>Units!S111</f>
        <v>2050</v>
      </c>
      <c r="C186" s="429">
        <f>IF(Initial_questions!$E$17=Units!$Y$84,D186,F186)</f>
        <v>0</v>
      </c>
      <c r="D186" s="429">
        <v>1.3354820006381081</v>
      </c>
      <c r="E186" s="429">
        <v>0.37096722239947444</v>
      </c>
      <c r="F186" s="429">
        <v>0</v>
      </c>
      <c r="G186" s="429">
        <v>0</v>
      </c>
    </row>
    <row r="189" spans="2:7" s="209" customFormat="1">
      <c r="B189" s="121" t="s">
        <v>625</v>
      </c>
    </row>
    <row r="190" spans="2:7" outlineLevel="1"/>
    <row r="191" spans="2:7" outlineLevel="1">
      <c r="B191" t="s">
        <v>626</v>
      </c>
    </row>
    <row r="192" spans="2:7" outlineLevel="1">
      <c r="B192" t="s">
        <v>627</v>
      </c>
    </row>
    <row r="193" spans="2:5" outlineLevel="1">
      <c r="B193" t="s">
        <v>628</v>
      </c>
    </row>
    <row r="194" spans="2:5" outlineLevel="1"/>
    <row r="195" spans="2:5" ht="29.1" outlineLevel="1">
      <c r="B195" s="217" t="s">
        <v>629</v>
      </c>
      <c r="C195" s="442" t="s">
        <v>630</v>
      </c>
      <c r="D195" s="441" t="s">
        <v>631</v>
      </c>
      <c r="E195" s="430" t="s">
        <v>588</v>
      </c>
    </row>
    <row r="196" spans="2:5" outlineLevel="1">
      <c r="B196" s="28" t="s">
        <v>632</v>
      </c>
      <c r="C196" s="443">
        <v>0.04</v>
      </c>
      <c r="D196" s="432">
        <v>2.8E-5</v>
      </c>
      <c r="E196" s="28" t="s">
        <v>633</v>
      </c>
    </row>
    <row r="197" spans="2:5" outlineLevel="1">
      <c r="B197" s="28" t="s">
        <v>634</v>
      </c>
      <c r="C197" s="443">
        <v>0.11</v>
      </c>
      <c r="D197" s="432">
        <v>8.2999999999999998E-5</v>
      </c>
      <c r="E197" t="s">
        <v>635</v>
      </c>
    </row>
    <row r="198" spans="2:5" outlineLevel="1">
      <c r="B198" s="28" t="s">
        <v>636</v>
      </c>
      <c r="C198" s="443">
        <v>0.2</v>
      </c>
      <c r="D198" s="433">
        <v>1.3999999999999999E-4</v>
      </c>
      <c r="E198" s="28" t="s">
        <v>633</v>
      </c>
    </row>
    <row r="199" spans="2:5" outlineLevel="1">
      <c r="B199" s="28" t="s">
        <v>637</v>
      </c>
      <c r="C199" s="443">
        <v>0.25</v>
      </c>
      <c r="D199" s="433">
        <v>1.7000000000000001E-4</v>
      </c>
      <c r="E199" s="28" t="s">
        <v>633</v>
      </c>
    </row>
    <row r="200" spans="2:5" outlineLevel="1">
      <c r="B200" s="28" t="s">
        <v>638</v>
      </c>
      <c r="C200" s="443">
        <v>0.04</v>
      </c>
      <c r="D200" s="432">
        <v>2.8E-5</v>
      </c>
      <c r="E200" s="28" t="s">
        <v>633</v>
      </c>
    </row>
    <row r="201" spans="2:5" outlineLevel="1">
      <c r="B201" s="28" t="s">
        <v>639</v>
      </c>
      <c r="C201" s="443">
        <v>5.0000000000000001E-3</v>
      </c>
      <c r="D201" s="432">
        <v>3.4999999999999999E-6</v>
      </c>
      <c r="E201" s="28" t="s">
        <v>633</v>
      </c>
    </row>
    <row r="202" spans="2:5" outlineLevel="1">
      <c r="B202" s="28" t="s">
        <v>640</v>
      </c>
      <c r="C202" s="443">
        <v>6.0000000000000001E-3</v>
      </c>
      <c r="D202" s="432">
        <v>4.1999999999999996E-6</v>
      </c>
      <c r="E202" t="s">
        <v>635</v>
      </c>
    </row>
    <row r="203" spans="2:5" outlineLevel="1">
      <c r="B203" s="28" t="s">
        <v>641</v>
      </c>
      <c r="C203" s="443">
        <v>0.3</v>
      </c>
      <c r="D203" s="433">
        <v>2.1000000000000001E-4</v>
      </c>
      <c r="E203" s="28" t="s">
        <v>635</v>
      </c>
    </row>
    <row r="204" spans="2:5" outlineLevel="1">
      <c r="B204" s="28" t="s">
        <v>642</v>
      </c>
      <c r="C204" s="443">
        <v>0.3</v>
      </c>
      <c r="D204" s="433">
        <v>4.1999999999999998E-5</v>
      </c>
      <c r="E204" s="28" t="s">
        <v>643</v>
      </c>
    </row>
    <row r="205" spans="2:5" outlineLevel="1">
      <c r="B205" s="28" t="s">
        <v>644</v>
      </c>
      <c r="C205" s="444" t="s">
        <v>645</v>
      </c>
      <c r="D205" s="434">
        <v>7.4999999999999997E-2</v>
      </c>
      <c r="E205" t="s">
        <v>635</v>
      </c>
    </row>
    <row r="206" spans="2:5" outlineLevel="1">
      <c r="B206" s="28" t="s">
        <v>646</v>
      </c>
      <c r="C206" s="443">
        <v>0</v>
      </c>
      <c r="D206" s="431">
        <v>0</v>
      </c>
      <c r="E206" s="28" t="s">
        <v>647</v>
      </c>
    </row>
    <row r="207" spans="2:5" outlineLevel="1">
      <c r="B207" s="28" t="s">
        <v>648</v>
      </c>
      <c r="C207" s="443">
        <v>0.3</v>
      </c>
      <c r="D207" s="433">
        <v>2.1000000000000001E-4</v>
      </c>
      <c r="E207" s="28" t="s">
        <v>649</v>
      </c>
    </row>
    <row r="208" spans="2:5" outlineLevel="1">
      <c r="B208" s="28" t="s">
        <v>650</v>
      </c>
      <c r="C208" s="443">
        <v>0.3</v>
      </c>
      <c r="D208" s="433">
        <v>2.1000000000000001E-4</v>
      </c>
      <c r="E208" s="28" t="s">
        <v>651</v>
      </c>
    </row>
    <row r="209" spans="2:5" outlineLevel="1">
      <c r="B209" s="28" t="s">
        <v>652</v>
      </c>
      <c r="C209" s="443">
        <v>0.3</v>
      </c>
      <c r="D209" s="433">
        <v>2.1000000000000001E-4</v>
      </c>
      <c r="E209" s="28" t="s">
        <v>651</v>
      </c>
    </row>
    <row r="210" spans="2:5" outlineLevel="1">
      <c r="B210" s="28" t="s">
        <v>653</v>
      </c>
      <c r="C210" s="443">
        <v>0.3</v>
      </c>
      <c r="D210" s="433">
        <v>2.1000000000000001E-4</v>
      </c>
      <c r="E210" s="28" t="s">
        <v>651</v>
      </c>
    </row>
    <row r="211" spans="2:5" outlineLevel="1">
      <c r="B211" s="28" t="s">
        <v>654</v>
      </c>
      <c r="C211" s="444" t="s">
        <v>645</v>
      </c>
      <c r="D211" s="445">
        <v>8.3000000000000001E-3</v>
      </c>
      <c r="E211" s="28" t="s">
        <v>651</v>
      </c>
    </row>
    <row r="212" spans="2:5" outlineLevel="1">
      <c r="B212" s="28" t="s">
        <v>655</v>
      </c>
      <c r="C212" s="444" t="s">
        <v>656</v>
      </c>
      <c r="D212" s="445">
        <v>3.0999999999999999E-3</v>
      </c>
      <c r="E212" s="28" t="s">
        <v>635</v>
      </c>
    </row>
    <row r="213" spans="2:5" outlineLevel="1"/>
    <row r="215" spans="2:5" s="209" customFormat="1">
      <c r="B215" s="121" t="s">
        <v>657</v>
      </c>
    </row>
    <row r="216" spans="2:5" outlineLevel="1"/>
    <row r="217" spans="2:5" ht="29.1" outlineLevel="1">
      <c r="B217" s="430" t="s">
        <v>658</v>
      </c>
      <c r="C217" s="430" t="s">
        <v>659</v>
      </c>
      <c r="D217" s="430" t="s">
        <v>588</v>
      </c>
    </row>
    <row r="218" spans="2:5" outlineLevel="1">
      <c r="B218" s="28" t="s">
        <v>632</v>
      </c>
      <c r="C218" s="434">
        <v>0.71</v>
      </c>
      <c r="D218" s="28" t="s">
        <v>660</v>
      </c>
    </row>
    <row r="219" spans="2:5" outlineLevel="1">
      <c r="B219" s="28" t="s">
        <v>634</v>
      </c>
      <c r="C219" s="434">
        <v>0.44400000000000001</v>
      </c>
      <c r="D219" s="28" t="s">
        <v>660</v>
      </c>
    </row>
    <row r="220" spans="2:5" outlineLevel="1">
      <c r="B220" s="28" t="s">
        <v>636</v>
      </c>
      <c r="C220" s="434">
        <v>0.621</v>
      </c>
      <c r="D220" s="28" t="s">
        <v>660</v>
      </c>
    </row>
    <row r="221" spans="2:5" outlineLevel="1">
      <c r="B221" s="28" t="s">
        <v>637</v>
      </c>
      <c r="C221" s="434">
        <v>0.57699999999999996</v>
      </c>
      <c r="D221" s="28" t="s">
        <v>660</v>
      </c>
    </row>
    <row r="222" spans="2:5" outlineLevel="1">
      <c r="B222" s="28" t="s">
        <v>640</v>
      </c>
      <c r="C222" s="434">
        <v>0.45700000000000002</v>
      </c>
      <c r="D222" s="28" t="s">
        <v>661</v>
      </c>
    </row>
    <row r="223" spans="2:5" outlineLevel="1">
      <c r="B223" s="28" t="s">
        <v>641</v>
      </c>
      <c r="C223" s="434">
        <v>0.34699999999999998</v>
      </c>
      <c r="D223" s="28" t="s">
        <v>661</v>
      </c>
    </row>
    <row r="224" spans="2:5" outlineLevel="1">
      <c r="B224" s="28" t="s">
        <v>642</v>
      </c>
      <c r="C224" s="434">
        <v>0.34699999999999998</v>
      </c>
      <c r="D224" s="28" t="s">
        <v>661</v>
      </c>
    </row>
    <row r="225" spans="2:4" outlineLevel="1">
      <c r="B225" s="28" t="s">
        <v>644</v>
      </c>
      <c r="C225" s="434">
        <v>0.77200000000000002</v>
      </c>
      <c r="D225" s="28" t="s">
        <v>662</v>
      </c>
    </row>
    <row r="226" spans="2:4" outlineLevel="1">
      <c r="B226" s="28" t="s">
        <v>646</v>
      </c>
      <c r="C226" s="434">
        <v>0.629</v>
      </c>
      <c r="D226" s="28" t="s">
        <v>661</v>
      </c>
    </row>
    <row r="227" spans="2:4" outlineLevel="1">
      <c r="B227" s="28" t="s">
        <v>648</v>
      </c>
      <c r="C227" s="434">
        <v>0.629</v>
      </c>
      <c r="D227" s="28" t="s">
        <v>661</v>
      </c>
    </row>
    <row r="228" spans="2:4" outlineLevel="1">
      <c r="B228" s="28" t="s">
        <v>650</v>
      </c>
      <c r="C228" s="434">
        <v>0.44</v>
      </c>
      <c r="D228" s="28" t="s">
        <v>651</v>
      </c>
    </row>
    <row r="229" spans="2:4" outlineLevel="1">
      <c r="B229" s="28" t="s">
        <v>652</v>
      </c>
      <c r="C229" s="434">
        <v>0.16300000000000001</v>
      </c>
      <c r="D229" s="28" t="s">
        <v>661</v>
      </c>
    </row>
    <row r="230" spans="2:4" outlineLevel="1">
      <c r="B230" s="28" t="s">
        <v>653</v>
      </c>
      <c r="C230" s="434">
        <v>0.254</v>
      </c>
      <c r="D230" s="28" t="s">
        <v>651</v>
      </c>
    </row>
    <row r="231" spans="2:4" outlineLevel="1">
      <c r="B231" s="28" t="s">
        <v>654</v>
      </c>
      <c r="C231" s="434">
        <v>0.81899999999999995</v>
      </c>
      <c r="D231" s="28" t="s">
        <v>662</v>
      </c>
    </row>
    <row r="232" spans="2:4" outlineLevel="1">
      <c r="B232" s="28" t="s">
        <v>655</v>
      </c>
      <c r="C232" s="434">
        <v>0.72399999999999998</v>
      </c>
      <c r="D232" s="28" t="s">
        <v>635</v>
      </c>
    </row>
    <row r="233" spans="2:4" outlineLevel="1">
      <c r="C233" s="447"/>
    </row>
    <row r="235" spans="2:4" s="209" customFormat="1">
      <c r="B235" s="121" t="s">
        <v>663</v>
      </c>
    </row>
    <row r="236" spans="2:4" outlineLevel="1"/>
    <row r="237" spans="2:4" outlineLevel="1">
      <c r="B237" t="s">
        <v>664</v>
      </c>
    </row>
    <row r="238" spans="2:4" outlineLevel="1">
      <c r="B238" t="s">
        <v>665</v>
      </c>
    </row>
    <row r="239" spans="2:4" outlineLevel="1">
      <c r="B239" t="s">
        <v>666</v>
      </c>
    </row>
    <row r="240" spans="2:4" outlineLevel="1">
      <c r="B240" t="s">
        <v>667</v>
      </c>
    </row>
    <row r="241" spans="2:6" outlineLevel="1">
      <c r="B241" t="s">
        <v>668</v>
      </c>
    </row>
    <row r="242" spans="2:6" outlineLevel="1"/>
    <row r="243" spans="2:6" outlineLevel="1">
      <c r="B243" s="217" t="s">
        <v>619</v>
      </c>
      <c r="C243" s="430" t="s">
        <v>669</v>
      </c>
      <c r="D243" s="430" t="s">
        <v>670</v>
      </c>
      <c r="E243" s="430" t="s">
        <v>671</v>
      </c>
      <c r="F243" s="430" t="s">
        <v>672</v>
      </c>
    </row>
    <row r="244" spans="2:6" outlineLevel="1">
      <c r="B244" s="28">
        <v>2025</v>
      </c>
      <c r="C244" s="434">
        <v>2.0151933198345771E-2</v>
      </c>
      <c r="D244" s="434">
        <v>5.9650919571042647E-2</v>
      </c>
      <c r="E244" s="434">
        <v>7.9000000000000001E-2</v>
      </c>
      <c r="F244" s="434">
        <v>0.08</v>
      </c>
    </row>
    <row r="245" spans="2:6" outlineLevel="1">
      <c r="B245" s="28">
        <v>2026</v>
      </c>
      <c r="C245" s="434">
        <v>1.9961378482733369E-2</v>
      </c>
      <c r="D245" s="434">
        <v>5.9506844997882467E-2</v>
      </c>
      <c r="E245" s="434">
        <v>7.8E-2</v>
      </c>
      <c r="F245" s="434">
        <v>0.08</v>
      </c>
    </row>
    <row r="246" spans="2:6" outlineLevel="1">
      <c r="B246" s="28">
        <v>2027</v>
      </c>
      <c r="C246" s="434">
        <v>1.9802506832158565E-2</v>
      </c>
      <c r="D246" s="434">
        <v>5.936021536798413E-2</v>
      </c>
      <c r="E246" s="434">
        <v>7.8E-2</v>
      </c>
      <c r="F246" s="434">
        <v>0.08</v>
      </c>
    </row>
    <row r="247" spans="2:6" outlineLevel="1">
      <c r="B247" s="28">
        <v>2028</v>
      </c>
      <c r="C247" s="434">
        <v>1.9564262534996182E-2</v>
      </c>
      <c r="D247" s="434">
        <v>5.8796265098144784E-2</v>
      </c>
      <c r="E247" s="434">
        <v>7.6999999999999999E-2</v>
      </c>
      <c r="F247" s="434">
        <v>0.08</v>
      </c>
    </row>
    <row r="248" spans="2:6" outlineLevel="1">
      <c r="B248" s="28">
        <v>2029</v>
      </c>
      <c r="C248" s="434">
        <v>1.9462167438467879E-2</v>
      </c>
      <c r="D248" s="434">
        <v>5.8674969138451577E-2</v>
      </c>
      <c r="E248" s="434">
        <v>7.6999999999999999E-2</v>
      </c>
      <c r="F248" s="434">
        <v>0.08</v>
      </c>
    </row>
    <row r="249" spans="2:6" outlineLevel="1">
      <c r="B249" s="28">
        <v>2030</v>
      </c>
      <c r="C249" s="434">
        <v>1.9447286284796417E-2</v>
      </c>
      <c r="D249" s="434">
        <v>5.8649920271360255E-2</v>
      </c>
      <c r="E249" s="434">
        <v>7.6999999999999999E-2</v>
      </c>
      <c r="F249" s="434">
        <v>0.08</v>
      </c>
    </row>
    <row r="250" spans="2:6" outlineLevel="1">
      <c r="B250" s="28">
        <v>2031</v>
      </c>
      <c r="C250" s="434">
        <v>1.9410605702981872E-2</v>
      </c>
      <c r="D250" s="434">
        <v>5.8477025800473495E-2</v>
      </c>
      <c r="E250" s="434">
        <v>7.6999999999999999E-2</v>
      </c>
      <c r="F250" s="434">
        <v>7.6999999999999999E-2</v>
      </c>
    </row>
    <row r="251" spans="2:6" outlineLevel="1">
      <c r="B251" s="28">
        <v>2032</v>
      </c>
      <c r="C251" s="434">
        <v>1.9426618959177449E-2</v>
      </c>
      <c r="D251" s="434">
        <v>5.8458888385717299E-2</v>
      </c>
      <c r="E251" s="434">
        <v>7.6999999999999999E-2</v>
      </c>
      <c r="F251" s="434">
        <v>7.6999999999999999E-2</v>
      </c>
    </row>
    <row r="252" spans="2:6" outlineLevel="1">
      <c r="B252" s="28">
        <v>2033</v>
      </c>
      <c r="C252" s="434">
        <v>1.9464735744142151E-2</v>
      </c>
      <c r="D252" s="434">
        <v>5.8379044593957326E-2</v>
      </c>
      <c r="E252" s="434">
        <v>7.6999999999999999E-2</v>
      </c>
      <c r="F252" s="434">
        <v>7.6999999999999999E-2</v>
      </c>
    </row>
    <row r="253" spans="2:6" outlineLevel="1">
      <c r="B253" s="28">
        <v>2034</v>
      </c>
      <c r="C253" s="434">
        <v>1.9520665835708367E-2</v>
      </c>
      <c r="D253" s="434">
        <v>5.8369568859894146E-2</v>
      </c>
      <c r="E253" s="434">
        <v>7.6999999999999999E-2</v>
      </c>
      <c r="F253" s="434">
        <v>7.6999999999999999E-2</v>
      </c>
    </row>
    <row r="254" spans="2:6" outlineLevel="1">
      <c r="B254" s="28">
        <v>2035</v>
      </c>
      <c r="C254" s="434">
        <v>1.9561575093096334E-2</v>
      </c>
      <c r="D254" s="434">
        <v>5.8058339946740652E-2</v>
      </c>
      <c r="E254" s="434">
        <v>7.5999999999999998E-2</v>
      </c>
      <c r="F254" s="434">
        <v>7.6999999999999999E-2</v>
      </c>
    </row>
    <row r="255" spans="2:6" outlineLevel="1">
      <c r="B255" s="28">
        <v>2036</v>
      </c>
      <c r="C255" s="434">
        <v>1.9511339281264018E-2</v>
      </c>
      <c r="D255" s="434">
        <v>5.7644178819923841E-2</v>
      </c>
      <c r="E255" s="434">
        <v>7.5999999999999998E-2</v>
      </c>
      <c r="F255" s="434">
        <v>7.4999999999999997E-2</v>
      </c>
    </row>
    <row r="256" spans="2:6" outlineLevel="1">
      <c r="B256" s="28">
        <v>2037</v>
      </c>
      <c r="C256" s="434">
        <v>1.9449759042308286E-2</v>
      </c>
      <c r="D256" s="434">
        <v>5.7183919601509432E-2</v>
      </c>
      <c r="E256" s="434">
        <v>7.5999999999999998E-2</v>
      </c>
      <c r="F256" s="434">
        <v>7.4999999999999997E-2</v>
      </c>
    </row>
    <row r="257" spans="2:6" outlineLevel="1">
      <c r="B257" s="28">
        <v>2038</v>
      </c>
      <c r="C257" s="434">
        <v>1.9359172528152651E-2</v>
      </c>
      <c r="D257" s="434">
        <v>5.6722837147058926E-2</v>
      </c>
      <c r="E257" s="434">
        <v>7.4999999999999997E-2</v>
      </c>
      <c r="F257" s="434">
        <v>7.4999999999999997E-2</v>
      </c>
    </row>
    <row r="258" spans="2:6" outlineLevel="1">
      <c r="B258" s="28">
        <v>2039</v>
      </c>
      <c r="C258" s="434">
        <v>1.931156092749927E-2</v>
      </c>
      <c r="D258" s="434">
        <v>5.6504924338582889E-2</v>
      </c>
      <c r="E258" s="434">
        <v>7.4999999999999997E-2</v>
      </c>
      <c r="F258" s="434">
        <v>7.4999999999999997E-2</v>
      </c>
    </row>
    <row r="259" spans="2:6" ht="15" customHeight="1" outlineLevel="1">
      <c r="B259" s="28">
        <v>2040</v>
      </c>
      <c r="C259" s="434">
        <v>1.9047616007717299E-2</v>
      </c>
      <c r="D259" s="434">
        <v>5.5740013735258873E-2</v>
      </c>
      <c r="E259" s="434">
        <v>7.3999999999999996E-2</v>
      </c>
      <c r="F259" s="434">
        <v>7.4999999999999997E-2</v>
      </c>
    </row>
    <row r="260" spans="2:6" outlineLevel="1">
      <c r="B260" s="28">
        <v>2041</v>
      </c>
      <c r="C260" s="434">
        <v>1.9007708134209392E-2</v>
      </c>
      <c r="D260" s="434">
        <v>5.5623733171537203E-2</v>
      </c>
      <c r="E260" s="434">
        <v>7.3999999999999996E-2</v>
      </c>
      <c r="F260" s="434">
        <v>7.4999999999999997E-2</v>
      </c>
    </row>
    <row r="261" spans="2:6" outlineLevel="1">
      <c r="B261" s="28">
        <v>2042</v>
      </c>
      <c r="C261" s="434">
        <v>1.8890678540122718E-2</v>
      </c>
      <c r="D261" s="434">
        <v>5.5300120380085888E-2</v>
      </c>
      <c r="E261" s="434">
        <v>7.2999999999999995E-2</v>
      </c>
      <c r="F261" s="434">
        <v>7.4999999999999997E-2</v>
      </c>
    </row>
    <row r="262" spans="2:6" outlineLevel="1">
      <c r="B262" s="28">
        <v>2043</v>
      </c>
      <c r="C262" s="434">
        <v>1.8728420008598024E-2</v>
      </c>
      <c r="D262" s="434">
        <v>5.487421492108828E-2</v>
      </c>
      <c r="E262" s="434">
        <v>7.2999999999999995E-2</v>
      </c>
      <c r="F262" s="434">
        <v>7.4999999999999997E-2</v>
      </c>
    </row>
    <row r="263" spans="2:6" outlineLevel="1">
      <c r="B263" s="28">
        <v>2044</v>
      </c>
      <c r="C263" s="434">
        <v>1.8652266554201852E-2</v>
      </c>
      <c r="D263" s="434">
        <v>5.472291327724961E-2</v>
      </c>
      <c r="E263" s="434">
        <v>7.1999999999999995E-2</v>
      </c>
      <c r="F263" s="434">
        <v>7.4999999999999997E-2</v>
      </c>
    </row>
    <row r="264" spans="2:6" outlineLevel="1">
      <c r="B264" s="28">
        <v>2045</v>
      </c>
      <c r="C264" s="434">
        <v>1.841295224179882E-2</v>
      </c>
      <c r="D264" s="434">
        <v>5.4032436252760663E-2</v>
      </c>
      <c r="E264" s="434">
        <v>7.0999999999999994E-2</v>
      </c>
      <c r="F264" s="434">
        <v>7.4999999999999997E-2</v>
      </c>
    </row>
    <row r="265" spans="2:6" outlineLevel="1">
      <c r="B265" s="28">
        <v>2046</v>
      </c>
      <c r="C265" s="434">
        <v>1.8233814323480795E-2</v>
      </c>
      <c r="D265" s="434">
        <v>5.3412253151778978E-2</v>
      </c>
      <c r="E265" s="434">
        <v>7.0999999999999994E-2</v>
      </c>
      <c r="F265" s="434">
        <v>7.4999999999999997E-2</v>
      </c>
    </row>
    <row r="266" spans="2:6" outlineLevel="1">
      <c r="B266" s="28">
        <v>2047</v>
      </c>
      <c r="C266" s="434">
        <v>1.8167285639631495E-2</v>
      </c>
      <c r="D266" s="434">
        <v>5.306317180008209E-2</v>
      </c>
      <c r="E266" s="434">
        <v>7.0000000000000007E-2</v>
      </c>
      <c r="F266" s="434">
        <v>7.4999999999999997E-2</v>
      </c>
    </row>
    <row r="267" spans="2:6" outlineLevel="1">
      <c r="B267" s="28">
        <v>2048</v>
      </c>
      <c r="C267" s="434">
        <v>1.8124197941056446E-2</v>
      </c>
      <c r="D267" s="434">
        <v>5.2743356839025132E-2</v>
      </c>
      <c r="E267" s="434">
        <v>7.0000000000000007E-2</v>
      </c>
      <c r="F267" s="434">
        <v>7.4999999999999997E-2</v>
      </c>
    </row>
    <row r="268" spans="2:6" outlineLevel="1">
      <c r="B268" s="28">
        <v>2049</v>
      </c>
      <c r="C268" s="434">
        <v>1.8067571443861712E-2</v>
      </c>
      <c r="D268" s="434">
        <v>5.242011716280693E-2</v>
      </c>
      <c r="E268" s="434">
        <v>7.0000000000000007E-2</v>
      </c>
      <c r="F268" s="434">
        <v>7.4999999999999997E-2</v>
      </c>
    </row>
    <row r="269" spans="2:6" outlineLevel="1">
      <c r="B269" s="28">
        <v>2050</v>
      </c>
      <c r="C269" s="434">
        <v>1.8127751080154787E-2</v>
      </c>
      <c r="D269" s="434">
        <v>5.2489225211675102E-2</v>
      </c>
      <c r="E269" s="434">
        <v>7.0000000000000007E-2</v>
      </c>
      <c r="F269" s="434">
        <v>7.4999999999999997E-2</v>
      </c>
    </row>
    <row r="270" spans="2:6" outlineLevel="1">
      <c r="C270" s="435"/>
      <c r="D270" s="435"/>
      <c r="E270" s="435"/>
    </row>
    <row r="272" spans="2:6" s="209" customFormat="1">
      <c r="B272" s="121" t="s">
        <v>673</v>
      </c>
    </row>
    <row r="273" spans="2:4" outlineLevel="1"/>
    <row r="274" spans="2:4" outlineLevel="1">
      <c r="B274" t="s">
        <v>674</v>
      </c>
    </row>
    <row r="275" spans="2:4" outlineLevel="1">
      <c r="B275" t="s">
        <v>675</v>
      </c>
    </row>
    <row r="276" spans="2:4" outlineLevel="1"/>
    <row r="277" spans="2:4" ht="30" outlineLevel="1">
      <c r="B277" s="217" t="s">
        <v>676</v>
      </c>
      <c r="C277" s="217" t="s">
        <v>501</v>
      </c>
      <c r="D277" s="430" t="s">
        <v>588</v>
      </c>
    </row>
    <row r="278" spans="2:4" outlineLevel="1">
      <c r="B278" s="28" t="s">
        <v>677</v>
      </c>
      <c r="C278" s="446">
        <v>17.5</v>
      </c>
      <c r="D278" s="28" t="s">
        <v>678</v>
      </c>
    </row>
    <row r="279" spans="2:4" outlineLevel="1">
      <c r="B279" s="28" t="s">
        <v>679</v>
      </c>
      <c r="C279" s="446">
        <v>18.3</v>
      </c>
      <c r="D279" s="28" t="s">
        <v>678</v>
      </c>
    </row>
    <row r="280" spans="2:4" outlineLevel="1">
      <c r="B280" s="28" t="s">
        <v>680</v>
      </c>
      <c r="C280" s="446">
        <v>6.16</v>
      </c>
      <c r="D280" s="28" t="s">
        <v>681</v>
      </c>
    </row>
    <row r="281" spans="2:4" outlineLevel="1">
      <c r="B281" s="28" t="s">
        <v>682</v>
      </c>
      <c r="C281" s="446">
        <v>6.91</v>
      </c>
      <c r="D281" s="28" t="s">
        <v>683</v>
      </c>
    </row>
    <row r="282" spans="2:4" outlineLevel="1">
      <c r="B282" s="28" t="s">
        <v>684</v>
      </c>
      <c r="C282" s="446">
        <v>8.5299999999999994</v>
      </c>
      <c r="D282" s="28" t="s">
        <v>683</v>
      </c>
    </row>
    <row r="283" spans="2:4" outlineLevel="1">
      <c r="B283" s="28" t="s">
        <v>685</v>
      </c>
      <c r="C283" s="457">
        <v>17.5</v>
      </c>
      <c r="D283" s="28" t="s">
        <v>678</v>
      </c>
    </row>
    <row r="284" spans="2:4" outlineLevel="1">
      <c r="B284" s="28" t="s">
        <v>686</v>
      </c>
      <c r="C284" s="457">
        <v>17.5</v>
      </c>
      <c r="D284" s="28" t="s">
        <v>678</v>
      </c>
    </row>
    <row r="285" spans="2:4" outlineLevel="1">
      <c r="B285" s="28" t="s">
        <v>687</v>
      </c>
      <c r="C285" s="446">
        <v>28.2</v>
      </c>
      <c r="D285" s="28" t="s">
        <v>688</v>
      </c>
    </row>
    <row r="286" spans="2:4" outlineLevel="1">
      <c r="B286" s="28" t="s">
        <v>689</v>
      </c>
      <c r="C286" s="446">
        <v>37.6</v>
      </c>
      <c r="D286" s="28" t="s">
        <v>678</v>
      </c>
    </row>
    <row r="287" spans="2:4" outlineLevel="1">
      <c r="B287" s="28" t="s">
        <v>690</v>
      </c>
      <c r="C287" s="446">
        <v>28.9</v>
      </c>
      <c r="D287" s="28" t="s">
        <v>678</v>
      </c>
    </row>
    <row r="288" spans="2:4" outlineLevel="1">
      <c r="B288" s="28" t="s">
        <v>691</v>
      </c>
      <c r="C288" s="446">
        <v>11.9</v>
      </c>
      <c r="D288" s="28" t="s">
        <v>678</v>
      </c>
    </row>
    <row r="289" spans="2:4" outlineLevel="1">
      <c r="B289" s="28" t="s">
        <v>692</v>
      </c>
      <c r="C289" s="446">
        <v>16.399999999999999</v>
      </c>
      <c r="D289" s="28" t="s">
        <v>678</v>
      </c>
    </row>
    <row r="290" spans="2:4" outlineLevel="1">
      <c r="B290" s="28" t="s">
        <v>693</v>
      </c>
      <c r="C290" s="446">
        <v>146.19999999999999</v>
      </c>
      <c r="D290" s="28" t="s">
        <v>694</v>
      </c>
    </row>
    <row r="291" spans="2:4" outlineLevel="1">
      <c r="B291" s="28" t="s">
        <v>695</v>
      </c>
      <c r="C291" s="446">
        <v>125.2</v>
      </c>
      <c r="D291" s="28" t="s">
        <v>694</v>
      </c>
    </row>
    <row r="292" spans="2:4" outlineLevel="1">
      <c r="B292" s="28" t="s">
        <v>696</v>
      </c>
      <c r="C292" s="446">
        <v>32.6</v>
      </c>
      <c r="D292" s="28" t="s">
        <v>694</v>
      </c>
    </row>
    <row r="293" spans="2:4" outlineLevel="1">
      <c r="B293" s="28" t="s">
        <v>697</v>
      </c>
      <c r="C293" s="446">
        <v>11.6</v>
      </c>
      <c r="D293" s="28" t="s">
        <v>694</v>
      </c>
    </row>
    <row r="294" spans="2:4" outlineLevel="1">
      <c r="B294" s="28" t="s">
        <v>698</v>
      </c>
      <c r="C294" s="446">
        <v>73.5</v>
      </c>
      <c r="D294" s="28" t="s">
        <v>694</v>
      </c>
    </row>
    <row r="295" spans="2:4" outlineLevel="1">
      <c r="B295" s="28" t="s">
        <v>699</v>
      </c>
      <c r="C295" s="446">
        <v>52.5</v>
      </c>
      <c r="D295" s="28" t="s">
        <v>694</v>
      </c>
    </row>
    <row r="296" spans="2:4" outlineLevel="1">
      <c r="B296" s="28" t="s">
        <v>700</v>
      </c>
      <c r="C296" s="446">
        <v>50.9</v>
      </c>
      <c r="D296" s="28" t="s">
        <v>694</v>
      </c>
    </row>
    <row r="297" spans="2:4" outlineLevel="1">
      <c r="B297" s="28" t="s">
        <v>701</v>
      </c>
      <c r="C297" s="446">
        <v>29.9</v>
      </c>
      <c r="D297" s="28" t="s">
        <v>694</v>
      </c>
    </row>
    <row r="298" spans="2:4" outlineLevel="1">
      <c r="B298" s="28" t="s">
        <v>702</v>
      </c>
      <c r="C298" s="446">
        <v>70.7</v>
      </c>
      <c r="D298" s="28" t="s">
        <v>694</v>
      </c>
    </row>
    <row r="299" spans="2:4" outlineLevel="1">
      <c r="B299" s="28" t="s">
        <v>703</v>
      </c>
      <c r="C299" s="446">
        <v>49.7</v>
      </c>
      <c r="D299" s="28" t="s">
        <v>694</v>
      </c>
    </row>
    <row r="300" spans="2:4" outlineLevel="1">
      <c r="B300" s="28" t="s">
        <v>704</v>
      </c>
      <c r="C300" s="446">
        <v>35</v>
      </c>
      <c r="D300" s="28" t="s">
        <v>694</v>
      </c>
    </row>
    <row r="301" spans="2:4" outlineLevel="1">
      <c r="B301" s="28" t="s">
        <v>705</v>
      </c>
      <c r="C301" s="446">
        <v>14</v>
      </c>
      <c r="D301" s="28" t="s">
        <v>694</v>
      </c>
    </row>
    <row r="302" spans="2:4" outlineLevel="1">
      <c r="B302" s="28" t="s">
        <v>706</v>
      </c>
      <c r="C302" s="446">
        <v>20.5</v>
      </c>
      <c r="D302" s="28" t="s">
        <v>707</v>
      </c>
    </row>
    <row r="303" spans="2:4" outlineLevel="1">
      <c r="B303" s="28" t="s">
        <v>708</v>
      </c>
      <c r="C303" s="446">
        <v>147.732202</v>
      </c>
      <c r="D303" s="28" t="s">
        <v>709</v>
      </c>
    </row>
    <row r="304" spans="2:4" outlineLevel="1">
      <c r="B304" s="28" t="s">
        <v>710</v>
      </c>
      <c r="C304" s="446">
        <v>126.73220200000002</v>
      </c>
      <c r="D304" s="28" t="s">
        <v>709</v>
      </c>
    </row>
    <row r="305" spans="2:4" outlineLevel="1">
      <c r="B305" s="28" t="s">
        <v>711</v>
      </c>
      <c r="C305" s="446">
        <v>34.132201999999999</v>
      </c>
      <c r="D305" s="28" t="s">
        <v>709</v>
      </c>
    </row>
    <row r="306" spans="2:4" outlineLevel="1">
      <c r="B306" s="28" t="s">
        <v>712</v>
      </c>
      <c r="C306" s="446">
        <v>13.132201999999999</v>
      </c>
      <c r="D306" s="28" t="s">
        <v>709</v>
      </c>
    </row>
    <row r="307" spans="2:4" outlineLevel="1">
      <c r="B307" s="28" t="s">
        <v>713</v>
      </c>
      <c r="C307" s="446">
        <v>75.032202000000012</v>
      </c>
      <c r="D307" s="28" t="s">
        <v>709</v>
      </c>
    </row>
    <row r="308" spans="2:4" outlineLevel="1">
      <c r="B308" s="28" t="s">
        <v>714</v>
      </c>
      <c r="C308" s="446">
        <v>54.032201999999998</v>
      </c>
      <c r="D308" s="28" t="s">
        <v>709</v>
      </c>
    </row>
    <row r="309" spans="2:4" outlineLevel="1">
      <c r="B309" s="28" t="s">
        <v>715</v>
      </c>
      <c r="C309" s="446">
        <v>52.432202000000004</v>
      </c>
      <c r="D309" s="28" t="s">
        <v>709</v>
      </c>
    </row>
    <row r="310" spans="2:4" outlineLevel="1">
      <c r="B310" s="28" t="s">
        <v>716</v>
      </c>
      <c r="C310" s="446">
        <v>31.432202</v>
      </c>
      <c r="D310" s="28" t="s">
        <v>709</v>
      </c>
    </row>
    <row r="311" spans="2:4" outlineLevel="1">
      <c r="B311" s="28" t="s">
        <v>717</v>
      </c>
      <c r="C311" s="446">
        <v>72.232202000000001</v>
      </c>
      <c r="D311" s="28" t="s">
        <v>709</v>
      </c>
    </row>
    <row r="312" spans="2:4" outlineLevel="1">
      <c r="B312" s="28" t="s">
        <v>718</v>
      </c>
      <c r="C312" s="446">
        <v>51.232201999999994</v>
      </c>
      <c r="D312" s="28" t="s">
        <v>709</v>
      </c>
    </row>
    <row r="313" spans="2:4" outlineLevel="1">
      <c r="B313" s="28" t="s">
        <v>719</v>
      </c>
      <c r="C313" s="446">
        <v>36.532201999999998</v>
      </c>
      <c r="D313" s="28" t="s">
        <v>709</v>
      </c>
    </row>
    <row r="314" spans="2:4" outlineLevel="1">
      <c r="B314" s="28" t="s">
        <v>720</v>
      </c>
      <c r="C314" s="446">
        <v>15.532202</v>
      </c>
      <c r="D314" s="28" t="s">
        <v>709</v>
      </c>
    </row>
    <row r="315" spans="2:4" outlineLevel="1">
      <c r="B315" s="28" t="s">
        <v>721</v>
      </c>
      <c r="C315" s="446">
        <v>22.037684474226797</v>
      </c>
      <c r="D315" s="28" t="s">
        <v>709</v>
      </c>
    </row>
    <row r="316" spans="2:4" outlineLevel="1"/>
    <row r="318" spans="2:4" s="209" customFormat="1">
      <c r="B318" s="121" t="s">
        <v>722</v>
      </c>
    </row>
    <row r="319" spans="2:4" outlineLevel="1"/>
    <row r="320" spans="2:4" outlineLevel="1">
      <c r="B320" t="s">
        <v>723</v>
      </c>
    </row>
    <row r="321" spans="2:4" outlineLevel="1">
      <c r="B321" t="s">
        <v>724</v>
      </c>
    </row>
    <row r="322" spans="2:4" ht="16.5" outlineLevel="1">
      <c r="B322" t="s">
        <v>725</v>
      </c>
    </row>
    <row r="323" spans="2:4" outlineLevel="1">
      <c r="B323" t="s">
        <v>726</v>
      </c>
    </row>
    <row r="324" spans="2:4" outlineLevel="1"/>
    <row r="325" spans="2:4" ht="30" outlineLevel="1">
      <c r="B325" s="217" t="s">
        <v>727</v>
      </c>
      <c r="C325" s="217" t="s">
        <v>728</v>
      </c>
      <c r="D325" s="430" t="s">
        <v>588</v>
      </c>
    </row>
    <row r="326" spans="2:4" outlineLevel="1">
      <c r="B326" s="28" t="s">
        <v>729</v>
      </c>
      <c r="C326" s="461">
        <v>0.19</v>
      </c>
      <c r="D326" s="28" t="s">
        <v>678</v>
      </c>
    </row>
    <row r="327" spans="2:4" outlineLevel="1">
      <c r="B327" s="28" t="s">
        <v>730</v>
      </c>
      <c r="C327" s="461">
        <v>0.94</v>
      </c>
      <c r="D327" s="28" t="s">
        <v>731</v>
      </c>
    </row>
    <row r="328" spans="2:4" outlineLevel="1">
      <c r="B328" s="28" t="s">
        <v>732</v>
      </c>
      <c r="C328" s="460">
        <v>32.073930000000004</v>
      </c>
      <c r="D328" s="28" t="s">
        <v>733</v>
      </c>
    </row>
    <row r="329" spans="2:4" outlineLevel="1">
      <c r="B329" s="28" t="s">
        <v>734</v>
      </c>
      <c r="C329" s="460">
        <v>0</v>
      </c>
      <c r="D329" s="28" t="s">
        <v>735</v>
      </c>
    </row>
    <row r="330" spans="2:4" outlineLevel="1">
      <c r="B330" s="28" t="s">
        <v>736</v>
      </c>
      <c r="C330" s="460">
        <v>14.546000000000001</v>
      </c>
      <c r="D330" s="28" t="s">
        <v>688</v>
      </c>
    </row>
    <row r="331" spans="2:4" outlineLevel="1">
      <c r="B331" s="28" t="s">
        <v>737</v>
      </c>
      <c r="C331" s="460">
        <v>33.775812000000002</v>
      </c>
      <c r="D331" s="28" t="s">
        <v>738</v>
      </c>
    </row>
    <row r="332" spans="2:4" outlineLevel="1">
      <c r="B332" s="28" t="s">
        <v>739</v>
      </c>
      <c r="C332" s="460">
        <v>0</v>
      </c>
      <c r="D332" s="28" t="s">
        <v>735</v>
      </c>
    </row>
    <row r="333" spans="2:4" outlineLevel="1">
      <c r="B333" s="28" t="s">
        <v>740</v>
      </c>
      <c r="C333" s="454">
        <v>533</v>
      </c>
      <c r="D333" s="28" t="s">
        <v>741</v>
      </c>
    </row>
    <row r="334" spans="2:4" outlineLevel="1">
      <c r="B334" s="28" t="s">
        <v>742</v>
      </c>
      <c r="C334" s="454">
        <v>420</v>
      </c>
      <c r="D334" s="28" t="s">
        <v>741</v>
      </c>
    </row>
    <row r="335" spans="2:4" outlineLevel="1">
      <c r="B335" s="28" t="s">
        <v>743</v>
      </c>
      <c r="C335" s="454">
        <v>1193</v>
      </c>
      <c r="D335" s="28" t="s">
        <v>741</v>
      </c>
    </row>
    <row r="336" spans="2:4" ht="16.5" outlineLevel="1">
      <c r="B336" s="28" t="s">
        <v>744</v>
      </c>
      <c r="C336" s="460">
        <v>39.1</v>
      </c>
      <c r="D336" s="28" t="s">
        <v>745</v>
      </c>
    </row>
    <row r="337" spans="2:4" ht="16.5" outlineLevel="1">
      <c r="B337" s="28" t="s">
        <v>746</v>
      </c>
      <c r="C337" s="454">
        <v>1258</v>
      </c>
      <c r="D337" s="28" t="s">
        <v>741</v>
      </c>
    </row>
    <row r="338" spans="2:4" outlineLevel="1">
      <c r="B338" s="28" t="s">
        <v>747</v>
      </c>
      <c r="C338" s="454">
        <v>740</v>
      </c>
      <c r="D338" s="28" t="s">
        <v>748</v>
      </c>
    </row>
    <row r="339" spans="2:4" ht="16.5" outlineLevel="1">
      <c r="B339" s="28" t="s">
        <v>749</v>
      </c>
      <c r="C339" s="454">
        <v>2445</v>
      </c>
      <c r="D339" s="28" t="s">
        <v>741</v>
      </c>
    </row>
    <row r="340" spans="2:4" ht="16.5" outlineLevel="1">
      <c r="B340" s="28" t="s">
        <v>750</v>
      </c>
      <c r="C340" s="454">
        <v>440</v>
      </c>
      <c r="D340" s="28" t="s">
        <v>751</v>
      </c>
    </row>
    <row r="341" spans="2:4" outlineLevel="1">
      <c r="B341" s="28" t="s">
        <v>752</v>
      </c>
      <c r="C341" s="460">
        <v>13.4</v>
      </c>
      <c r="D341" s="28" t="s">
        <v>741</v>
      </c>
    </row>
    <row r="342" spans="2:4" outlineLevel="1">
      <c r="B342" s="28" t="s">
        <v>753</v>
      </c>
      <c r="C342" s="454">
        <v>1069</v>
      </c>
      <c r="D342" s="28" t="s">
        <v>741</v>
      </c>
    </row>
    <row r="343" spans="2:4" ht="16.5" outlineLevel="1">
      <c r="B343" s="28" t="s">
        <v>754</v>
      </c>
      <c r="C343" s="454">
        <v>218</v>
      </c>
      <c r="D343" s="28" t="s">
        <v>741</v>
      </c>
    </row>
    <row r="344" spans="2:4" ht="16.5" outlineLevel="1">
      <c r="B344" s="28" t="s">
        <v>755</v>
      </c>
      <c r="C344" s="454">
        <v>3155</v>
      </c>
      <c r="D344" s="28" t="s">
        <v>741</v>
      </c>
    </row>
    <row r="345" spans="2:4" ht="16.5" outlineLevel="1">
      <c r="B345" s="28" t="s">
        <v>756</v>
      </c>
      <c r="C345" s="454">
        <v>495.31</v>
      </c>
      <c r="D345" s="28" t="s">
        <v>757</v>
      </c>
    </row>
    <row r="346" spans="2:4" outlineLevel="1">
      <c r="B346" s="28" t="s">
        <v>758</v>
      </c>
      <c r="C346" s="454">
        <v>947</v>
      </c>
      <c r="D346" s="28" t="s">
        <v>741</v>
      </c>
    </row>
    <row r="347" spans="2:4" outlineLevel="1">
      <c r="B347" s="28" t="s">
        <v>759</v>
      </c>
      <c r="C347" s="454">
        <v>723</v>
      </c>
      <c r="D347" s="28" t="s">
        <v>741</v>
      </c>
    </row>
    <row r="348" spans="2:4" outlineLevel="1">
      <c r="B348" s="28" t="s">
        <v>760</v>
      </c>
      <c r="C348" s="454">
        <v>3400</v>
      </c>
      <c r="D348" s="28" t="s">
        <v>761</v>
      </c>
    </row>
    <row r="349" spans="2:4" ht="16.5" outlineLevel="1">
      <c r="B349" s="28" t="s">
        <v>762</v>
      </c>
      <c r="C349" s="454">
        <v>2351</v>
      </c>
      <c r="D349" s="28" t="s">
        <v>741</v>
      </c>
    </row>
    <row r="350" spans="2:4" ht="16.5" outlineLevel="1">
      <c r="B350" s="28" t="s">
        <v>763</v>
      </c>
      <c r="C350" s="454">
        <v>1852</v>
      </c>
      <c r="D350" s="28" t="s">
        <v>741</v>
      </c>
    </row>
    <row r="351" spans="2:4" outlineLevel="1">
      <c r="B351" s="28" t="s">
        <v>764</v>
      </c>
      <c r="C351" s="454">
        <v>9500</v>
      </c>
      <c r="D351" s="28" t="s">
        <v>765</v>
      </c>
    </row>
    <row r="352" spans="2:4" outlineLevel="1">
      <c r="B352" s="28" t="s">
        <v>766</v>
      </c>
      <c r="C352" s="454">
        <v>1000</v>
      </c>
      <c r="D352" s="28" t="s">
        <v>767</v>
      </c>
    </row>
    <row r="353" spans="2:5" outlineLevel="1">
      <c r="B353" s="28" t="s">
        <v>768</v>
      </c>
      <c r="C353" s="454">
        <v>3275</v>
      </c>
      <c r="D353" s="28" t="s">
        <v>769</v>
      </c>
    </row>
    <row r="354" spans="2:5" outlineLevel="1">
      <c r="B354" s="28" t="s">
        <v>770</v>
      </c>
      <c r="C354" s="454">
        <v>1406</v>
      </c>
      <c r="D354" s="28" t="s">
        <v>771</v>
      </c>
    </row>
    <row r="355" spans="2:5" outlineLevel="1">
      <c r="B355" s="28" t="s">
        <v>772</v>
      </c>
      <c r="C355" s="454">
        <v>1274</v>
      </c>
      <c r="D355" s="28" t="s">
        <v>771</v>
      </c>
    </row>
    <row r="356" spans="2:5" outlineLevel="1"/>
    <row r="358" spans="2:5" s="209" customFormat="1" ht="16.5">
      <c r="B358" s="121" t="s">
        <v>773</v>
      </c>
    </row>
    <row r="359" spans="2:5" outlineLevel="1"/>
    <row r="360" spans="2:5" outlineLevel="1">
      <c r="B360" t="s">
        <v>774</v>
      </c>
    </row>
    <row r="361" spans="2:5" outlineLevel="1">
      <c r="B361" t="s">
        <v>775</v>
      </c>
    </row>
    <row r="362" spans="2:5" ht="16.5" outlineLevel="1">
      <c r="B362" t="s">
        <v>776</v>
      </c>
    </row>
    <row r="363" spans="2:5" outlineLevel="1"/>
    <row r="364" spans="2:5" ht="16.5" outlineLevel="1">
      <c r="B364" s="217" t="s">
        <v>466</v>
      </c>
      <c r="C364" s="440" t="s">
        <v>777</v>
      </c>
      <c r="D364" s="440" t="s">
        <v>778</v>
      </c>
      <c r="E364" s="430" t="s">
        <v>588</v>
      </c>
    </row>
    <row r="365" spans="2:5" outlineLevel="1">
      <c r="B365" s="453" t="s">
        <v>677</v>
      </c>
      <c r="C365" s="446">
        <v>73.5</v>
      </c>
      <c r="D365" s="458">
        <v>864</v>
      </c>
      <c r="E365" s="28" t="s">
        <v>678</v>
      </c>
    </row>
    <row r="366" spans="2:5" outlineLevel="1">
      <c r="B366" s="453" t="s">
        <v>679</v>
      </c>
      <c r="C366" s="446">
        <v>70.2</v>
      </c>
      <c r="D366" s="458">
        <v>856</v>
      </c>
      <c r="E366" s="28" t="s">
        <v>678</v>
      </c>
    </row>
    <row r="367" spans="2:5" outlineLevel="1">
      <c r="B367" s="453" t="s">
        <v>779</v>
      </c>
      <c r="C367" s="446">
        <v>56.8</v>
      </c>
      <c r="D367" s="458">
        <v>709</v>
      </c>
      <c r="E367" s="28" t="s">
        <v>678</v>
      </c>
    </row>
    <row r="368" spans="2:5" outlineLevel="1">
      <c r="B368" s="453" t="s">
        <v>685</v>
      </c>
      <c r="C368" s="446">
        <v>75.3</v>
      </c>
      <c r="D368" s="458">
        <v>875</v>
      </c>
      <c r="E368" s="28" t="s">
        <v>678</v>
      </c>
    </row>
    <row r="369" spans="2:5" outlineLevel="1">
      <c r="B369" s="453" t="s">
        <v>686</v>
      </c>
      <c r="C369" s="446">
        <v>78.900000000000006</v>
      </c>
      <c r="D369" s="458">
        <v>878</v>
      </c>
      <c r="E369" s="28" t="s">
        <v>678</v>
      </c>
    </row>
    <row r="370" spans="2:5" outlineLevel="1">
      <c r="B370" s="453" t="s">
        <v>687</v>
      </c>
      <c r="C370" s="446">
        <v>68.900000000000006</v>
      </c>
      <c r="D370" s="458">
        <v>374</v>
      </c>
      <c r="E370" s="28" t="s">
        <v>678</v>
      </c>
    </row>
    <row r="371" spans="2:5" outlineLevel="1">
      <c r="B371" s="453" t="s">
        <v>689</v>
      </c>
      <c r="C371" s="446">
        <v>0</v>
      </c>
      <c r="D371" s="458">
        <v>0</v>
      </c>
      <c r="E371" s="28" t="s">
        <v>678</v>
      </c>
    </row>
    <row r="372" spans="2:5" outlineLevel="1">
      <c r="B372" s="453" t="s">
        <v>690</v>
      </c>
      <c r="C372" s="446">
        <v>0</v>
      </c>
      <c r="D372" s="458">
        <v>0</v>
      </c>
      <c r="E372" s="28" t="s">
        <v>678</v>
      </c>
    </row>
    <row r="373" spans="2:5" outlineLevel="1">
      <c r="B373" s="453" t="s">
        <v>691</v>
      </c>
      <c r="C373" s="446">
        <v>0</v>
      </c>
      <c r="D373" s="458">
        <v>0</v>
      </c>
      <c r="E373" s="28" t="s">
        <v>678</v>
      </c>
    </row>
    <row r="374" spans="2:5" outlineLevel="1">
      <c r="B374" s="453" t="s">
        <v>692</v>
      </c>
      <c r="C374" s="446">
        <v>0</v>
      </c>
      <c r="D374" s="458">
        <v>0</v>
      </c>
      <c r="E374" s="28" t="s">
        <v>678</v>
      </c>
    </row>
    <row r="375" spans="2:5" outlineLevel="1">
      <c r="B375" s="28" t="s">
        <v>319</v>
      </c>
      <c r="C375" s="446">
        <v>0</v>
      </c>
      <c r="D375" s="458">
        <v>0</v>
      </c>
      <c r="E375" s="28" t="s">
        <v>678</v>
      </c>
    </row>
    <row r="376" spans="2:5" outlineLevel="1">
      <c r="C376" s="448"/>
    </row>
    <row r="377" spans="2:5">
      <c r="C377" s="448"/>
    </row>
    <row r="378" spans="2:5" s="121" customFormat="1">
      <c r="B378" s="121" t="s">
        <v>780</v>
      </c>
    </row>
    <row r="379" spans="2:5" outlineLevel="1"/>
    <row r="380" spans="2:5" outlineLevel="1">
      <c r="B380" s="25" t="s">
        <v>781</v>
      </c>
      <c r="C380" s="25" t="s">
        <v>406</v>
      </c>
      <c r="D380" s="223" t="s">
        <v>782</v>
      </c>
    </row>
    <row r="381" spans="2:5" outlineLevel="1">
      <c r="B381" t="s">
        <v>783</v>
      </c>
      <c r="C381" t="s">
        <v>239</v>
      </c>
      <c r="D381" s="93">
        <f>IF(OR(Initial_questions!$E$68=Units!$E$85,Initial_questions!$E$69=Units!$E$85), 3, Output_pressure)</f>
        <v>0</v>
      </c>
      <c r="E381" t="s">
        <v>784</v>
      </c>
    </row>
    <row r="382" spans="2:5" outlineLevel="1">
      <c r="B382" t="s">
        <v>785</v>
      </c>
      <c r="C382" t="s">
        <v>786</v>
      </c>
      <c r="D382">
        <f>Output_temperature</f>
        <v>0</v>
      </c>
    </row>
    <row r="383" spans="2:5" outlineLevel="1">
      <c r="B383" t="s">
        <v>787</v>
      </c>
      <c r="C383" t="s">
        <v>239</v>
      </c>
      <c r="D383" s="93">
        <f>IF(AND(Output_pressure&gt;3, OR(Initial_questions!$E$68=Units!$E$85,Initial_questions!$E$69=Units!$E$85)), Output_pressure, 3)</f>
        <v>3</v>
      </c>
      <c r="E383" t="s">
        <v>788</v>
      </c>
    </row>
    <row r="384" spans="2:5" ht="16.5" outlineLevel="1">
      <c r="B384" t="s">
        <v>789</v>
      </c>
      <c r="C384" t="s">
        <v>790</v>
      </c>
      <c r="D384" s="105" t="str">
        <f>IFERROR(VLOOKUP(25*ROUND(MIN(MAX(D382,0),125)/25,0),B395:F400,5,FALSE), "Yet to provide pressure")</f>
        <v>Yet to provide pressure</v>
      </c>
      <c r="E384" s="105" t="s">
        <v>791</v>
      </c>
    </row>
    <row r="385" spans="2:6" outlineLevel="1">
      <c r="B385" t="s">
        <v>792</v>
      </c>
      <c r="D385">
        <v>1.41</v>
      </c>
    </row>
    <row r="386" spans="2:6" outlineLevel="1">
      <c r="B386" s="89" t="s">
        <v>793</v>
      </c>
      <c r="C386" s="89" t="s">
        <v>794</v>
      </c>
      <c r="D386" s="105" t="str">
        <f>IFERROR(MAX(0,((D385/(D385-1))*D381*D384*((D383/D381)^(((D385-1)/D385))-1))), "Yet to provide pressure")</f>
        <v>Yet to provide pressure</v>
      </c>
      <c r="E386" s="73"/>
    </row>
    <row r="387" spans="2:6" outlineLevel="1">
      <c r="B387" t="s">
        <v>795</v>
      </c>
      <c r="C387" t="s">
        <v>796</v>
      </c>
      <c r="D387" s="352">
        <v>0.7</v>
      </c>
    </row>
    <row r="388" spans="2:6" outlineLevel="1">
      <c r="B388" s="90" t="s">
        <v>797</v>
      </c>
      <c r="C388" s="90" t="s">
        <v>798</v>
      </c>
      <c r="D388" s="106" t="str">
        <f>IFERROR(D386/(3.6*D387), "Yet to provide pressure")</f>
        <v>Yet to provide pressure</v>
      </c>
    </row>
    <row r="389" spans="2:6" ht="16.5" outlineLevel="1">
      <c r="B389" t="s">
        <v>799</v>
      </c>
      <c r="C389" t="s">
        <v>800</v>
      </c>
      <c r="D389" s="247" t="str">
        <f>IF(Initial_questions!$E$64="", 0, Initial_questions!$E$64)</f>
        <v>Yet to provide electricity source</v>
      </c>
    </row>
    <row r="390" spans="2:6" ht="16.5" outlineLevel="1">
      <c r="B390" s="25" t="s">
        <v>801</v>
      </c>
      <c r="C390" s="25" t="s">
        <v>802</v>
      </c>
      <c r="D390" s="94" t="str">
        <f>IFERROR(D388*D389/120, "Yet to provide pressure or electricity source")</f>
        <v>Yet to provide pressure or electricity source</v>
      </c>
    </row>
    <row r="391" spans="2:6" outlineLevel="1">
      <c r="D391" s="73"/>
    </row>
    <row r="392" spans="2:6" outlineLevel="1">
      <c r="B392" s="25" t="s">
        <v>803</v>
      </c>
      <c r="C392" s="25"/>
      <c r="D392" s="72"/>
    </row>
    <row r="393" spans="2:6" outlineLevel="1">
      <c r="D393" s="63"/>
    </row>
    <row r="394" spans="2:6" ht="16.5" outlineLevel="1">
      <c r="B394" s="217" t="s">
        <v>804</v>
      </c>
      <c r="C394" s="217" t="s">
        <v>805</v>
      </c>
      <c r="D394" s="217" t="s">
        <v>806</v>
      </c>
      <c r="E394" s="217" t="s">
        <v>807</v>
      </c>
      <c r="F394" s="217" t="s">
        <v>789</v>
      </c>
    </row>
    <row r="395" spans="2:6" outlineLevel="1">
      <c r="B395" s="472">
        <v>0</v>
      </c>
      <c r="C395" s="473">
        <v>1.1651</v>
      </c>
      <c r="D395" s="473">
        <v>-0.93500000000000005</v>
      </c>
      <c r="E395" s="473">
        <v>0.99980000000000002</v>
      </c>
      <c r="F395" s="473" t="e">
        <f>C395*$D$381^(D395)</f>
        <v>#DIV/0!</v>
      </c>
    </row>
    <row r="396" spans="2:6" outlineLevel="1">
      <c r="B396" s="472">
        <v>25</v>
      </c>
      <c r="C396" s="473">
        <v>1.2690999999999999</v>
      </c>
      <c r="D396" s="473">
        <v>-0.93899999999999995</v>
      </c>
      <c r="E396" s="473">
        <v>0.99980000000000002</v>
      </c>
      <c r="F396" s="473" t="e">
        <f t="shared" ref="F396:F400" si="0">C396*$D$381^(D396)</f>
        <v>#DIV/0!</v>
      </c>
    </row>
    <row r="397" spans="2:6" outlineLevel="1">
      <c r="B397" s="472">
        <v>50</v>
      </c>
      <c r="C397" s="473">
        <v>1.373</v>
      </c>
      <c r="D397" s="473">
        <v>-0.94299999999999995</v>
      </c>
      <c r="E397" s="473">
        <v>0.99980000000000002</v>
      </c>
      <c r="F397" s="473" t="e">
        <f t="shared" si="0"/>
        <v>#DIV/0!</v>
      </c>
    </row>
    <row r="398" spans="2:6" outlineLevel="1">
      <c r="B398" s="472">
        <v>75</v>
      </c>
      <c r="C398" s="473">
        <v>1.4766999999999999</v>
      </c>
      <c r="D398" s="473">
        <v>-0.94599999999999995</v>
      </c>
      <c r="E398" s="473">
        <v>0.99990000000000001</v>
      </c>
      <c r="F398" s="473" t="e">
        <f t="shared" si="0"/>
        <v>#DIV/0!</v>
      </c>
    </row>
    <row r="399" spans="2:6" outlineLevel="1">
      <c r="B399" s="472">
        <v>100</v>
      </c>
      <c r="C399" s="473">
        <v>1.5804</v>
      </c>
      <c r="D399" s="473">
        <v>-0.94899999999999995</v>
      </c>
      <c r="E399" s="473">
        <v>0.99990000000000001</v>
      </c>
      <c r="F399" s="473" t="e">
        <f t="shared" si="0"/>
        <v>#DIV/0!</v>
      </c>
    </row>
    <row r="400" spans="2:6" outlineLevel="1">
      <c r="B400" s="472">
        <v>125</v>
      </c>
      <c r="C400" s="473">
        <v>1.6839</v>
      </c>
      <c r="D400" s="473">
        <v>-0.95199999999999996</v>
      </c>
      <c r="E400" s="473">
        <v>0.99990000000000001</v>
      </c>
      <c r="F400" s="473" t="e">
        <f t="shared" si="0"/>
        <v>#DIV/0!</v>
      </c>
    </row>
    <row r="401" spans="2:5" outlineLevel="1">
      <c r="D401" s="63"/>
    </row>
    <row r="402" spans="2:5">
      <c r="D402" s="63"/>
    </row>
    <row r="403" spans="2:5" s="121" customFormat="1">
      <c r="B403" s="121" t="s">
        <v>808</v>
      </c>
      <c r="D403" s="144"/>
    </row>
    <row r="404" spans="2:5" outlineLevel="1">
      <c r="D404" s="63"/>
    </row>
    <row r="405" spans="2:5" outlineLevel="1">
      <c r="B405" s="25" t="s">
        <v>781</v>
      </c>
      <c r="C405" s="25" t="s">
        <v>406</v>
      </c>
      <c r="D405" s="224" t="s">
        <v>782</v>
      </c>
    </row>
    <row r="406" spans="2:5" ht="16.5" outlineLevel="1">
      <c r="B406" s="89" t="s">
        <v>809</v>
      </c>
      <c r="C406" s="89" t="s">
        <v>810</v>
      </c>
      <c r="D406" s="91">
        <f>IF(Output_purity&lt;99.9%, 17.3/(29204*0.453592), IF(AND(Output_purity&gt;99.9%, OR(Initial_questions!$E$68=Units!$E$85,Initial_questions!$E$69=Units!$E$85)), 17.3/(29204*0.453592), 0))</f>
        <v>1.3059855659902531E-3</v>
      </c>
      <c r="E406" t="s">
        <v>811</v>
      </c>
    </row>
    <row r="407" spans="2:5" ht="16.5" outlineLevel="1">
      <c r="B407" t="s">
        <v>799</v>
      </c>
      <c r="C407" t="s">
        <v>800</v>
      </c>
      <c r="D407" s="247" t="str">
        <f>$D$389</f>
        <v>Yet to provide electricity source</v>
      </c>
    </row>
    <row r="408" spans="2:5" ht="16.5" outlineLevel="1">
      <c r="B408" s="25" t="s">
        <v>812</v>
      </c>
      <c r="C408" s="25" t="s">
        <v>802</v>
      </c>
      <c r="D408" s="92" t="str">
        <f>IFERROR(D406*D407/120, "Yet to provide electricity source")</f>
        <v>Yet to provide electricity source</v>
      </c>
    </row>
    <row r="409" spans="2:5" outlineLevel="1"/>
  </sheetData>
  <dataValidations count="1">
    <dataValidation type="custom" allowBlank="1" showInputMessage="1" showErrorMessage="1" error="Please do not change these values" sqref="B395:E400 D406:D408 D381:D390" xr:uid="{00C57949-2BED-40C1-9B50-C0FB22A818F5}">
      <formula1>"Please do not change these values"</formula1>
    </dataValidation>
  </dataValidations>
  <hyperlinks>
    <hyperlink ref="D351" r:id="rId1" display="https://www.sciencedirect.com/science/article/pii/S0301479722019296" xr:uid="{33D761F4-D650-49B1-A845-255A989AB678}"/>
  </hyperlinks>
  <pageMargins left="0.7" right="0.7" top="0.75" bottom="0.75" header="0.3" footer="0.3"/>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7E8FA"/>
  </sheetPr>
  <dimension ref="B1:BD54"/>
  <sheetViews>
    <sheetView showGridLines="0" zoomScaleNormal="100" workbookViewId="0"/>
  </sheetViews>
  <sheetFormatPr defaultColWidth="10" defaultRowHeight="15" customHeight="1"/>
  <cols>
    <col min="1" max="1" width="7.85546875" customWidth="1"/>
    <col min="2" max="2" width="63.140625" customWidth="1"/>
    <col min="3" max="3" width="7.85546875" customWidth="1"/>
    <col min="4" max="4" width="17.7109375" customWidth="1"/>
    <col min="5" max="37" width="7.85546875" customWidth="1"/>
  </cols>
  <sheetData>
    <row r="1" spans="2:56" ht="14.45"/>
    <row r="2" spans="2:56" s="209" customFormat="1" ht="15" customHeight="1">
      <c r="B2" s="212" t="s">
        <v>813</v>
      </c>
      <c r="C2" s="212"/>
      <c r="D2" s="212"/>
      <c r="E2" s="212"/>
      <c r="F2" s="213"/>
      <c r="G2" s="213"/>
      <c r="H2" s="213"/>
      <c r="I2" s="213"/>
      <c r="J2" s="213"/>
      <c r="K2" s="213"/>
      <c r="L2" s="213"/>
      <c r="M2" s="213"/>
      <c r="N2" s="213"/>
      <c r="O2" s="213"/>
      <c r="P2" s="213"/>
      <c r="Q2" s="213"/>
      <c r="R2" s="213"/>
      <c r="S2" s="213"/>
      <c r="T2" s="213"/>
      <c r="U2" s="213"/>
      <c r="V2" s="213"/>
      <c r="W2" s="213"/>
      <c r="X2" s="213"/>
      <c r="Y2" s="213"/>
      <c r="Z2" s="213"/>
      <c r="AA2" s="214"/>
      <c r="AB2" s="213"/>
      <c r="AC2" s="214"/>
      <c r="AD2" s="213"/>
      <c r="AE2" s="214"/>
      <c r="AF2" s="213"/>
      <c r="AG2" s="214"/>
      <c r="AH2" s="213"/>
      <c r="AI2" s="214"/>
      <c r="AJ2" s="213"/>
      <c r="AK2" s="214"/>
      <c r="AL2" s="213"/>
      <c r="AM2" s="214"/>
      <c r="AN2" s="213"/>
      <c r="AO2" s="214"/>
      <c r="AP2" s="213"/>
      <c r="AQ2" s="214"/>
      <c r="AR2" s="213"/>
      <c r="AS2" s="214"/>
      <c r="AT2" s="213"/>
      <c r="AU2" s="214"/>
      <c r="AV2" s="213"/>
      <c r="AW2" s="214"/>
      <c r="AX2" s="213"/>
      <c r="AY2" s="214"/>
      <c r="AZ2" s="213"/>
      <c r="BA2" s="214"/>
      <c r="BB2" s="213"/>
      <c r="BC2" s="214"/>
      <c r="BD2" s="213"/>
    </row>
    <row r="3" spans="2:56" ht="15" customHeight="1">
      <c r="B3" s="39"/>
      <c r="C3" s="39"/>
      <c r="D3" s="39"/>
      <c r="E3" s="39"/>
      <c r="F3" s="37"/>
      <c r="G3" s="37"/>
      <c r="H3" s="37"/>
      <c r="I3" s="37"/>
      <c r="J3" s="37"/>
      <c r="K3" s="37"/>
      <c r="L3" s="37"/>
      <c r="M3" s="37"/>
      <c r="N3" s="37"/>
      <c r="O3" s="37"/>
      <c r="P3" s="37"/>
      <c r="Q3" s="37"/>
      <c r="R3" s="37"/>
      <c r="S3" s="37"/>
      <c r="T3" s="37"/>
      <c r="U3" s="37"/>
      <c r="V3" s="37"/>
      <c r="W3" s="37"/>
      <c r="X3" s="37"/>
      <c r="Y3" s="37"/>
      <c r="Z3" s="37"/>
      <c r="AA3" s="38"/>
      <c r="AB3" s="37"/>
      <c r="AC3" s="38"/>
      <c r="AD3" s="37"/>
      <c r="AE3" s="38"/>
      <c r="AF3" s="37"/>
      <c r="AG3" s="38"/>
      <c r="AH3" s="37"/>
      <c r="AI3" s="38"/>
      <c r="AJ3" s="37"/>
      <c r="AK3" s="38"/>
      <c r="AL3" s="37"/>
      <c r="AM3" s="38"/>
      <c r="AN3" s="37"/>
      <c r="AO3" s="38"/>
      <c r="AP3" s="37"/>
      <c r="AQ3" s="38"/>
      <c r="AR3" s="37"/>
      <c r="AS3" s="38"/>
      <c r="AT3" s="37"/>
      <c r="AU3" s="38"/>
      <c r="AV3" s="37"/>
      <c r="AW3" s="38"/>
      <c r="AX3" s="37"/>
      <c r="AY3" s="38"/>
      <c r="AZ3" s="37"/>
      <c r="BA3" s="38"/>
      <c r="BB3" s="37"/>
      <c r="BC3" s="38"/>
      <c r="BD3" s="37"/>
    </row>
    <row r="4" spans="2:56" ht="15" customHeight="1">
      <c r="B4" s="40" t="s">
        <v>814</v>
      </c>
      <c r="C4" s="39"/>
      <c r="D4" s="36" t="s">
        <v>815</v>
      </c>
      <c r="E4" s="39"/>
      <c r="F4" s="37"/>
      <c r="G4" s="37"/>
      <c r="H4" s="37"/>
      <c r="I4" s="37"/>
      <c r="J4" s="37"/>
      <c r="K4" s="37"/>
      <c r="L4" s="37"/>
      <c r="M4" s="37"/>
      <c r="N4" s="37"/>
      <c r="O4" s="37"/>
      <c r="P4" s="37"/>
      <c r="Q4" s="37"/>
      <c r="R4" s="37"/>
      <c r="S4" s="37"/>
      <c r="T4" s="37"/>
      <c r="U4" s="37"/>
      <c r="V4" s="37"/>
      <c r="W4" s="37"/>
      <c r="X4" s="37"/>
      <c r="Y4" s="37"/>
      <c r="Z4" s="37"/>
      <c r="AA4" s="38"/>
      <c r="AB4" s="37"/>
      <c r="AC4" s="38"/>
      <c r="AD4" s="37"/>
      <c r="AE4" s="38"/>
      <c r="AF4" s="37"/>
      <c r="AG4" s="38"/>
      <c r="AH4" s="37"/>
      <c r="AI4" s="38"/>
      <c r="AJ4" s="37"/>
      <c r="AK4" s="38"/>
      <c r="AL4" s="37"/>
      <c r="AM4" s="38"/>
      <c r="AN4" s="37"/>
      <c r="AO4" s="38"/>
      <c r="AP4" s="37"/>
      <c r="AQ4" s="38"/>
      <c r="AR4" s="37"/>
      <c r="AS4" s="38"/>
      <c r="AT4" s="37"/>
      <c r="AU4" s="38"/>
      <c r="AV4" s="37"/>
      <c r="AW4" s="38"/>
      <c r="AX4" s="37"/>
      <c r="AY4" s="38"/>
      <c r="AZ4" s="37"/>
      <c r="BA4" s="38"/>
      <c r="BB4" s="37"/>
      <c r="BC4" s="38"/>
      <c r="BD4" s="37"/>
    </row>
    <row r="5" spans="2:56" ht="15" customHeight="1">
      <c r="B5" s="40" t="s">
        <v>816</v>
      </c>
      <c r="C5" s="39"/>
      <c r="D5" s="36" t="s">
        <v>815</v>
      </c>
      <c r="E5" s="39"/>
      <c r="F5" s="37"/>
      <c r="G5" s="37"/>
      <c r="H5" s="37"/>
      <c r="I5" s="37"/>
      <c r="J5" s="37"/>
      <c r="K5" s="37"/>
      <c r="L5" s="37"/>
      <c r="M5" s="37"/>
      <c r="N5" s="37"/>
      <c r="O5" s="37"/>
      <c r="P5" s="37"/>
      <c r="Q5" s="37"/>
      <c r="R5" s="37"/>
      <c r="S5" s="37"/>
      <c r="T5" s="37"/>
      <c r="U5" s="37"/>
      <c r="V5" s="37"/>
      <c r="W5" s="37"/>
      <c r="X5" s="37"/>
      <c r="Y5" s="37"/>
      <c r="Z5" s="37"/>
      <c r="AA5" s="38"/>
      <c r="AB5" s="37"/>
      <c r="AC5" s="38"/>
      <c r="AD5" s="37"/>
      <c r="AE5" s="38"/>
      <c r="AF5" s="37"/>
      <c r="AG5" s="38"/>
      <c r="AH5" s="37"/>
      <c r="AI5" s="38"/>
      <c r="AJ5" s="37"/>
      <c r="AK5" s="38"/>
      <c r="AL5" s="37"/>
      <c r="AM5" s="38"/>
      <c r="AN5" s="37"/>
      <c r="AO5" s="38"/>
      <c r="AP5" s="37"/>
      <c r="AQ5" s="38"/>
      <c r="AR5" s="37"/>
      <c r="AS5" s="38"/>
      <c r="AT5" s="37"/>
      <c r="AU5" s="38"/>
      <c r="AV5" s="37"/>
      <c r="AW5" s="38"/>
      <c r="AX5" s="37"/>
      <c r="AY5" s="38"/>
      <c r="AZ5" s="37"/>
      <c r="BA5" s="38"/>
      <c r="BB5" s="37"/>
      <c r="BC5" s="38"/>
      <c r="BD5" s="37"/>
    </row>
    <row r="6" spans="2:56" ht="15" customHeight="1">
      <c r="B6" s="39"/>
      <c r="C6" s="39"/>
      <c r="D6" s="39"/>
      <c r="E6" s="39"/>
      <c r="F6" s="37"/>
      <c r="G6" s="37"/>
      <c r="H6" s="37"/>
      <c r="I6" s="37"/>
      <c r="J6" s="37"/>
      <c r="K6" s="37"/>
      <c r="L6" s="37"/>
      <c r="M6" s="37"/>
      <c r="N6" s="37"/>
      <c r="O6" s="37"/>
      <c r="P6" s="37"/>
      <c r="Q6" s="37"/>
      <c r="R6" s="37"/>
      <c r="S6" s="37"/>
      <c r="T6" s="37"/>
      <c r="U6" s="37"/>
      <c r="V6" s="37"/>
      <c r="W6" s="37"/>
      <c r="X6" s="37"/>
      <c r="Y6" s="37"/>
      <c r="Z6" s="37"/>
      <c r="AA6" s="38"/>
      <c r="AB6" s="37"/>
      <c r="AC6" s="38"/>
      <c r="AD6" s="37"/>
      <c r="AE6" s="38"/>
      <c r="AF6" s="37"/>
      <c r="AG6" s="38"/>
      <c r="AH6" s="37"/>
      <c r="AI6" s="38"/>
      <c r="AJ6" s="37"/>
      <c r="AK6" s="38"/>
      <c r="AL6" s="37"/>
      <c r="AM6" s="38"/>
      <c r="AN6" s="37"/>
      <c r="AO6" s="38"/>
      <c r="AP6" s="37"/>
      <c r="AQ6" s="38"/>
      <c r="AR6" s="37"/>
      <c r="AS6" s="38"/>
      <c r="AT6" s="37"/>
      <c r="AU6" s="38"/>
      <c r="AV6" s="37"/>
      <c r="AW6" s="38"/>
      <c r="AX6" s="37"/>
      <c r="AY6" s="38"/>
      <c r="AZ6" s="37"/>
      <c r="BA6" s="38"/>
      <c r="BB6" s="37"/>
      <c r="BC6" s="38"/>
      <c r="BD6" s="37"/>
    </row>
    <row r="7" spans="2:56" ht="15" customHeight="1">
      <c r="B7" s="41" t="s">
        <v>817</v>
      </c>
      <c r="D7" s="26" t="s">
        <v>818</v>
      </c>
      <c r="E7" s="40"/>
      <c r="F7" s="37"/>
      <c r="G7" s="37"/>
      <c r="H7" s="37"/>
      <c r="I7" s="37"/>
      <c r="J7" s="37"/>
      <c r="K7" s="37"/>
      <c r="L7" s="37"/>
      <c r="M7" s="37"/>
      <c r="N7" s="37"/>
      <c r="O7" s="37"/>
      <c r="P7" s="37"/>
      <c r="Q7" s="37"/>
      <c r="R7" s="37"/>
      <c r="S7" s="37"/>
      <c r="T7" s="37"/>
      <c r="U7" s="37"/>
      <c r="V7" s="37"/>
      <c r="W7" s="37"/>
      <c r="X7" s="37"/>
      <c r="Y7" s="37"/>
      <c r="Z7" s="37"/>
      <c r="AA7" s="38"/>
      <c r="AB7" s="37"/>
      <c r="AC7" s="38"/>
      <c r="AD7" s="37"/>
      <c r="AE7" s="38"/>
      <c r="AF7" s="37"/>
      <c r="AG7" s="38"/>
      <c r="AH7" s="37"/>
      <c r="AI7" s="38"/>
      <c r="AJ7" s="37"/>
      <c r="AK7" s="38"/>
      <c r="AL7" s="37"/>
      <c r="AM7" s="38"/>
      <c r="AN7" s="37"/>
      <c r="AO7" s="38"/>
      <c r="AP7" s="37"/>
      <c r="AQ7" s="38"/>
      <c r="AR7" s="37"/>
      <c r="AS7" s="38"/>
      <c r="AT7" s="37"/>
      <c r="AU7" s="38"/>
      <c r="AV7" s="37"/>
      <c r="AW7" s="38"/>
      <c r="AX7" s="37"/>
      <c r="AY7" s="38"/>
      <c r="AZ7" s="37"/>
      <c r="BA7" s="38"/>
      <c r="BB7" s="37"/>
      <c r="BC7" s="38"/>
      <c r="BD7" s="37"/>
    </row>
    <row r="8" spans="2:56" ht="15" customHeight="1">
      <c r="B8" s="40" t="s">
        <v>819</v>
      </c>
      <c r="D8" s="26" t="s">
        <v>820</v>
      </c>
      <c r="E8" s="40"/>
      <c r="F8" s="37"/>
      <c r="G8" s="37"/>
      <c r="H8" s="37"/>
      <c r="I8" s="37"/>
      <c r="J8" s="37"/>
      <c r="K8" s="37"/>
      <c r="L8" s="37"/>
      <c r="M8" s="37"/>
      <c r="N8" s="37"/>
      <c r="O8" s="37"/>
      <c r="P8" s="37"/>
      <c r="Q8" s="37"/>
      <c r="R8" s="37"/>
      <c r="S8" s="37"/>
      <c r="T8" s="37"/>
      <c r="U8" s="37"/>
      <c r="V8" s="37"/>
      <c r="W8" s="37"/>
      <c r="X8" s="37"/>
      <c r="Y8" s="37"/>
      <c r="Z8" s="37"/>
      <c r="AA8" s="38"/>
      <c r="AB8" s="37"/>
      <c r="AC8" s="38"/>
      <c r="AD8" s="37"/>
      <c r="AE8" s="38"/>
      <c r="AF8" s="37"/>
      <c r="AG8" s="38"/>
      <c r="AH8" s="37"/>
      <c r="AI8" s="38"/>
      <c r="AJ8" s="37"/>
      <c r="AK8" s="38"/>
      <c r="AL8" s="37"/>
      <c r="AM8" s="38"/>
      <c r="AN8" s="37"/>
      <c r="AO8" s="38"/>
      <c r="AP8" s="37"/>
      <c r="AQ8" s="38"/>
      <c r="AR8" s="37"/>
      <c r="AS8" s="38"/>
      <c r="AT8" s="37"/>
      <c r="AU8" s="38"/>
      <c r="AV8" s="37"/>
      <c r="AW8" s="38"/>
      <c r="AX8" s="37"/>
      <c r="AY8" s="38"/>
      <c r="AZ8" s="37"/>
      <c r="BA8" s="38"/>
      <c r="BB8" s="37"/>
      <c r="BC8" s="38"/>
      <c r="BD8" s="37"/>
    </row>
    <row r="9" spans="2:56" ht="15" customHeight="1">
      <c r="B9" t="s">
        <v>821</v>
      </c>
      <c r="D9" s="26" t="s">
        <v>822</v>
      </c>
      <c r="E9" s="40"/>
      <c r="F9" s="37"/>
      <c r="G9" s="37"/>
      <c r="H9" s="37"/>
      <c r="I9" s="37"/>
      <c r="J9" s="37"/>
      <c r="K9" s="37"/>
      <c r="L9" s="37"/>
      <c r="M9" s="37"/>
      <c r="N9" s="37"/>
      <c r="O9" s="37"/>
      <c r="P9" s="37"/>
      <c r="Q9" s="37"/>
      <c r="R9" s="37"/>
      <c r="S9" s="37"/>
      <c r="T9" s="37"/>
      <c r="U9" s="37"/>
      <c r="V9" s="37"/>
      <c r="W9" s="37"/>
      <c r="X9" s="37"/>
      <c r="Y9" s="37"/>
      <c r="Z9" s="37"/>
      <c r="AA9" s="38"/>
      <c r="AB9" s="37"/>
      <c r="AC9" s="38"/>
      <c r="AD9" s="37"/>
      <c r="AE9" s="38"/>
      <c r="AF9" s="37"/>
      <c r="AG9" s="38"/>
      <c r="AH9" s="37"/>
      <c r="AI9" s="38"/>
      <c r="AJ9" s="37"/>
      <c r="AK9" s="38"/>
      <c r="AL9" s="37"/>
      <c r="AM9" s="38"/>
      <c r="AN9" s="37"/>
      <c r="AO9" s="38"/>
      <c r="AP9" s="37"/>
      <c r="AQ9" s="38"/>
      <c r="AR9" s="37"/>
      <c r="AS9" s="38"/>
      <c r="AT9" s="37"/>
      <c r="AU9" s="38"/>
      <c r="AV9" s="37"/>
      <c r="AW9" s="38"/>
      <c r="AX9" s="37"/>
      <c r="AY9" s="38"/>
      <c r="AZ9" s="37"/>
      <c r="BA9" s="38"/>
      <c r="BB9" s="37"/>
      <c r="BC9" s="38"/>
      <c r="BD9" s="37"/>
    </row>
    <row r="10" spans="2:56" ht="15" customHeight="1">
      <c r="B10" t="s">
        <v>823</v>
      </c>
      <c r="D10" s="26" t="s">
        <v>824</v>
      </c>
      <c r="E10" s="40"/>
      <c r="F10" s="37"/>
      <c r="G10" s="37"/>
      <c r="H10" s="37"/>
      <c r="I10" s="37"/>
      <c r="J10" s="37"/>
      <c r="K10" s="37"/>
      <c r="L10" s="37"/>
      <c r="M10" s="37"/>
      <c r="N10" s="37"/>
      <c r="O10" s="37"/>
      <c r="P10" s="37"/>
      <c r="Q10" s="37"/>
      <c r="R10" s="37"/>
      <c r="S10" s="37"/>
      <c r="T10" s="37"/>
      <c r="U10" s="37"/>
      <c r="V10" s="37"/>
      <c r="W10" s="37"/>
      <c r="X10" s="37"/>
      <c r="Y10" s="37"/>
      <c r="Z10" s="37"/>
      <c r="AA10" s="38"/>
      <c r="AB10" s="37"/>
      <c r="AC10" s="38"/>
      <c r="AD10" s="37"/>
      <c r="AE10" s="38"/>
      <c r="AF10" s="37"/>
      <c r="AG10" s="38"/>
      <c r="AH10" s="37"/>
      <c r="AI10" s="38"/>
      <c r="AJ10" s="37"/>
      <c r="AK10" s="38"/>
      <c r="AL10" s="37"/>
      <c r="AM10" s="38"/>
      <c r="AN10" s="37"/>
      <c r="AO10" s="38"/>
      <c r="AP10" s="37"/>
      <c r="AQ10" s="38"/>
      <c r="AR10" s="37"/>
      <c r="AS10" s="38"/>
      <c r="AT10" s="37"/>
      <c r="AU10" s="38"/>
      <c r="AV10" s="37"/>
      <c r="AW10" s="38"/>
      <c r="AX10" s="37"/>
      <c r="AY10" s="38"/>
      <c r="AZ10" s="37"/>
      <c r="BA10" s="38"/>
      <c r="BB10" s="37"/>
      <c r="BC10" s="38"/>
      <c r="BD10" s="37"/>
    </row>
    <row r="11" spans="2:56" ht="15" customHeight="1">
      <c r="D11" s="26"/>
      <c r="E11" s="40"/>
      <c r="F11" s="37"/>
      <c r="G11" s="37"/>
      <c r="H11" s="37"/>
      <c r="I11" s="37"/>
      <c r="J11" s="37"/>
      <c r="K11" s="37"/>
      <c r="L11" s="37"/>
      <c r="M11" s="37"/>
      <c r="N11" s="37"/>
      <c r="O11" s="37"/>
      <c r="P11" s="37"/>
      <c r="Q11" s="37"/>
      <c r="R11" s="37"/>
      <c r="S11" s="37"/>
      <c r="T11" s="37"/>
      <c r="U11" s="37"/>
      <c r="V11" s="37"/>
      <c r="W11" s="37"/>
      <c r="X11" s="37"/>
      <c r="Y11" s="37"/>
      <c r="Z11" s="37"/>
      <c r="AA11" s="38"/>
      <c r="AB11" s="37"/>
      <c r="AC11" s="38"/>
      <c r="AD11" s="37"/>
      <c r="AE11" s="38"/>
      <c r="AF11" s="37"/>
      <c r="AG11" s="38"/>
      <c r="AH11" s="37"/>
      <c r="AI11" s="38"/>
      <c r="AJ11" s="37"/>
      <c r="AK11" s="38"/>
      <c r="AL11" s="37"/>
      <c r="AM11" s="38"/>
      <c r="AN11" s="37"/>
      <c r="AO11" s="38"/>
      <c r="AP11" s="37"/>
      <c r="AQ11" s="38"/>
      <c r="AR11" s="37"/>
      <c r="AS11" s="38"/>
      <c r="AT11" s="37"/>
      <c r="AU11" s="38"/>
      <c r="AV11" s="37"/>
      <c r="AW11" s="38"/>
      <c r="AX11" s="37"/>
      <c r="AY11" s="38"/>
      <c r="AZ11" s="37"/>
      <c r="BA11" s="38"/>
      <c r="BB11" s="37"/>
      <c r="BC11" s="38"/>
      <c r="BD11" s="37"/>
    </row>
    <row r="12" spans="2:56" ht="15" customHeight="1">
      <c r="B12" s="346" t="s">
        <v>825</v>
      </c>
      <c r="D12" s="26"/>
      <c r="E12" s="40"/>
      <c r="F12" s="37"/>
      <c r="G12" s="37"/>
      <c r="H12" s="37"/>
      <c r="I12" s="37"/>
      <c r="J12" s="37"/>
      <c r="K12" s="37"/>
      <c r="L12" s="37"/>
      <c r="M12" s="37"/>
      <c r="N12" s="37"/>
      <c r="O12" s="37"/>
      <c r="P12" s="37"/>
      <c r="Q12" s="37"/>
      <c r="R12" s="37"/>
      <c r="S12" s="37"/>
      <c r="T12" s="37"/>
      <c r="U12" s="37"/>
      <c r="V12" s="37"/>
      <c r="W12" s="37"/>
      <c r="X12" s="37"/>
      <c r="Y12" s="37"/>
      <c r="Z12" s="37"/>
      <c r="AA12" s="38"/>
      <c r="AB12" s="37"/>
      <c r="AC12" s="38"/>
      <c r="AD12" s="37"/>
      <c r="AE12" s="38"/>
      <c r="AF12" s="37"/>
      <c r="AG12" s="38"/>
      <c r="AH12" s="37"/>
      <c r="AI12" s="38"/>
      <c r="AJ12" s="37"/>
      <c r="AK12" s="38"/>
      <c r="AL12" s="37"/>
      <c r="AM12" s="38"/>
      <c r="AN12" s="37"/>
      <c r="AO12" s="38"/>
      <c r="AP12" s="37"/>
      <c r="AQ12" s="38"/>
      <c r="AR12" s="37"/>
      <c r="AS12" s="38"/>
      <c r="AT12" s="37"/>
      <c r="AU12" s="38"/>
      <c r="AV12" s="37"/>
      <c r="AW12" s="38"/>
      <c r="AX12" s="37"/>
      <c r="AY12" s="38"/>
      <c r="AZ12" s="37"/>
      <c r="BA12" s="38"/>
      <c r="BB12" s="37"/>
      <c r="BC12" s="38"/>
      <c r="BD12" s="37"/>
    </row>
    <row r="13" spans="2:56" ht="15" customHeight="1">
      <c r="B13" t="s">
        <v>826</v>
      </c>
      <c r="D13" s="36" t="s">
        <v>827</v>
      </c>
      <c r="E13" s="40"/>
      <c r="F13" s="37"/>
      <c r="G13" s="37"/>
      <c r="H13" s="37"/>
      <c r="I13" s="37"/>
      <c r="J13" s="37"/>
      <c r="K13" s="37"/>
      <c r="L13" s="37"/>
      <c r="M13" s="37"/>
      <c r="N13" s="37"/>
      <c r="O13" s="37"/>
      <c r="P13" s="37"/>
      <c r="Q13" s="37"/>
      <c r="R13" s="37"/>
      <c r="S13" s="37"/>
      <c r="T13" s="37"/>
      <c r="U13" s="37"/>
      <c r="V13" s="37"/>
      <c r="W13" s="37"/>
      <c r="X13" s="37"/>
      <c r="Y13" s="37"/>
      <c r="Z13" s="37"/>
      <c r="AA13" s="38"/>
      <c r="AB13" s="37"/>
      <c r="AC13" s="38"/>
      <c r="AD13" s="37"/>
      <c r="AE13" s="38"/>
      <c r="AF13" s="37"/>
      <c r="AG13" s="38"/>
      <c r="AH13" s="37"/>
      <c r="AI13" s="38"/>
      <c r="AJ13" s="37"/>
      <c r="AK13" s="38"/>
      <c r="AL13" s="37"/>
      <c r="AM13" s="38"/>
      <c r="AN13" s="37"/>
      <c r="AO13" s="38"/>
      <c r="AP13" s="37"/>
      <c r="AQ13" s="38"/>
      <c r="AR13" s="37"/>
      <c r="AS13" s="38"/>
      <c r="AT13" s="37"/>
      <c r="AU13" s="38"/>
      <c r="AV13" s="37"/>
      <c r="AW13" s="38"/>
      <c r="AX13" s="37"/>
      <c r="AY13" s="38"/>
      <c r="AZ13" s="37"/>
      <c r="BA13" s="38"/>
      <c r="BB13" s="37"/>
      <c r="BC13" s="38"/>
      <c r="BD13" s="37"/>
    </row>
    <row r="14" spans="2:56" ht="15" customHeight="1">
      <c r="B14" t="s">
        <v>828</v>
      </c>
      <c r="D14" s="26" t="s">
        <v>829</v>
      </c>
      <c r="E14" s="40"/>
      <c r="F14" s="37"/>
      <c r="G14" s="37"/>
      <c r="H14" s="37"/>
      <c r="I14" s="37"/>
      <c r="J14" s="37"/>
      <c r="K14" s="37"/>
      <c r="L14" s="37"/>
      <c r="M14" s="37"/>
      <c r="N14" s="37"/>
      <c r="O14" s="37"/>
      <c r="P14" s="37"/>
      <c r="Q14" s="37"/>
      <c r="R14" s="37"/>
      <c r="S14" s="37"/>
      <c r="T14" s="37"/>
      <c r="U14" s="37"/>
      <c r="V14" s="37"/>
      <c r="W14" s="37"/>
      <c r="X14" s="37"/>
      <c r="Y14" s="37"/>
      <c r="Z14" s="37"/>
      <c r="AA14" s="38"/>
      <c r="AB14" s="37"/>
      <c r="AC14" s="38"/>
      <c r="AD14" s="37"/>
      <c r="AE14" s="38"/>
      <c r="AF14" s="37"/>
      <c r="AG14" s="38"/>
      <c r="AH14" s="37"/>
      <c r="AI14" s="38"/>
      <c r="AJ14" s="37"/>
      <c r="AK14" s="38"/>
      <c r="AL14" s="37"/>
      <c r="AM14" s="38"/>
      <c r="AN14" s="37"/>
      <c r="AO14" s="38"/>
      <c r="AP14" s="37"/>
      <c r="AQ14" s="38"/>
      <c r="AR14" s="37"/>
      <c r="AS14" s="38"/>
      <c r="AT14" s="37"/>
      <c r="AU14" s="38"/>
      <c r="AV14" s="37"/>
      <c r="AW14" s="38"/>
      <c r="AX14" s="37"/>
      <c r="AY14" s="38"/>
      <c r="AZ14" s="37"/>
      <c r="BA14" s="38"/>
      <c r="BB14" s="37"/>
      <c r="BC14" s="38"/>
      <c r="BD14" s="37"/>
    </row>
    <row r="15" spans="2:56" ht="15" customHeight="1">
      <c r="B15" s="41" t="s">
        <v>830</v>
      </c>
      <c r="D15" s="26" t="s">
        <v>831</v>
      </c>
      <c r="E15" s="40"/>
      <c r="F15" s="37"/>
      <c r="G15" s="37"/>
      <c r="H15" s="37"/>
      <c r="I15" s="37"/>
      <c r="J15" s="37"/>
      <c r="K15" s="37"/>
      <c r="L15" s="37"/>
      <c r="M15" s="37"/>
      <c r="N15" s="37"/>
      <c r="O15" s="37"/>
      <c r="P15" s="37"/>
      <c r="Q15" s="37"/>
      <c r="R15" s="37"/>
      <c r="S15" s="37"/>
      <c r="T15" s="37"/>
      <c r="U15" s="37"/>
      <c r="V15" s="37"/>
      <c r="W15" s="37"/>
      <c r="X15" s="37"/>
      <c r="Y15" s="37"/>
      <c r="Z15" s="37"/>
      <c r="AA15" s="38"/>
      <c r="AB15" s="37"/>
      <c r="AC15" s="38"/>
      <c r="AD15" s="37"/>
      <c r="AE15" s="38"/>
      <c r="AF15" s="37"/>
      <c r="AG15" s="38"/>
      <c r="AH15" s="37"/>
      <c r="AI15" s="38"/>
      <c r="AJ15" s="37"/>
      <c r="AK15" s="38"/>
      <c r="AL15" s="37"/>
      <c r="AM15" s="38"/>
      <c r="AN15" s="37"/>
      <c r="AO15" s="38"/>
      <c r="AP15" s="37"/>
      <c r="AQ15" s="38"/>
      <c r="AR15" s="37"/>
      <c r="AS15" s="38"/>
      <c r="AT15" s="37"/>
      <c r="AU15" s="38"/>
      <c r="AV15" s="37"/>
      <c r="AW15" s="38"/>
      <c r="AX15" s="37"/>
      <c r="AY15" s="38"/>
      <c r="AZ15" s="37"/>
      <c r="BA15" s="38"/>
      <c r="BB15" s="37"/>
      <c r="BC15" s="38"/>
      <c r="BD15" s="37"/>
    </row>
    <row r="16" spans="2:56" ht="15" customHeight="1">
      <c r="B16" s="41" t="s">
        <v>832</v>
      </c>
      <c r="D16" s="26" t="s">
        <v>833</v>
      </c>
      <c r="E16" s="40"/>
      <c r="F16" s="37"/>
      <c r="G16" s="37"/>
      <c r="H16" s="37"/>
      <c r="I16" s="37"/>
      <c r="J16" s="37"/>
      <c r="K16" s="37"/>
      <c r="L16" s="37"/>
      <c r="M16" s="37"/>
      <c r="N16" s="37"/>
      <c r="O16" s="37"/>
      <c r="P16" s="37"/>
      <c r="Q16" s="37"/>
      <c r="R16" s="37"/>
      <c r="S16" s="37"/>
      <c r="T16" s="37"/>
      <c r="U16" s="37"/>
      <c r="V16" s="37"/>
      <c r="W16" s="37"/>
      <c r="X16" s="37"/>
      <c r="Y16" s="37"/>
      <c r="Z16" s="37"/>
      <c r="AA16" s="38"/>
      <c r="AB16" s="37"/>
      <c r="AC16" s="38"/>
      <c r="AD16" s="37"/>
      <c r="AE16" s="38"/>
      <c r="AF16" s="37"/>
      <c r="AG16" s="38"/>
      <c r="AH16" s="37"/>
      <c r="AI16" s="38"/>
      <c r="AJ16" s="37"/>
      <c r="AK16" s="38"/>
      <c r="AL16" s="37"/>
      <c r="AM16" s="38"/>
      <c r="AN16" s="37"/>
      <c r="AO16" s="38"/>
      <c r="AP16" s="37"/>
      <c r="AQ16" s="38"/>
      <c r="AR16" s="37"/>
      <c r="AS16" s="38"/>
      <c r="AT16" s="37"/>
      <c r="AU16" s="38"/>
      <c r="AV16" s="37"/>
      <c r="AW16" s="38"/>
      <c r="AX16" s="37"/>
      <c r="AY16" s="38"/>
      <c r="AZ16" s="37"/>
      <c r="BA16" s="38"/>
      <c r="BB16" s="37"/>
      <c r="BC16" s="38"/>
      <c r="BD16" s="37"/>
    </row>
    <row r="17" spans="2:56" ht="15" customHeight="1">
      <c r="B17" s="41" t="s">
        <v>834</v>
      </c>
      <c r="D17" s="26" t="s">
        <v>835</v>
      </c>
      <c r="E17" s="40"/>
      <c r="F17" s="37"/>
      <c r="G17" s="37"/>
      <c r="H17" s="37"/>
      <c r="I17" s="37"/>
      <c r="J17" s="37"/>
      <c r="K17" s="37"/>
      <c r="L17" s="37"/>
      <c r="M17" s="37"/>
      <c r="N17" s="37"/>
      <c r="O17" s="37"/>
      <c r="P17" s="37"/>
      <c r="Q17" s="37"/>
      <c r="R17" s="37"/>
      <c r="S17" s="37"/>
      <c r="T17" s="37"/>
      <c r="U17" s="37"/>
      <c r="V17" s="37"/>
      <c r="W17" s="37"/>
      <c r="X17" s="37"/>
      <c r="Y17" s="37"/>
      <c r="Z17" s="37"/>
      <c r="AA17" s="38"/>
      <c r="AB17" s="37"/>
      <c r="AC17" s="38"/>
      <c r="AD17" s="37"/>
      <c r="AE17" s="38"/>
      <c r="AF17" s="37"/>
      <c r="AG17" s="38"/>
      <c r="AH17" s="37"/>
      <c r="AI17" s="38"/>
      <c r="AJ17" s="37"/>
      <c r="AK17" s="38"/>
      <c r="AL17" s="37"/>
      <c r="AM17" s="38"/>
      <c r="AN17" s="37"/>
      <c r="AO17" s="38"/>
      <c r="AP17" s="37"/>
      <c r="AQ17" s="38"/>
      <c r="AR17" s="37"/>
      <c r="AS17" s="38"/>
      <c r="AT17" s="37"/>
      <c r="AU17" s="38"/>
      <c r="AV17" s="37"/>
      <c r="AW17" s="38"/>
      <c r="AX17" s="37"/>
      <c r="AY17" s="38"/>
      <c r="AZ17" s="37"/>
      <c r="BA17" s="38"/>
      <c r="BB17" s="37"/>
      <c r="BC17" s="38"/>
      <c r="BD17" s="37"/>
    </row>
    <row r="18" spans="2:56" ht="15" customHeight="1">
      <c r="B18" s="41" t="s">
        <v>836</v>
      </c>
      <c r="D18" s="26" t="s">
        <v>837</v>
      </c>
      <c r="E18" s="40"/>
      <c r="Z18" s="37"/>
      <c r="AA18" s="38"/>
      <c r="AB18" s="37"/>
      <c r="AC18" s="38"/>
      <c r="AD18" s="37"/>
      <c r="AE18" s="38"/>
      <c r="AF18" s="37"/>
      <c r="AG18" s="38"/>
      <c r="AH18" s="37"/>
      <c r="AI18" s="38"/>
      <c r="AJ18" s="37"/>
      <c r="AK18" s="38"/>
      <c r="AL18" s="37"/>
      <c r="AM18" s="38"/>
      <c r="AN18" s="37"/>
      <c r="AO18" s="38"/>
      <c r="AP18" s="37"/>
      <c r="AQ18" s="38"/>
      <c r="AR18" s="37"/>
      <c r="AS18" s="38"/>
      <c r="AT18" s="37"/>
      <c r="AU18" s="38"/>
      <c r="AV18" s="37"/>
      <c r="AW18" s="38"/>
      <c r="AX18" s="37"/>
      <c r="AY18" s="38"/>
      <c r="AZ18" s="37"/>
      <c r="BA18" s="38"/>
      <c r="BB18" s="37"/>
      <c r="BC18" s="38"/>
      <c r="BD18" s="37"/>
    </row>
    <row r="19" spans="2:56" ht="15" customHeight="1">
      <c r="B19" s="41" t="s">
        <v>838</v>
      </c>
      <c r="D19" s="26" t="s">
        <v>839</v>
      </c>
      <c r="E19" s="40"/>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row>
    <row r="20" spans="2:56" ht="15" customHeight="1">
      <c r="B20" s="41" t="s">
        <v>840</v>
      </c>
      <c r="D20" s="26" t="s">
        <v>841</v>
      </c>
      <c r="E20" s="40"/>
    </row>
    <row r="21" spans="2:56" s="25" customFormat="1" ht="15" customHeight="1">
      <c r="B21" t="s">
        <v>842</v>
      </c>
      <c r="C21"/>
      <c r="D21" s="459" t="s">
        <v>843</v>
      </c>
      <c r="E21" s="39"/>
    </row>
    <row r="22" spans="2:56" ht="15" customHeight="1">
      <c r="B22" t="s">
        <v>844</v>
      </c>
      <c r="C22" s="26"/>
      <c r="D22" s="26" t="s">
        <v>845</v>
      </c>
      <c r="E22" s="40"/>
    </row>
    <row r="23" spans="2:56" ht="15" customHeight="1">
      <c r="B23" s="40"/>
      <c r="D23" s="40"/>
      <c r="E23" s="40"/>
    </row>
    <row r="24" spans="2:56" ht="15" customHeight="1">
      <c r="B24" s="40"/>
      <c r="C24" s="40"/>
    </row>
    <row r="25" spans="2:56" ht="15" customHeight="1">
      <c r="B25" s="40"/>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row>
    <row r="26" spans="2:56" ht="15" customHeight="1">
      <c r="B26" s="40"/>
    </row>
    <row r="27" spans="2:56" ht="15" customHeight="1">
      <c r="B27" s="40"/>
    </row>
    <row r="28" spans="2:56" ht="15" customHeight="1">
      <c r="B28" s="40"/>
    </row>
    <row r="29" spans="2:56" ht="15" customHeight="1">
      <c r="B29" s="40"/>
    </row>
    <row r="30" spans="2:56" ht="15" customHeight="1">
      <c r="B30" s="40"/>
    </row>
    <row r="31" spans="2:56" ht="15" customHeight="1">
      <c r="B31" s="40"/>
    </row>
    <row r="32" spans="2:56" ht="15" customHeight="1">
      <c r="B32" s="40"/>
    </row>
    <row r="33" spans="2:2" ht="15" customHeight="1">
      <c r="B33" s="40"/>
    </row>
    <row r="34" spans="2:2" ht="15" customHeight="1">
      <c r="B34" s="40"/>
    </row>
    <row r="35" spans="2:2" ht="15" customHeight="1">
      <c r="B35" s="40"/>
    </row>
    <row r="36" spans="2:2" ht="15" customHeight="1">
      <c r="B36" s="40"/>
    </row>
    <row r="37" spans="2:2" ht="15" customHeight="1">
      <c r="B37" s="40"/>
    </row>
    <row r="38" spans="2:2" ht="15" customHeight="1">
      <c r="B38" s="40"/>
    </row>
    <row r="39" spans="2:2" ht="15" customHeight="1">
      <c r="B39" s="40"/>
    </row>
    <row r="40" spans="2:2" ht="15" customHeight="1">
      <c r="B40" s="40"/>
    </row>
    <row r="41" spans="2:2" ht="15" customHeight="1">
      <c r="B41" s="40"/>
    </row>
    <row r="42" spans="2:2" ht="15" customHeight="1">
      <c r="B42" s="40"/>
    </row>
    <row r="43" spans="2:2" ht="15" customHeight="1">
      <c r="B43" s="40"/>
    </row>
    <row r="44" spans="2:2" ht="15" customHeight="1">
      <c r="B44" s="40"/>
    </row>
    <row r="45" spans="2:2" ht="15" customHeight="1">
      <c r="B45" s="40"/>
    </row>
    <row r="46" spans="2:2" ht="15" customHeight="1">
      <c r="B46" s="40"/>
    </row>
    <row r="47" spans="2:2" ht="15" customHeight="1">
      <c r="B47" s="40"/>
    </row>
    <row r="48" spans="2:2" ht="15" customHeight="1">
      <c r="B48" s="40"/>
    </row>
    <row r="49" spans="2:2" ht="15" customHeight="1">
      <c r="B49" s="40"/>
    </row>
    <row r="50" spans="2:2" ht="15" customHeight="1">
      <c r="B50" s="40"/>
    </row>
    <row r="51" spans="2:2" ht="15" customHeight="1">
      <c r="B51" s="40"/>
    </row>
    <row r="52" spans="2:2" ht="15" customHeight="1">
      <c r="B52" s="40"/>
    </row>
    <row r="53" spans="2:2" ht="15" customHeight="1">
      <c r="B53" s="40"/>
    </row>
    <row r="54" spans="2:2" ht="15" customHeight="1">
      <c r="B54" s="40"/>
    </row>
  </sheetData>
  <hyperlinks>
    <hyperlink ref="D15" r:id="rId1" xr:uid="{4CCCB659-0EB9-44B1-B18C-084BBE8EABF1}"/>
    <hyperlink ref="D13" r:id="rId2" xr:uid="{5A533BFD-3BC2-4547-A918-55827E3A4417}"/>
    <hyperlink ref="D8" r:id="rId3" xr:uid="{F45DE956-079C-4688-ADCD-1ABE758357DD}"/>
    <hyperlink ref="D7" r:id="rId4" xr:uid="{FD0C7FB4-5691-4C58-806B-A02A0A0EA22D}"/>
    <hyperlink ref="D4" r:id="rId5" xr:uid="{9E93EC33-F8CC-43D5-94B0-C442DF8CF1DD}"/>
    <hyperlink ref="D5" r:id="rId6" xr:uid="{1D7422B5-8001-446E-8AD1-4CCA59A22CDA}"/>
    <hyperlink ref="D17" r:id="rId7" xr:uid="{AD7E156C-A275-4403-8741-A289E8F313F5}"/>
    <hyperlink ref="D16" r:id="rId8" xr:uid="{3B3AE206-7F44-4D3C-AFFF-A29EE05ADEFE}"/>
    <hyperlink ref="D22" r:id="rId9" display="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xr:uid="{45110CB9-0A3E-4E35-8DD9-F368585C3C2E}"/>
    <hyperlink ref="D21" r:id="rId10" display="https://web.archive.org/web/20190605065129/http://www.arb.ca.gov/fuels/lcfs/workgroups/lcfssustain/ISCC_EU_205_GHG_Calculation_and_GHG_Audit_2.3_eng.pdf" xr:uid="{8393702D-39B4-4C07-BB96-36D615D87A29}"/>
    <hyperlink ref="D10" r:id="rId11" display="https://assets.publishing.service.gov.uk/government/uploads/system/uploads/attachment_data/file/947712/carbon-intensity-data-templates-2021.ods" xr:uid="{BC7B3264-B030-4562-AE88-D5AE83E1A64C}"/>
  </hyperlinks>
  <pageMargins left="0" right="0" top="0" bottom="0" header="0" footer="0"/>
  <pageSetup orientation="portrait" r:id="rId12"/>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D4345-2301-4207-9F68-510B60C05545}">
  <sheetPr codeName="Sheet10">
    <tabColor rgb="FFFF66CC"/>
  </sheetPr>
  <dimension ref="A1:Q84"/>
  <sheetViews>
    <sheetView showGridLines="0" zoomScaleNormal="100" workbookViewId="0"/>
  </sheetViews>
  <sheetFormatPr defaultColWidth="8.85546875" defaultRowHeight="14.45"/>
  <cols>
    <col min="1" max="1" width="4.5703125" customWidth="1"/>
    <col min="2" max="2" width="32.42578125" customWidth="1"/>
    <col min="3" max="3" width="30.5703125" customWidth="1"/>
    <col min="4" max="4" width="29.5703125" customWidth="1"/>
    <col min="5" max="5" width="15.85546875" customWidth="1"/>
    <col min="6" max="6" width="31.85546875" customWidth="1"/>
    <col min="7" max="7" width="28.5703125" customWidth="1"/>
    <col min="8" max="8" width="30.42578125" customWidth="1"/>
    <col min="9" max="10" width="26.85546875" customWidth="1"/>
    <col min="11" max="11" width="35.140625" customWidth="1"/>
    <col min="12" max="12" width="20.85546875" customWidth="1"/>
    <col min="13" max="13" width="29" customWidth="1"/>
    <col min="15" max="15" width="30.140625" customWidth="1"/>
    <col min="16" max="16" width="28.85546875" customWidth="1"/>
    <col min="17" max="17" width="28.5703125" customWidth="1"/>
  </cols>
  <sheetData>
    <row r="1" spans="1:17" ht="30.95">
      <c r="A1" s="66"/>
    </row>
    <row r="3" spans="1:17" s="336" customFormat="1">
      <c r="A3" s="335"/>
      <c r="B3" s="281" t="s">
        <v>846</v>
      </c>
    </row>
    <row r="4" spans="1:17" ht="30.95">
      <c r="A4" s="66"/>
    </row>
    <row r="5" spans="1:17" ht="74.45">
      <c r="B5" s="79" t="s">
        <v>847</v>
      </c>
      <c r="C5" s="79" t="s">
        <v>848</v>
      </c>
      <c r="D5" s="79" t="s">
        <v>849</v>
      </c>
      <c r="E5" s="79" t="s">
        <v>850</v>
      </c>
      <c r="F5" s="79" t="s">
        <v>851</v>
      </c>
      <c r="G5" s="79" t="s">
        <v>852</v>
      </c>
      <c r="H5" s="79" t="s">
        <v>853</v>
      </c>
      <c r="I5" s="79" t="s">
        <v>854</v>
      </c>
      <c r="J5" s="79" t="s">
        <v>855</v>
      </c>
      <c r="K5" s="79" t="s">
        <v>856</v>
      </c>
      <c r="L5" s="79" t="s">
        <v>857</v>
      </c>
      <c r="M5" s="79" t="s">
        <v>858</v>
      </c>
      <c r="O5" s="131" t="s">
        <v>859</v>
      </c>
      <c r="P5" s="131" t="s">
        <v>860</v>
      </c>
      <c r="Q5" s="131" t="s">
        <v>861</v>
      </c>
    </row>
    <row r="6" spans="1:17">
      <c r="B6" s="511" t="s">
        <v>43</v>
      </c>
      <c r="C6" s="74" t="s">
        <v>66</v>
      </c>
      <c r="D6" s="241" t="str">
        <f>IF(Initial_questions!E$69="", IF(Initial_questions!E$68="", "User to enter in Initial Qus", Initial_questions!E$68), Initial_questions!E$69)</f>
        <v>User to enter in Initial Qus</v>
      </c>
      <c r="E6" s="502" t="str">
        <f>Electrolysis!O9</f>
        <v/>
      </c>
      <c r="F6" s="505">
        <v>1</v>
      </c>
      <c r="G6" s="49">
        <f>IF(Electrolysis!$E$108=0,"Pathway not chosen",Electrolysis!V20+Electrolysis!V40)</f>
        <v>0</v>
      </c>
      <c r="H6" s="128">
        <f t="shared" ref="H6:H11" si="0">G6*$F$40</f>
        <v>0</v>
      </c>
      <c r="I6" s="508" t="str">
        <f>Electrolysis!R9</f>
        <v/>
      </c>
      <c r="J6" s="502" t="str">
        <f>I6</f>
        <v/>
      </c>
      <c r="K6" s="48" t="e">
        <f t="shared" ref="K6:K11" si="1">H6*$J$6</f>
        <v>#VALUE!</v>
      </c>
      <c r="L6" s="128" t="str">
        <f>IF(OR(Pathway=Units!$B$84, Pathway=Units!$B$89),'Default data'!$D$41,IF(AND(Pathway=Units!$B$89,Initial_questions!$E$27&lt;&gt;0),'Default data'!$D$41,"Pathway not chosen"))</f>
        <v>Pathway not chosen</v>
      </c>
      <c r="M6" s="242" t="e">
        <f>IF(Electrolysis!$E$108=0,"Pathway not chosen", IF(D6="Default",L6,K6))</f>
        <v>#VALUE!</v>
      </c>
      <c r="O6" s="123" t="str">
        <f>IF(OR(Pathway=Units!$B$84, Pathway=Units!$B$89),'Default data'!E$41,"Pathway not chosen")</f>
        <v>Pathway not chosen</v>
      </c>
      <c r="P6" s="123" t="str">
        <f>IF(OR(Pathway=Units!$B$84, Pathway=Units!$B$89),'Default data'!F$41,"Pathway not chosen")</f>
        <v>Pathway not chosen</v>
      </c>
      <c r="Q6" s="123" t="str">
        <f>IF(OR(Pathway=Units!$B$84, Pathway=Units!$B$89),'Default data'!G$41,"Pathway not chosen")</f>
        <v>Pathway not chosen</v>
      </c>
    </row>
    <row r="7" spans="1:17">
      <c r="B7" s="512"/>
      <c r="C7" s="74" t="s">
        <v>68</v>
      </c>
      <c r="D7" s="241" t="str">
        <f>IF(Initial_questions!E$70="", IF(Initial_questions!E$68="", "User to enter in Initial Qus", Initial_questions!E$68), Initial_questions!E$70)</f>
        <v>User to enter in Initial Qus</v>
      </c>
      <c r="E7" s="503"/>
      <c r="F7" s="506"/>
      <c r="G7" s="49">
        <f>IF(Electrolysis!$E$108=0,"Pathway not chosen",Electrolysis!V53)</f>
        <v>0</v>
      </c>
      <c r="H7" s="128">
        <f t="shared" si="0"/>
        <v>0</v>
      </c>
      <c r="I7" s="509"/>
      <c r="J7" s="503"/>
      <c r="K7" s="48" t="e">
        <f t="shared" si="1"/>
        <v>#VALUE!</v>
      </c>
      <c r="L7" s="128" t="str">
        <f>IF(OR(Pathway=Units!$B$84, Pathway=Units!$B$89),'Default data'!$D$57,IF(AND(Pathway=Units!$B$89,Initial_questions!$E$27&lt;&gt;0),'Default data'!$D$57,"Pathway not chosen"))</f>
        <v>Pathway not chosen</v>
      </c>
      <c r="M7" s="242" t="e">
        <f>IF(Electrolysis!$E$108=0,"Pathway not chosen", IF(D7="Default",L7,K7))</f>
        <v>#VALUE!</v>
      </c>
      <c r="O7" s="123" t="str">
        <f>IF(OR(Pathway=Units!$B$84, Pathway=Units!$B$89),'Default data'!E$57,"Pathway not chosen")</f>
        <v>Pathway not chosen</v>
      </c>
      <c r="P7" s="123" t="str">
        <f>IF(OR(Pathway=Units!$B$84, Pathway=Units!$B$89),'Default data'!F$57,"Pathway not chosen")</f>
        <v>Pathway not chosen</v>
      </c>
      <c r="Q7" s="123" t="str">
        <f>IF(OR(Pathway=Units!$B$84, Pathway=Units!$B$89),'Default data'!G$57,"Pathway not chosen")</f>
        <v>Pathway not chosen</v>
      </c>
    </row>
    <row r="8" spans="1:17" ht="16.5">
      <c r="B8" s="512"/>
      <c r="C8" s="74" t="s">
        <v>862</v>
      </c>
      <c r="D8" s="74" t="s">
        <v>863</v>
      </c>
      <c r="E8" s="503"/>
      <c r="F8" s="506"/>
      <c r="G8" s="49">
        <f>IF(Electrolysis!$E$108=0,"Pathway not chosen",Electrolysis!V66)</f>
        <v>0</v>
      </c>
      <c r="H8" s="128">
        <f t="shared" si="0"/>
        <v>0</v>
      </c>
      <c r="I8" s="509"/>
      <c r="J8" s="503"/>
      <c r="K8" s="48" t="e">
        <f t="shared" si="1"/>
        <v>#VALUE!</v>
      </c>
      <c r="L8" s="46" t="s">
        <v>462</v>
      </c>
      <c r="M8" s="242" t="e">
        <f>IF(Electrolysis!$E$108=0,"Pathway not chosen", IF(D8="Default",L8,K8))</f>
        <v>#VALUE!</v>
      </c>
      <c r="O8" s="123" t="str">
        <f>IF(OR(Pathway=Units!$B$84, Pathway=Units!$B$89),'Default data'!E$73,"Pathway not chosen")</f>
        <v>Pathway not chosen</v>
      </c>
      <c r="P8" s="123" t="str">
        <f>IF(OR(Pathway=Units!$B$84, Pathway=Units!$B$89),'Default data'!F$73,"Pathway not chosen")</f>
        <v>Pathway not chosen</v>
      </c>
      <c r="Q8" s="123" t="str">
        <f>IF(OR(Pathway=Units!$B$84, Pathway=Units!$B$89),'Default data'!G$73,"Pathway not chosen")</f>
        <v>Pathway not chosen</v>
      </c>
    </row>
    <row r="9" spans="1:17" ht="16.5">
      <c r="B9" s="512"/>
      <c r="C9" s="50" t="s">
        <v>864</v>
      </c>
      <c r="D9" s="74" t="s">
        <v>863</v>
      </c>
      <c r="E9" s="503"/>
      <c r="F9" s="506"/>
      <c r="G9" s="49">
        <f>IF(Electrolysis!$E$108=0,"Pathway not chosen",Electrolysis!V74)</f>
        <v>0</v>
      </c>
      <c r="H9" s="128">
        <f t="shared" si="0"/>
        <v>0</v>
      </c>
      <c r="I9" s="509"/>
      <c r="J9" s="503"/>
      <c r="K9" s="48" t="e">
        <f t="shared" si="1"/>
        <v>#VALUE!</v>
      </c>
      <c r="L9" s="46" t="s">
        <v>462</v>
      </c>
      <c r="M9" s="242" t="e">
        <f>IF(Electrolysis!$E$108=0,"Pathway not chosen", IF(D9="Default",L9,K9))</f>
        <v>#VALUE!</v>
      </c>
      <c r="O9" s="123" t="str">
        <f>IF(OR(Pathway=Units!$B$84, Pathway=Units!$B$89),'Default data'!E$89,"Pathway not chosen")</f>
        <v>Pathway not chosen</v>
      </c>
      <c r="P9" s="123" t="str">
        <f>IF(OR(Pathway=Units!$B$84, Pathway=Units!$B$89),'Default data'!F$89,"Pathway not chosen")</f>
        <v>Pathway not chosen</v>
      </c>
      <c r="Q9" s="123" t="str">
        <f>IF(OR(Pathway=Units!$B$84, Pathway=Units!$B$89),'Default data'!G$89,"Pathway not chosen")</f>
        <v>Pathway not chosen</v>
      </c>
    </row>
    <row r="10" spans="1:17" ht="16.5">
      <c r="B10" s="512"/>
      <c r="C10" s="74" t="s">
        <v>865</v>
      </c>
      <c r="D10" s="74" t="s">
        <v>863</v>
      </c>
      <c r="E10" s="503"/>
      <c r="F10" s="506"/>
      <c r="G10" s="49">
        <f>IF(Electrolysis!$E$108=0,"Pathway not chosen",Electrolysis!V83)</f>
        <v>0</v>
      </c>
      <c r="H10" s="128">
        <f t="shared" si="0"/>
        <v>0</v>
      </c>
      <c r="I10" s="509"/>
      <c r="J10" s="503"/>
      <c r="K10" s="48" t="e">
        <f t="shared" si="1"/>
        <v>#VALUE!</v>
      </c>
      <c r="L10" s="46" t="s">
        <v>462</v>
      </c>
      <c r="M10" s="242" t="e">
        <f>IF(Electrolysis!$E$108=0,"Pathway not chosen", IF(D10="Default",L10,K10))</f>
        <v>#VALUE!</v>
      </c>
      <c r="O10" s="123" t="str">
        <f>IF(OR(Pathway=Units!$B$84, Pathway=Units!$B$89),'Default data'!E$105,"Pathway not chosen")</f>
        <v>Pathway not chosen</v>
      </c>
      <c r="P10" s="123" t="str">
        <f>IF(OR(Pathway=Units!$B$84, Pathway=Units!$B$89),'Default data'!F$105,"Pathway not chosen")</f>
        <v>Pathway not chosen</v>
      </c>
      <c r="Q10" s="123" t="str">
        <f>IF(OR(Pathway=Units!$B$84, Pathway=Units!$B$89),'Default data'!G$105,"Pathway not chosen")</f>
        <v>Pathway not chosen</v>
      </c>
    </row>
    <row r="11" spans="1:17" ht="16.5">
      <c r="B11" s="513"/>
      <c r="C11" s="74" t="s">
        <v>866</v>
      </c>
      <c r="D11" s="74" t="s">
        <v>863</v>
      </c>
      <c r="E11" s="504"/>
      <c r="F11" s="507"/>
      <c r="G11" s="49">
        <f>IF(Electrolysis!$E$108=0,"Pathway not chosen",Electrolysis!V91)</f>
        <v>0</v>
      </c>
      <c r="H11" s="128">
        <f t="shared" si="0"/>
        <v>0</v>
      </c>
      <c r="I11" s="510"/>
      <c r="J11" s="504"/>
      <c r="K11" s="48" t="e">
        <f t="shared" si="1"/>
        <v>#VALUE!</v>
      </c>
      <c r="L11" s="46" t="s">
        <v>462</v>
      </c>
      <c r="M11" s="242" t="e">
        <f>IF(Electrolysis!$E$108=0,"Pathway not chosen", IF(D11="Default",L11,K11))</f>
        <v>#VALUE!</v>
      </c>
      <c r="O11" s="123" t="str">
        <f>IF(OR(Pathway=Units!$B$84, Pathway=Units!$B$89),'Default data'!E$121,"Pathway not chosen")</f>
        <v>Pathway not chosen</v>
      </c>
      <c r="P11" s="123" t="str">
        <f>IF(OR(Pathway=Units!$B$84, Pathway=Units!$B$89),'Default data'!F$121,"Pathway not chosen")</f>
        <v>Pathway not chosen</v>
      </c>
      <c r="Q11" s="123" t="str">
        <f>IF(OR(Pathway=Units!$B$84, Pathway=Units!$B$89),'Default data'!G$121,"Pathway not chosen")</f>
        <v>Pathway not chosen</v>
      </c>
    </row>
    <row r="12" spans="1:17" ht="29.1">
      <c r="B12" s="74" t="s">
        <v>867</v>
      </c>
      <c r="C12" s="514" t="s">
        <v>868</v>
      </c>
      <c r="D12" s="406" t="s">
        <v>869</v>
      </c>
      <c r="L12" s="394" t="str">
        <f>'Typical data'!$D$390</f>
        <v>Yet to provide pressure or electricity source</v>
      </c>
      <c r="M12" s="393" t="str">
        <f>IF(Electrolysis!$E$108=0,"Pathway not chosen", L12)</f>
        <v>Yet to provide pressure or electricity source</v>
      </c>
      <c r="O12" s="123" t="s">
        <v>870</v>
      </c>
      <c r="P12" s="123" t="s">
        <v>870</v>
      </c>
      <c r="Q12" s="123" t="s">
        <v>870</v>
      </c>
    </row>
    <row r="13" spans="1:17" ht="29.1">
      <c r="B13" s="74" t="s">
        <v>871</v>
      </c>
      <c r="C13" s="515"/>
      <c r="D13" s="406" t="s">
        <v>872</v>
      </c>
      <c r="L13" s="395" t="str">
        <f>'Typical data'!$D$408</f>
        <v>Yet to provide electricity source</v>
      </c>
      <c r="M13" s="393" t="str">
        <f>IF(Electrolysis!$E$108=0,"Pathway not chosen", L13)</f>
        <v>Yet to provide electricity source</v>
      </c>
      <c r="O13" s="123" t="s">
        <v>870</v>
      </c>
      <c r="P13" s="123" t="s">
        <v>870</v>
      </c>
      <c r="Q13" s="123" t="s">
        <v>870</v>
      </c>
    </row>
    <row r="15" spans="1:17" ht="18.600000000000001">
      <c r="B15" s="75" t="s">
        <v>873</v>
      </c>
      <c r="C15" s="51"/>
      <c r="D15" s="51"/>
      <c r="E15" s="76">
        <f>PRODUCT(E6:E13)</f>
        <v>0</v>
      </c>
      <c r="F15" s="25"/>
      <c r="G15" s="25"/>
      <c r="H15" s="25"/>
      <c r="M15" s="77" t="str">
        <f>IF(COUNTIF(M6:M13,"*")&gt;0,"Pathway not chosen",SUM(M6:M13))</f>
        <v>Pathway not chosen</v>
      </c>
      <c r="N15" s="44"/>
      <c r="O15" s="123" t="str">
        <f>IF(OR(Pathway=Units!$B$84, Pathway=Units!$B$89),'Default data'!E$153,"Pathway not chosen")</f>
        <v>Pathway not chosen</v>
      </c>
      <c r="P15" s="123" t="str">
        <f>IF(OR(Pathway=Units!$B$84, Pathway=Units!$B$89),'Default data'!F$153,"Pathway not chosen")</f>
        <v>Pathway not chosen</v>
      </c>
      <c r="Q15" s="123" t="str">
        <f>IF(OR(Pathway=Units!$B$84, Pathway=Units!$B$89),'Default data'!G$153,"Pathway not chosen")</f>
        <v>Pathway not chosen</v>
      </c>
    </row>
    <row r="16" spans="1:17" ht="18.600000000000001">
      <c r="B16" s="75" t="s">
        <v>874</v>
      </c>
      <c r="C16" s="51"/>
      <c r="D16" s="51"/>
      <c r="M16" s="78">
        <v>20</v>
      </c>
      <c r="O16" s="516" t="s">
        <v>875</v>
      </c>
      <c r="P16" s="517"/>
      <c r="Q16" s="518"/>
    </row>
    <row r="17" spans="1:17">
      <c r="O17" s="519"/>
      <c r="P17" s="520"/>
      <c r="Q17" s="521"/>
    </row>
    <row r="18" spans="1:17">
      <c r="O18" s="522"/>
      <c r="P18" s="523"/>
      <c r="Q18" s="524"/>
    </row>
    <row r="20" spans="1:17" s="338" customFormat="1">
      <c r="A20" s="337"/>
      <c r="B20" s="282" t="s">
        <v>876</v>
      </c>
    </row>
    <row r="21" spans="1:17" ht="30.95">
      <c r="A21" s="66"/>
    </row>
    <row r="22" spans="1:17" ht="61.5">
      <c r="B22" s="79" t="s">
        <v>847</v>
      </c>
      <c r="C22" s="79" t="s">
        <v>848</v>
      </c>
      <c r="D22" s="79" t="s">
        <v>849</v>
      </c>
      <c r="E22" s="79" t="s">
        <v>850</v>
      </c>
      <c r="F22" s="79" t="s">
        <v>851</v>
      </c>
      <c r="G22" s="79" t="s">
        <v>852</v>
      </c>
      <c r="H22" s="79" t="s">
        <v>853</v>
      </c>
      <c r="I22" s="79" t="s">
        <v>854</v>
      </c>
      <c r="J22" s="79" t="s">
        <v>855</v>
      </c>
      <c r="K22" s="79" t="s">
        <v>856</v>
      </c>
      <c r="L22" s="79" t="s">
        <v>857</v>
      </c>
      <c r="M22" s="79" t="s">
        <v>858</v>
      </c>
      <c r="O22" s="131" t="s">
        <v>877</v>
      </c>
      <c r="P22" s="131" t="s">
        <v>878</v>
      </c>
      <c r="Q22" s="131" t="s">
        <v>879</v>
      </c>
    </row>
    <row r="23" spans="1:17">
      <c r="B23" s="511" t="s">
        <v>43</v>
      </c>
      <c r="C23" s="74" t="s">
        <v>66</v>
      </c>
      <c r="D23" s="241" t="str">
        <f>IF(Initial_questions!E$69="", IF(Initial_questions!E$68="", "User to enter in Initial Qus", Initial_questions!E$68), Initial_questions!E$69)</f>
        <v>User to enter in Initial Qus</v>
      </c>
      <c r="E23" s="502" t="str">
        <f>Electrolysis!O9</f>
        <v/>
      </c>
      <c r="F23" s="505">
        <v>1</v>
      </c>
      <c r="G23" s="49">
        <f>IF(Electrolysis!$E$109=0,"Pathway not chosen",Electrolysis!V24+Electrolysis!V40)</f>
        <v>0</v>
      </c>
      <c r="H23" s="128">
        <f t="shared" ref="H23:H28" si="2">G23*$F$40</f>
        <v>0</v>
      </c>
      <c r="I23" s="508" t="str">
        <f>Electrolysis!R9</f>
        <v/>
      </c>
      <c r="J23" s="502" t="str">
        <f>I23</f>
        <v/>
      </c>
      <c r="K23" s="48" t="e">
        <f t="shared" ref="K23:K28" si="3">H23*$J$23</f>
        <v>#VALUE!</v>
      </c>
      <c r="L23" s="128" t="str">
        <f>IF(OR(Pathway=Units!$B$85, Pathway=Units!$B$89),'Default data'!$D$42,IF(AND(Pathway=Units!$B$89,Initial_questions!$E$28&lt;&gt;0),'Default data'!$D$42,"Pathway not chosen"))</f>
        <v>Pathway not chosen</v>
      </c>
      <c r="M23" s="242" t="e">
        <f>IF(Electrolysis!$E$109=0,"Pathway not chosen", IF(D23="Default",L23,K23))</f>
        <v>#VALUE!</v>
      </c>
      <c r="O23" s="123" t="str">
        <f>IF(OR(Pathway=Units!$B$85, Pathway=Units!$B$89),'Default data'!E$42,"Pathway not chosen")</f>
        <v>Pathway not chosen</v>
      </c>
      <c r="P23" s="123" t="str">
        <f>IF(OR(Pathway=Units!$B$85, Pathway=Units!$B$89),'Default data'!F$42,"Pathway not chosen")</f>
        <v>Pathway not chosen</v>
      </c>
      <c r="Q23" s="123" t="str">
        <f>IF(OR(Pathway=Units!$B$85, Pathway=Units!$B$89),'Default data'!G$42,"Pathway not chosen")</f>
        <v>Pathway not chosen</v>
      </c>
    </row>
    <row r="24" spans="1:17">
      <c r="B24" s="512"/>
      <c r="C24" s="74" t="s">
        <v>68</v>
      </c>
      <c r="D24" s="241" t="str">
        <f>IF(Initial_questions!E$70="", IF(Initial_questions!E$68="", "User to enter in Initial Qus", Initial_questions!E$68), Initial_questions!E$70)</f>
        <v>User to enter in Initial Qus</v>
      </c>
      <c r="E24" s="503"/>
      <c r="F24" s="506"/>
      <c r="G24" s="49">
        <f>IF(Electrolysis!$E$109=0,"Pathway not chosen",Electrolysis!V53)</f>
        <v>0</v>
      </c>
      <c r="H24" s="128">
        <f t="shared" si="2"/>
        <v>0</v>
      </c>
      <c r="I24" s="509"/>
      <c r="J24" s="503"/>
      <c r="K24" s="48" t="e">
        <f t="shared" si="3"/>
        <v>#VALUE!</v>
      </c>
      <c r="L24" s="128" t="str">
        <f>IF(OR(Pathway=Units!$B$85, Pathway=Units!$B$89),'Default data'!$D$58,IF(AND(Pathway=Units!$B$89,Initial_questions!$E$28&lt;&gt;0),'Default data'!$D$58,"Pathway not chosen"))</f>
        <v>Pathway not chosen</v>
      </c>
      <c r="M24" s="242" t="e">
        <f>IF(Electrolysis!$E$109=0,"Pathway not chosen", IF(D24="Default",L24,K24))</f>
        <v>#VALUE!</v>
      </c>
      <c r="O24" s="123" t="str">
        <f>IF(OR(Pathway=Units!$B$85, Pathway=Units!$B$89),'Default data'!E$58,"Pathway not chosen")</f>
        <v>Pathway not chosen</v>
      </c>
      <c r="P24" s="123" t="str">
        <f>IF(OR(Pathway=Units!$B$85, Pathway=Units!$B$89),'Default data'!F$58,"Pathway not chosen")</f>
        <v>Pathway not chosen</v>
      </c>
      <c r="Q24" s="123" t="str">
        <f>IF(OR(Pathway=Units!$B$85, Pathway=Units!$B$89),'Default data'!G$58,"Pathway not chosen")</f>
        <v>Pathway not chosen</v>
      </c>
    </row>
    <row r="25" spans="1:17" ht="16.5">
      <c r="B25" s="512"/>
      <c r="C25" s="74" t="s">
        <v>862</v>
      </c>
      <c r="D25" s="74" t="s">
        <v>863</v>
      </c>
      <c r="E25" s="503"/>
      <c r="F25" s="506"/>
      <c r="G25" s="49">
        <f>IF(Electrolysis!$E$109=0,"Pathway not chosen",Electrolysis!V66)</f>
        <v>0</v>
      </c>
      <c r="H25" s="128">
        <f t="shared" si="2"/>
        <v>0</v>
      </c>
      <c r="I25" s="509"/>
      <c r="J25" s="503"/>
      <c r="K25" s="48" t="e">
        <f t="shared" si="3"/>
        <v>#VALUE!</v>
      </c>
      <c r="L25" s="46" t="s">
        <v>462</v>
      </c>
      <c r="M25" s="242" t="e">
        <f>IF(Electrolysis!$E$109=0,"Pathway not chosen", IF(D25="Default",L25,K25))</f>
        <v>#VALUE!</v>
      </c>
      <c r="O25" s="123" t="str">
        <f>IF(OR(Pathway=Units!$B$85, Pathway=Units!$B$89),'Default data'!E$74,"Pathway not chosen")</f>
        <v>Pathway not chosen</v>
      </c>
      <c r="P25" s="123" t="str">
        <f>IF(OR(Pathway=Units!$B$85, Pathway=Units!$B$89),'Default data'!F$74,"Pathway not chosen")</f>
        <v>Pathway not chosen</v>
      </c>
      <c r="Q25" s="123" t="str">
        <f>IF(OR(Pathway=Units!$B$85, Pathway=Units!$B$89),'Default data'!G$74,"Pathway not chosen")</f>
        <v>Pathway not chosen</v>
      </c>
    </row>
    <row r="26" spans="1:17" ht="16.5">
      <c r="B26" s="512"/>
      <c r="C26" s="50" t="s">
        <v>864</v>
      </c>
      <c r="D26" s="74" t="s">
        <v>863</v>
      </c>
      <c r="E26" s="503"/>
      <c r="F26" s="506"/>
      <c r="G26" s="49">
        <f>IF(Electrolysis!$E$109=0,"Pathway not chosen",Electrolysis!V74)</f>
        <v>0</v>
      </c>
      <c r="H26" s="128">
        <f t="shared" si="2"/>
        <v>0</v>
      </c>
      <c r="I26" s="509"/>
      <c r="J26" s="503"/>
      <c r="K26" s="48" t="e">
        <f t="shared" si="3"/>
        <v>#VALUE!</v>
      </c>
      <c r="L26" s="46" t="s">
        <v>462</v>
      </c>
      <c r="M26" s="242" t="e">
        <f>IF(Electrolysis!$E$109=0,"Pathway not chosen", IF(D26="Default",L26,K26))</f>
        <v>#VALUE!</v>
      </c>
      <c r="O26" s="123" t="str">
        <f>IF(OR(Pathway=Units!$B$85, Pathway=Units!$B$89),'Default data'!E$90,"Pathway not chosen")</f>
        <v>Pathway not chosen</v>
      </c>
      <c r="P26" s="123" t="str">
        <f>IF(OR(Pathway=Units!$B$85, Pathway=Units!$B$89),'Default data'!F$90,"Pathway not chosen")</f>
        <v>Pathway not chosen</v>
      </c>
      <c r="Q26" s="123" t="str">
        <f>IF(OR(Pathway=Units!$B$85, Pathway=Units!$B$89),'Default data'!G$90,"Pathway not chosen")</f>
        <v>Pathway not chosen</v>
      </c>
    </row>
    <row r="27" spans="1:17" ht="16.5">
      <c r="B27" s="512"/>
      <c r="C27" s="74" t="s">
        <v>865</v>
      </c>
      <c r="D27" s="74" t="s">
        <v>863</v>
      </c>
      <c r="E27" s="503"/>
      <c r="F27" s="506"/>
      <c r="G27" s="49">
        <f>IF(Electrolysis!$E$109=0,"Pathway not chosen",Electrolysis!V83)</f>
        <v>0</v>
      </c>
      <c r="H27" s="128">
        <f t="shared" si="2"/>
        <v>0</v>
      </c>
      <c r="I27" s="509"/>
      <c r="J27" s="503"/>
      <c r="K27" s="48" t="e">
        <f t="shared" si="3"/>
        <v>#VALUE!</v>
      </c>
      <c r="L27" s="46" t="s">
        <v>462</v>
      </c>
      <c r="M27" s="242" t="e">
        <f>IF(Electrolysis!$E$109=0,"Pathway not chosen", IF(D27="Default",L27,K27))</f>
        <v>#VALUE!</v>
      </c>
      <c r="O27" s="123" t="str">
        <f>IF(OR(Pathway=Units!$B$85, Pathway=Units!$B$89),'Default data'!E$106,"Pathway not chosen")</f>
        <v>Pathway not chosen</v>
      </c>
      <c r="P27" s="123" t="str">
        <f>IF(OR(Pathway=Units!$B$85, Pathway=Units!$B$89),'Default data'!F$106,"Pathway not chosen")</f>
        <v>Pathway not chosen</v>
      </c>
      <c r="Q27" s="123" t="str">
        <f>IF(OR(Pathway=Units!$B$85, Pathway=Units!$B$89),'Default data'!G$106,"Pathway not chosen")</f>
        <v>Pathway not chosen</v>
      </c>
    </row>
    <row r="28" spans="1:17" ht="16.5">
      <c r="B28" s="513"/>
      <c r="C28" s="74" t="s">
        <v>866</v>
      </c>
      <c r="D28" s="74" t="s">
        <v>863</v>
      </c>
      <c r="E28" s="504"/>
      <c r="F28" s="507"/>
      <c r="G28" s="49">
        <f>IF(Electrolysis!$E$109=0,"Pathway not chosen",Electrolysis!V91)</f>
        <v>0</v>
      </c>
      <c r="H28" s="128">
        <f t="shared" si="2"/>
        <v>0</v>
      </c>
      <c r="I28" s="510"/>
      <c r="J28" s="504"/>
      <c r="K28" s="48" t="e">
        <f t="shared" si="3"/>
        <v>#VALUE!</v>
      </c>
      <c r="L28" s="46" t="s">
        <v>462</v>
      </c>
      <c r="M28" s="242" t="e">
        <f>IF(Electrolysis!$E$109=0,"Pathway not chosen", IF(D28="Default",L28,K28))</f>
        <v>#VALUE!</v>
      </c>
      <c r="O28" s="123" t="str">
        <f>IF(OR(Pathway=Units!$B$85, Pathway=Units!$B$89),'Default data'!E$122,"Pathway not chosen")</f>
        <v>Pathway not chosen</v>
      </c>
      <c r="P28" s="123" t="str">
        <f>IF(OR(Pathway=Units!$B$85, Pathway=Units!$B$89),'Default data'!F$122,"Pathway not chosen")</f>
        <v>Pathway not chosen</v>
      </c>
      <c r="Q28" s="123" t="str">
        <f>IF(OR(Pathway=Units!$B$85, Pathway=Units!$B$89),'Default data'!G$122,"Pathway not chosen")</f>
        <v>Pathway not chosen</v>
      </c>
    </row>
    <row r="29" spans="1:17" ht="29.1">
      <c r="B29" s="74" t="s">
        <v>867</v>
      </c>
      <c r="C29" s="514" t="s">
        <v>868</v>
      </c>
      <c r="D29" s="406" t="s">
        <v>869</v>
      </c>
      <c r="L29" s="394" t="str">
        <f>'Typical data'!$D$390</f>
        <v>Yet to provide pressure or electricity source</v>
      </c>
      <c r="M29" s="393" t="str">
        <f>IF(Electrolysis!$E$109=0,"Pathway not chosen", L29)</f>
        <v>Yet to provide pressure or electricity source</v>
      </c>
      <c r="O29" s="123" t="s">
        <v>870</v>
      </c>
      <c r="P29" s="123" t="s">
        <v>870</v>
      </c>
      <c r="Q29" s="123" t="s">
        <v>870</v>
      </c>
    </row>
    <row r="30" spans="1:17" ht="29.1">
      <c r="B30" s="74" t="s">
        <v>871</v>
      </c>
      <c r="C30" s="515"/>
      <c r="D30" s="406" t="s">
        <v>872</v>
      </c>
      <c r="L30" s="395" t="str">
        <f>'Typical data'!$D$408</f>
        <v>Yet to provide electricity source</v>
      </c>
      <c r="M30" s="393" t="str">
        <f>IF(Electrolysis!$E$109=0,"Pathway not chosen", L30)</f>
        <v>Yet to provide electricity source</v>
      </c>
      <c r="O30" s="123" t="s">
        <v>870</v>
      </c>
      <c r="P30" s="123" t="s">
        <v>870</v>
      </c>
      <c r="Q30" s="123" t="s">
        <v>870</v>
      </c>
    </row>
    <row r="32" spans="1:17" ht="18.600000000000001">
      <c r="B32" s="75" t="s">
        <v>873</v>
      </c>
      <c r="C32" s="51"/>
      <c r="D32" s="51"/>
      <c r="E32" s="76">
        <f>PRODUCT(E23:E30)</f>
        <v>0</v>
      </c>
      <c r="F32" s="25"/>
      <c r="G32" s="25"/>
      <c r="H32" s="25"/>
      <c r="M32" s="77" t="str">
        <f>IF(COUNTIF(M23:M30,"*")&gt;0,"Pathway not chosen",SUM(M23:M30))</f>
        <v>Pathway not chosen</v>
      </c>
      <c r="N32" s="44"/>
      <c r="O32" s="123" t="str">
        <f>IF(OR(Pathway=Units!$B$85, Pathway=Units!$B$89),'Default data'!E$154,"Pathway not chosen")</f>
        <v>Pathway not chosen</v>
      </c>
      <c r="P32" s="123" t="str">
        <f>IF(OR(Pathway=Units!$B$85, Pathway=Units!$B$89),'Default data'!F$154,"Pathway not chosen")</f>
        <v>Pathway not chosen</v>
      </c>
      <c r="Q32" s="123" t="str">
        <f>IF(OR(Pathway=Units!$B$85, Pathway=Units!$B$89),'Default data'!G$154,"Pathway not chosen")</f>
        <v>Pathway not chosen</v>
      </c>
    </row>
    <row r="33" spans="1:17" ht="18.600000000000001">
      <c r="B33" s="75" t="s">
        <v>874</v>
      </c>
      <c r="C33" s="51"/>
      <c r="D33" s="51"/>
      <c r="M33" s="78">
        <v>20</v>
      </c>
      <c r="O33" s="516" t="s">
        <v>880</v>
      </c>
      <c r="P33" s="517"/>
      <c r="Q33" s="518"/>
    </row>
    <row r="34" spans="1:17">
      <c r="O34" s="519"/>
      <c r="P34" s="520"/>
      <c r="Q34" s="521"/>
    </row>
    <row r="35" spans="1:17">
      <c r="O35" s="522"/>
      <c r="P35" s="523"/>
      <c r="Q35" s="524"/>
    </row>
    <row r="37" spans="1:17" s="209" customFormat="1">
      <c r="A37" s="340"/>
      <c r="B37" s="121" t="s">
        <v>881</v>
      </c>
    </row>
    <row r="38" spans="1:17" ht="30.95">
      <c r="A38" s="66"/>
      <c r="P38" s="409"/>
    </row>
    <row r="39" spans="1:17" ht="84.6" customHeight="1">
      <c r="B39" s="79" t="s">
        <v>847</v>
      </c>
      <c r="C39" s="79" t="s">
        <v>848</v>
      </c>
      <c r="D39" s="79" t="s">
        <v>849</v>
      </c>
      <c r="E39" s="79" t="s">
        <v>850</v>
      </c>
      <c r="F39" s="79" t="s">
        <v>851</v>
      </c>
      <c r="G39" s="79" t="s">
        <v>852</v>
      </c>
      <c r="H39" s="79" t="s">
        <v>853</v>
      </c>
      <c r="I39" s="79" t="s">
        <v>854</v>
      </c>
      <c r="J39" s="79" t="s">
        <v>855</v>
      </c>
      <c r="K39" s="79" t="s">
        <v>856</v>
      </c>
      <c r="L39" s="79" t="s">
        <v>857</v>
      </c>
      <c r="M39" s="79" t="s">
        <v>858</v>
      </c>
      <c r="O39" s="131" t="s">
        <v>882</v>
      </c>
      <c r="P39" s="131" t="s">
        <v>883</v>
      </c>
      <c r="Q39" s="131" t="s">
        <v>884</v>
      </c>
    </row>
    <row r="40" spans="1:17">
      <c r="B40" s="499" t="s">
        <v>43</v>
      </c>
      <c r="C40" s="50" t="s">
        <v>66</v>
      </c>
      <c r="D40" s="241" t="str">
        <f>IF(Initial_questions!E$69="", IF(Initial_questions!E$68="", "User to enter in Initial Qus", Initial_questions!E$68), Initial_questions!E$69)</f>
        <v>User to enter in Initial Qus</v>
      </c>
      <c r="E40" s="502" t="str">
        <f>Electrolysis!O9</f>
        <v/>
      </c>
      <c r="F40" s="505">
        <v>1</v>
      </c>
      <c r="G40" s="49">
        <f>IF(Electrolysis!$E$110=0,"Pathway not chosen",Electrolysis!V28+Electrolysis!V40)</f>
        <v>0</v>
      </c>
      <c r="H40" s="128">
        <f t="shared" ref="H40:H45" si="4">G40*$F$40</f>
        <v>0</v>
      </c>
      <c r="I40" s="508" t="str">
        <f>Electrolysis!R9</f>
        <v/>
      </c>
      <c r="J40" s="502" t="str">
        <f>I40</f>
        <v/>
      </c>
      <c r="K40" s="48" t="e">
        <f t="shared" ref="K40:K45" si="5">H40*$J$40</f>
        <v>#VALUE!</v>
      </c>
      <c r="L40" s="128" t="str">
        <f>IF(OR(Pathway=Units!$B$86, Pathway=Units!$B$89),'Default data'!$D$40,IF(AND(Pathway=Units!$B$89,Initial_questions!$E$29&lt;&gt;0),'Default data'!$D$40,"Pathway not chosen"))</f>
        <v>Pathway not chosen</v>
      </c>
      <c r="M40" s="242" t="e">
        <f>IF(Electrolysis!$E$110=0,"Pathway not chosen",IF(D40="Default",L40,K40))</f>
        <v>#VALUE!</v>
      </c>
      <c r="O40" s="123" t="str">
        <f>IF(OR(Pathway=Units!$B$86, Pathway=Units!$B$89),'Default data'!E$40,"Pathway not chosen")</f>
        <v>Pathway not chosen</v>
      </c>
      <c r="P40" s="123" t="str">
        <f>IF(OR(Pathway=Units!$B$86, Pathway=Units!$B$89),'Default data'!F$40,"Pathway not chosen")</f>
        <v>Pathway not chosen</v>
      </c>
      <c r="Q40" s="123" t="str">
        <f>IF(OR(Pathway=Units!$B$86, Pathway=Units!$B$89),'Default data'!G$40,"Pathway not chosen")</f>
        <v>Pathway not chosen</v>
      </c>
    </row>
    <row r="41" spans="1:17">
      <c r="B41" s="500"/>
      <c r="C41" s="50" t="s">
        <v>68</v>
      </c>
      <c r="D41" s="241" t="str">
        <f>IF(Initial_questions!E$70="", IF(Initial_questions!E$68="", "User to enter in Initial Qus", Initial_questions!E$68), Initial_questions!E$70)</f>
        <v>User to enter in Initial Qus</v>
      </c>
      <c r="E41" s="503"/>
      <c r="F41" s="506"/>
      <c r="G41" s="49">
        <f>IF(Electrolysis!$E$110=0,"Pathway not chosen",Electrolysis!V53)</f>
        <v>0</v>
      </c>
      <c r="H41" s="128">
        <f t="shared" si="4"/>
        <v>0</v>
      </c>
      <c r="I41" s="509"/>
      <c r="J41" s="503"/>
      <c r="K41" s="48" t="e">
        <f t="shared" si="5"/>
        <v>#VALUE!</v>
      </c>
      <c r="L41" s="128" t="str">
        <f>IF(OR(Pathway=Units!$B$86, Pathway=Units!$B$89),'Default data'!$D$56,IF(AND(Pathway=Units!$B$89,Initial_questions!$E$29&lt;&gt;0),'Default data'!$D$56,"Pathway not chosen"))</f>
        <v>Pathway not chosen</v>
      </c>
      <c r="M41" s="242" t="e">
        <f>IF(Electrolysis!$E$110=0,"Pathway not chosen",IF(D41="Default",L41,K41))</f>
        <v>#VALUE!</v>
      </c>
      <c r="O41" s="123" t="str">
        <f>IF(OR(Pathway=Units!$B$86, Pathway=Units!$B$89),'Default data'!E$56,"Pathway not chosen")</f>
        <v>Pathway not chosen</v>
      </c>
      <c r="P41" s="123" t="str">
        <f>IF(OR(Pathway=Units!$B$86, Pathway=Units!$B$89),'Default data'!F$56,"Pathway not chosen")</f>
        <v>Pathway not chosen</v>
      </c>
      <c r="Q41" s="123" t="str">
        <f>IF(OR(Pathway=Units!$B$86, Pathway=Units!$B$89),'Default data'!G$56,"Pathway not chosen")</f>
        <v>Pathway not chosen</v>
      </c>
    </row>
    <row r="42" spans="1:17" ht="16.5">
      <c r="B42" s="500"/>
      <c r="C42" s="74" t="s">
        <v>862</v>
      </c>
      <c r="D42" s="50" t="s">
        <v>863</v>
      </c>
      <c r="E42" s="503"/>
      <c r="F42" s="506"/>
      <c r="G42" s="49">
        <f>IF(Electrolysis!$E$110=0,"Pathway not chosen",Electrolysis!V66)</f>
        <v>0</v>
      </c>
      <c r="H42" s="128">
        <f t="shared" si="4"/>
        <v>0</v>
      </c>
      <c r="I42" s="509"/>
      <c r="J42" s="503"/>
      <c r="K42" s="48" t="e">
        <f t="shared" si="5"/>
        <v>#VALUE!</v>
      </c>
      <c r="L42" s="46" t="s">
        <v>462</v>
      </c>
      <c r="M42" s="242" t="e">
        <f>IF(Electrolysis!$E$110=0,"Pathway not chosen",IF(D42="Default",L42,K42))</f>
        <v>#VALUE!</v>
      </c>
      <c r="O42" s="123" t="str">
        <f>IF(OR(Pathway=Units!$B$86, Pathway=Units!$B$89),'Default data'!E$72,"Pathway not chosen")</f>
        <v>Pathway not chosen</v>
      </c>
      <c r="P42" s="123" t="str">
        <f>IF(OR(Pathway=Units!$B$86, Pathway=Units!$B$89),'Default data'!F$72,"Pathway not chosen")</f>
        <v>Pathway not chosen</v>
      </c>
      <c r="Q42" s="123" t="str">
        <f>IF(OR(Pathway=Units!$B$86, Pathway=Units!$B$89),'Default data'!G$72,"Pathway not chosen")</f>
        <v>Pathway not chosen</v>
      </c>
    </row>
    <row r="43" spans="1:17" ht="16.5">
      <c r="B43" s="500"/>
      <c r="C43" s="50" t="s">
        <v>864</v>
      </c>
      <c r="D43" s="50" t="s">
        <v>863</v>
      </c>
      <c r="E43" s="503"/>
      <c r="F43" s="506"/>
      <c r="G43" s="49">
        <f>IF(Electrolysis!$E$110=0,"Pathway not chosen",Electrolysis!V74)</f>
        <v>0</v>
      </c>
      <c r="H43" s="128">
        <f t="shared" si="4"/>
        <v>0</v>
      </c>
      <c r="I43" s="509"/>
      <c r="J43" s="503"/>
      <c r="K43" s="48" t="e">
        <f t="shared" si="5"/>
        <v>#VALUE!</v>
      </c>
      <c r="L43" s="46" t="s">
        <v>462</v>
      </c>
      <c r="M43" s="242" t="e">
        <f>IF(Electrolysis!$E$110=0,"Pathway not chosen",IF(D43="Default",L43,K43))</f>
        <v>#VALUE!</v>
      </c>
      <c r="O43" s="123" t="str">
        <f>IF(OR(Pathway=Units!$B$86, Pathway=Units!$B$89),'Default data'!E$88,"Pathway not chosen")</f>
        <v>Pathway not chosen</v>
      </c>
      <c r="P43" s="123" t="str">
        <f>IF(OR(Pathway=Units!$B$86, Pathway=Units!$B$89),'Default data'!F$88,"Pathway not chosen")</f>
        <v>Pathway not chosen</v>
      </c>
      <c r="Q43" s="123" t="str">
        <f>IF(OR(Pathway=Units!$B$86, Pathway=Units!$B$89),'Default data'!G$88,"Pathway not chosen")</f>
        <v>Pathway not chosen</v>
      </c>
    </row>
    <row r="44" spans="1:17" ht="16.5">
      <c r="B44" s="500"/>
      <c r="C44" s="50" t="s">
        <v>865</v>
      </c>
      <c r="D44" s="50" t="s">
        <v>863</v>
      </c>
      <c r="E44" s="503"/>
      <c r="F44" s="506"/>
      <c r="G44" s="49">
        <f>IF(Electrolysis!$E$110=0,"Pathway not chosen",Electrolysis!V83)</f>
        <v>0</v>
      </c>
      <c r="H44" s="128">
        <f t="shared" si="4"/>
        <v>0</v>
      </c>
      <c r="I44" s="509"/>
      <c r="J44" s="503"/>
      <c r="K44" s="48" t="e">
        <f t="shared" si="5"/>
        <v>#VALUE!</v>
      </c>
      <c r="L44" s="46" t="s">
        <v>462</v>
      </c>
      <c r="M44" s="242" t="e">
        <f>IF(Electrolysis!$E$110=0,"Pathway not chosen",IF(D44="Default",L44,K44))</f>
        <v>#VALUE!</v>
      </c>
      <c r="O44" s="123" t="str">
        <f>IF(OR(Pathway=Units!$B$86, Pathway=Units!$B$89),'Default data'!E$104,"Pathway not chosen")</f>
        <v>Pathway not chosen</v>
      </c>
      <c r="P44" s="123" t="str">
        <f>IF(OR(Pathway=Units!$B$86, Pathway=Units!$B$89),'Default data'!F$104,"Pathway not chosen")</f>
        <v>Pathway not chosen</v>
      </c>
      <c r="Q44" s="123" t="str">
        <f>IF(OR(Pathway=Units!$B$86, Pathway=Units!$B$89),'Default data'!G$104,"Pathway not chosen")</f>
        <v>Pathway not chosen</v>
      </c>
    </row>
    <row r="45" spans="1:17" ht="16.5">
      <c r="B45" s="501"/>
      <c r="C45" s="50" t="s">
        <v>866</v>
      </c>
      <c r="D45" s="50" t="s">
        <v>863</v>
      </c>
      <c r="E45" s="504"/>
      <c r="F45" s="507"/>
      <c r="G45" s="49">
        <f>IF(Electrolysis!$E$110=0,"Pathway not chosen",Electrolysis!V91)</f>
        <v>0</v>
      </c>
      <c r="H45" s="128">
        <f t="shared" si="4"/>
        <v>0</v>
      </c>
      <c r="I45" s="510"/>
      <c r="J45" s="504"/>
      <c r="K45" s="48" t="e">
        <f t="shared" si="5"/>
        <v>#VALUE!</v>
      </c>
      <c r="L45" s="46" t="s">
        <v>462</v>
      </c>
      <c r="M45" s="242" t="e">
        <f>IF(Electrolysis!$E$110=0,"Pathway not chosen",IF(D45="Default",L45,K45))</f>
        <v>#VALUE!</v>
      </c>
      <c r="O45" s="123" t="str">
        <f>IF(OR(Pathway=Units!$B$86, Pathway=Units!$B$89),'Default data'!E$120,"Pathway not chosen")</f>
        <v>Pathway not chosen</v>
      </c>
      <c r="P45" s="123" t="str">
        <f>IF(OR(Pathway=Units!$B$86, Pathway=Units!$B$89),'Default data'!F$120,"Pathway not chosen")</f>
        <v>Pathway not chosen</v>
      </c>
      <c r="Q45" s="123" t="str">
        <f>IF(OR(Pathway=Units!$B$86, Pathway=Units!$B$89),'Default data'!G$120,"Pathway not chosen")</f>
        <v>Pathway not chosen</v>
      </c>
    </row>
    <row r="46" spans="1:17" ht="29.1">
      <c r="B46" s="50" t="s">
        <v>867</v>
      </c>
      <c r="C46" s="514" t="s">
        <v>868</v>
      </c>
      <c r="D46" s="405" t="s">
        <v>869</v>
      </c>
      <c r="L46" s="394" t="str">
        <f>'Typical data'!$D$390</f>
        <v>Yet to provide pressure or electricity source</v>
      </c>
      <c r="M46" s="393" t="str">
        <f>IF(Electrolysis!$E$110=0,"Pathway not chosen",L46)</f>
        <v>Yet to provide pressure or electricity source</v>
      </c>
      <c r="O46" s="123" t="s">
        <v>870</v>
      </c>
      <c r="P46" s="123" t="s">
        <v>870</v>
      </c>
      <c r="Q46" s="123" t="s">
        <v>870</v>
      </c>
    </row>
    <row r="47" spans="1:17" ht="29.1">
      <c r="B47" s="50" t="s">
        <v>871</v>
      </c>
      <c r="C47" s="515"/>
      <c r="D47" s="405" t="s">
        <v>872</v>
      </c>
      <c r="L47" s="395" t="str">
        <f>'Typical data'!$D$408</f>
        <v>Yet to provide electricity source</v>
      </c>
      <c r="M47" s="393" t="str">
        <f>IF(Electrolysis!$E$110=0,"Pathway not chosen",L47)</f>
        <v>Yet to provide electricity source</v>
      </c>
      <c r="O47" s="123" t="s">
        <v>870</v>
      </c>
      <c r="P47" s="123" t="s">
        <v>870</v>
      </c>
      <c r="Q47" s="123" t="s">
        <v>870</v>
      </c>
    </row>
    <row r="49" spans="1:17" ht="18.600000000000001">
      <c r="B49" s="75" t="s">
        <v>873</v>
      </c>
      <c r="C49" s="51"/>
      <c r="D49" s="51"/>
      <c r="E49" s="76">
        <f>PRODUCT(E40:E47)</f>
        <v>0</v>
      </c>
      <c r="F49" s="25"/>
      <c r="G49" s="25"/>
      <c r="H49" s="25"/>
      <c r="M49" s="77" t="str">
        <f>IF(COUNTIF(M40:M47,"*")&gt;0,"Pathway not chosen",SUM(M40:M47))</f>
        <v>Pathway not chosen</v>
      </c>
      <c r="N49" s="44"/>
      <c r="O49" s="123" t="str">
        <f>IF(OR(Pathway=Units!$B$86, Pathway=Units!$B$89),'Default data'!E$152,"Pathway not chosen")</f>
        <v>Pathway not chosen</v>
      </c>
      <c r="P49" s="123" t="str">
        <f>IF(OR(Pathway=Units!$B$86, Pathway=Units!$B$89),'Default data'!F$152,"Pathway not chosen")</f>
        <v>Pathway not chosen</v>
      </c>
      <c r="Q49" s="123" t="str">
        <f>IF(OR(Pathway=Units!$B$86, Pathway=Units!$B$89),'Default data'!G$152,"Pathway not chosen")</f>
        <v>Pathway not chosen</v>
      </c>
    </row>
    <row r="50" spans="1:17" ht="18.600000000000001" customHeight="1">
      <c r="B50" s="75" t="s">
        <v>874</v>
      </c>
      <c r="C50" s="51"/>
      <c r="D50" s="51"/>
      <c r="M50" s="78">
        <v>20</v>
      </c>
      <c r="O50" s="516" t="s">
        <v>885</v>
      </c>
      <c r="P50" s="517"/>
      <c r="Q50" s="518"/>
    </row>
    <row r="51" spans="1:17" ht="18.600000000000001">
      <c r="C51" s="51"/>
      <c r="D51" s="51"/>
      <c r="M51" s="425"/>
      <c r="O51" s="519"/>
      <c r="P51" s="520"/>
      <c r="Q51" s="521"/>
    </row>
    <row r="52" spans="1:17" ht="18.600000000000001">
      <c r="C52" s="51"/>
      <c r="D52" s="51"/>
      <c r="M52" s="425"/>
      <c r="O52" s="522"/>
      <c r="P52" s="523"/>
      <c r="Q52" s="524"/>
    </row>
    <row r="54" spans="1:17" s="428" customFormat="1">
      <c r="A54" s="426"/>
      <c r="B54" s="427" t="s">
        <v>886</v>
      </c>
    </row>
    <row r="55" spans="1:17" ht="30.95">
      <c r="A55" s="66"/>
    </row>
    <row r="56" spans="1:17" ht="60.95">
      <c r="B56" s="79" t="s">
        <v>847</v>
      </c>
      <c r="C56" s="79" t="s">
        <v>848</v>
      </c>
      <c r="D56" s="79" t="s">
        <v>849</v>
      </c>
      <c r="E56" s="79" t="s">
        <v>850</v>
      </c>
      <c r="F56" s="79" t="s">
        <v>851</v>
      </c>
      <c r="G56" s="79" t="s">
        <v>852</v>
      </c>
      <c r="H56" s="79" t="s">
        <v>853</v>
      </c>
      <c r="I56" s="79" t="s">
        <v>854</v>
      </c>
      <c r="J56" s="79" t="s">
        <v>855</v>
      </c>
      <c r="K56" s="79" t="s">
        <v>856</v>
      </c>
      <c r="L56" s="79" t="s">
        <v>857</v>
      </c>
      <c r="M56" s="79" t="s">
        <v>858</v>
      </c>
      <c r="O56" s="283"/>
      <c r="P56" s="283"/>
      <c r="Q56" s="283"/>
    </row>
    <row r="57" spans="1:17">
      <c r="B57" s="511" t="s">
        <v>43</v>
      </c>
      <c r="C57" s="74" t="s">
        <v>66</v>
      </c>
      <c r="D57" s="74" t="s">
        <v>863</v>
      </c>
      <c r="E57" s="502" t="str">
        <f>Electrolysis!O9</f>
        <v/>
      </c>
      <c r="F57" s="505">
        <v>1</v>
      </c>
      <c r="G57" s="49">
        <f>IF(Electrolysis!$E$111=0,"Pathway not chosen",Electrolysis!V32+Electrolysis!V40)</f>
        <v>0</v>
      </c>
      <c r="H57" s="128">
        <f>G57*$F$57</f>
        <v>0</v>
      </c>
      <c r="I57" s="508" t="str">
        <f>Electrolysis!R9</f>
        <v/>
      </c>
      <c r="J57" s="502" t="str">
        <f>I57</f>
        <v/>
      </c>
      <c r="K57" s="48" t="e">
        <f>H57*$J$57</f>
        <v>#VALUE!</v>
      </c>
      <c r="L57" s="46" t="s">
        <v>462</v>
      </c>
      <c r="M57" s="242" t="e">
        <f>IF(Electrolysis!$E$111=0,"Pathway not chosen",IF(D57="Default",L57,K57))</f>
        <v>#VALUE!</v>
      </c>
      <c r="O57" s="284"/>
      <c r="P57" s="284"/>
      <c r="Q57" s="284"/>
    </row>
    <row r="58" spans="1:17">
      <c r="B58" s="512"/>
      <c r="C58" s="74" t="s">
        <v>68</v>
      </c>
      <c r="D58" s="241" t="str">
        <f>IF(Initial_questions!E$70="", IF(Initial_questions!E$68="", "User to enter in Initial Qus", Initial_questions!E$68), Initial_questions!E$70)</f>
        <v>User to enter in Initial Qus</v>
      </c>
      <c r="E58" s="503"/>
      <c r="F58" s="506"/>
      <c r="G58" s="49">
        <f>IF(Electrolysis!$E$111=0,"Pathway not chosen",Electrolysis!V53)</f>
        <v>0</v>
      </c>
      <c r="H58" s="128">
        <f t="shared" ref="H58:H62" si="6">G58*$F$57</f>
        <v>0</v>
      </c>
      <c r="I58" s="509"/>
      <c r="J58" s="503"/>
      <c r="K58" s="48" t="e">
        <f t="shared" ref="K58:K62" si="7">H58*$J$57</f>
        <v>#VALUE!</v>
      </c>
      <c r="L58" s="48" t="str">
        <f>IF(OR(Pathway=Units!$B$87, Pathway=Units!$B$89),'Default data'!$D$57,"Pathway not chosen")</f>
        <v>Pathway not chosen</v>
      </c>
      <c r="M58" s="242" t="e">
        <f>IF(Electrolysis!$E$111=0,"Pathway not chosen",IF(D58="Default",L58,K58))</f>
        <v>#VALUE!</v>
      </c>
      <c r="O58" s="284"/>
      <c r="P58" s="284"/>
      <c r="Q58" s="284"/>
    </row>
    <row r="59" spans="1:17" ht="16.5">
      <c r="B59" s="512"/>
      <c r="C59" s="74" t="s">
        <v>862</v>
      </c>
      <c r="D59" s="74" t="s">
        <v>863</v>
      </c>
      <c r="E59" s="503"/>
      <c r="F59" s="506"/>
      <c r="G59" s="49">
        <f>IF(Electrolysis!$E$111=0,"Pathway not chosen",Electrolysis!V66)</f>
        <v>0</v>
      </c>
      <c r="H59" s="128">
        <f t="shared" si="6"/>
        <v>0</v>
      </c>
      <c r="I59" s="509"/>
      <c r="J59" s="503"/>
      <c r="K59" s="48" t="e">
        <f t="shared" si="7"/>
        <v>#VALUE!</v>
      </c>
      <c r="L59" s="46" t="s">
        <v>462</v>
      </c>
      <c r="M59" s="242" t="e">
        <f>IF(Electrolysis!$E$111=0,"Pathway not chosen",IF(D59="Default",L59,K59))</f>
        <v>#VALUE!</v>
      </c>
      <c r="O59" s="284"/>
      <c r="P59" s="284"/>
      <c r="Q59" s="284"/>
    </row>
    <row r="60" spans="1:17" ht="16.5">
      <c r="B60" s="512"/>
      <c r="C60" s="50" t="s">
        <v>864</v>
      </c>
      <c r="D60" s="74" t="s">
        <v>863</v>
      </c>
      <c r="E60" s="503"/>
      <c r="F60" s="506"/>
      <c r="G60" s="49">
        <f>IF(Electrolysis!$E$111=0,"Pathway not chosen",Electrolysis!V74)</f>
        <v>0</v>
      </c>
      <c r="H60" s="128">
        <f t="shared" si="6"/>
        <v>0</v>
      </c>
      <c r="I60" s="509"/>
      <c r="J60" s="503"/>
      <c r="K60" s="48" t="e">
        <f t="shared" si="7"/>
        <v>#VALUE!</v>
      </c>
      <c r="L60" s="46" t="s">
        <v>462</v>
      </c>
      <c r="M60" s="242" t="e">
        <f>IF(Electrolysis!$E$111=0,"Pathway not chosen",IF(D60="Default",L60,K60))</f>
        <v>#VALUE!</v>
      </c>
      <c r="O60" s="284"/>
      <c r="P60" s="284"/>
      <c r="Q60" s="284"/>
    </row>
    <row r="61" spans="1:17" ht="16.5">
      <c r="B61" s="512"/>
      <c r="C61" s="74" t="s">
        <v>865</v>
      </c>
      <c r="D61" s="74" t="s">
        <v>863</v>
      </c>
      <c r="E61" s="503"/>
      <c r="F61" s="506"/>
      <c r="G61" s="49">
        <f>IF(Electrolysis!$E$111=0,"Pathway not chosen",Electrolysis!V83)</f>
        <v>0</v>
      </c>
      <c r="H61" s="128">
        <f t="shared" si="6"/>
        <v>0</v>
      </c>
      <c r="I61" s="509"/>
      <c r="J61" s="503"/>
      <c r="K61" s="48" t="e">
        <f t="shared" si="7"/>
        <v>#VALUE!</v>
      </c>
      <c r="L61" s="46" t="s">
        <v>462</v>
      </c>
      <c r="M61" s="242" t="e">
        <f>IF(Electrolysis!$E$111=0,"Pathway not chosen",IF(D61="Default",L61,K61))</f>
        <v>#VALUE!</v>
      </c>
      <c r="O61" s="284"/>
      <c r="P61" s="284"/>
      <c r="Q61" s="284"/>
    </row>
    <row r="62" spans="1:17" ht="16.5">
      <c r="B62" s="513"/>
      <c r="C62" s="74" t="s">
        <v>866</v>
      </c>
      <c r="D62" s="74" t="s">
        <v>863</v>
      </c>
      <c r="E62" s="504"/>
      <c r="F62" s="507"/>
      <c r="G62" s="49">
        <f>IF(Electrolysis!$E$111=0,"Pathway not chosen",Electrolysis!V91)</f>
        <v>0</v>
      </c>
      <c r="H62" s="128">
        <f t="shared" si="6"/>
        <v>0</v>
      </c>
      <c r="I62" s="510"/>
      <c r="J62" s="504"/>
      <c r="K62" s="48" t="e">
        <f t="shared" si="7"/>
        <v>#VALUE!</v>
      </c>
      <c r="L62" s="46" t="s">
        <v>462</v>
      </c>
      <c r="M62" s="242" t="e">
        <f>IF(Electrolysis!$E$111=0,"Pathway not chosen",IF(D62="Default",L62,K62))</f>
        <v>#VALUE!</v>
      </c>
      <c r="O62" s="284"/>
      <c r="P62" s="284"/>
      <c r="Q62" s="284"/>
    </row>
    <row r="63" spans="1:17" ht="29.1">
      <c r="B63" s="74" t="s">
        <v>867</v>
      </c>
      <c r="C63" s="514" t="s">
        <v>868</v>
      </c>
      <c r="D63" s="406" t="s">
        <v>869</v>
      </c>
      <c r="L63" s="394" t="str">
        <f>'Typical data'!$D$390</f>
        <v>Yet to provide pressure or electricity source</v>
      </c>
      <c r="M63" s="393" t="str">
        <f>IF(Electrolysis!$E$111=0,"Pathway not chosen",L63)</f>
        <v>Yet to provide pressure or electricity source</v>
      </c>
      <c r="O63" s="284"/>
      <c r="P63" s="284"/>
      <c r="Q63" s="284"/>
    </row>
    <row r="64" spans="1:17" ht="29.1">
      <c r="B64" s="74" t="s">
        <v>871</v>
      </c>
      <c r="C64" s="515"/>
      <c r="D64" s="406" t="s">
        <v>872</v>
      </c>
      <c r="L64" s="395" t="str">
        <f>'Typical data'!$D$408</f>
        <v>Yet to provide electricity source</v>
      </c>
      <c r="M64" s="393" t="str">
        <f>IF(Electrolysis!$E$111=0,"Pathway not chosen",L64)</f>
        <v>Yet to provide electricity source</v>
      </c>
      <c r="O64" s="284"/>
      <c r="P64" s="284"/>
      <c r="Q64" s="284"/>
    </row>
    <row r="66" spans="1:17" ht="18.600000000000001">
      <c r="B66" s="75" t="s">
        <v>873</v>
      </c>
      <c r="C66" s="51"/>
      <c r="D66" s="51"/>
      <c r="E66" s="76">
        <f>PRODUCT(E57:E64)</f>
        <v>0</v>
      </c>
      <c r="F66" s="25"/>
      <c r="G66" s="25"/>
      <c r="H66" s="25"/>
      <c r="M66" s="77" t="str">
        <f>IF(COUNTIF(M57:M64,"*")&gt;0,"Pathway not chosen",SUM(M57:M64))</f>
        <v>Pathway not chosen</v>
      </c>
      <c r="N66" s="44"/>
      <c r="O66" s="284"/>
      <c r="P66" s="284"/>
      <c r="Q66" s="284"/>
    </row>
    <row r="67" spans="1:17" ht="18.600000000000001">
      <c r="B67" s="75" t="s">
        <v>874</v>
      </c>
      <c r="C67" s="51"/>
      <c r="D67" s="51"/>
      <c r="M67" s="78">
        <v>20</v>
      </c>
    </row>
    <row r="71" spans="1:17" s="211" customFormat="1">
      <c r="A71" s="339"/>
      <c r="B71" s="210" t="s">
        <v>887</v>
      </c>
    </row>
    <row r="72" spans="1:17" ht="30.95">
      <c r="A72" s="66"/>
    </row>
    <row r="73" spans="1:17" ht="60.95">
      <c r="B73" s="79" t="s">
        <v>847</v>
      </c>
      <c r="C73" s="79" t="s">
        <v>848</v>
      </c>
      <c r="D73" s="79" t="s">
        <v>849</v>
      </c>
      <c r="E73" s="79" t="s">
        <v>850</v>
      </c>
      <c r="F73" s="79" t="s">
        <v>851</v>
      </c>
      <c r="G73" s="79" t="s">
        <v>852</v>
      </c>
      <c r="H73" s="79" t="s">
        <v>853</v>
      </c>
      <c r="I73" s="79" t="s">
        <v>854</v>
      </c>
      <c r="J73" s="79" t="s">
        <v>855</v>
      </c>
      <c r="K73" s="79" t="s">
        <v>856</v>
      </c>
      <c r="L73" s="79" t="s">
        <v>857</v>
      </c>
      <c r="M73" s="79" t="s">
        <v>858</v>
      </c>
      <c r="O73" s="283"/>
      <c r="P73" s="283"/>
      <c r="Q73" s="283"/>
    </row>
    <row r="74" spans="1:17">
      <c r="B74" s="511" t="s">
        <v>43</v>
      </c>
      <c r="C74" s="74" t="s">
        <v>66</v>
      </c>
      <c r="D74" s="74" t="s">
        <v>863</v>
      </c>
      <c r="E74" s="502" t="str">
        <f>Electrolysis!O9</f>
        <v/>
      </c>
      <c r="F74" s="505">
        <v>1</v>
      </c>
      <c r="G74" s="49">
        <f>IF(Electrolysis!$E$112=0,"Pathway not chosen",Electrolysis!V36+Electrolysis!V40)</f>
        <v>0</v>
      </c>
      <c r="H74" s="128">
        <f>G74*$F$74</f>
        <v>0</v>
      </c>
      <c r="I74" s="508" t="str">
        <f>Electrolysis!R9</f>
        <v/>
      </c>
      <c r="J74" s="502" t="str">
        <f>I74</f>
        <v/>
      </c>
      <c r="K74" s="48" t="e">
        <f t="shared" ref="K74:K79" si="8">H74*$J$74</f>
        <v>#VALUE!</v>
      </c>
      <c r="L74" s="46" t="s">
        <v>462</v>
      </c>
      <c r="M74" s="242" t="e">
        <f>IF(Electrolysis!$E$112=0,"Pathway not chosen",IF(D74="Default",L74,K74))</f>
        <v>#VALUE!</v>
      </c>
      <c r="O74" s="284"/>
      <c r="P74" s="284"/>
      <c r="Q74" s="284"/>
    </row>
    <row r="75" spans="1:17">
      <c r="B75" s="512"/>
      <c r="C75" s="74" t="s">
        <v>68</v>
      </c>
      <c r="D75" s="241" t="str">
        <f>IF(Initial_questions!E$70="", IF(Initial_questions!E$68="", "User to enter in Initial Qus", Initial_questions!E$68), Initial_questions!E$70)</f>
        <v>User to enter in Initial Qus</v>
      </c>
      <c r="E75" s="503"/>
      <c r="F75" s="506"/>
      <c r="G75" s="49">
        <f>IF(Electrolysis!$E$112=0,"Pathway not chosen",Electrolysis!V53)</f>
        <v>0</v>
      </c>
      <c r="H75" s="128">
        <f t="shared" ref="H75:H79" si="9">G75*$F$74</f>
        <v>0</v>
      </c>
      <c r="I75" s="509"/>
      <c r="J75" s="503"/>
      <c r="K75" s="48" t="e">
        <f t="shared" si="8"/>
        <v>#VALUE!</v>
      </c>
      <c r="L75" s="48" t="str" cm="1">
        <f t="array" ref="L75">IF(OR(Pathway=Units!$B$88:$B$89),'Default data'!$D$57,"Pathway not chosen")</f>
        <v>Pathway not chosen</v>
      </c>
      <c r="M75" s="242" t="e">
        <f>IF(Electrolysis!$E$112=0,"Pathway not chosen",IF(D75="Default",L75,K75))</f>
        <v>#VALUE!</v>
      </c>
      <c r="O75" s="284"/>
      <c r="P75" s="284"/>
      <c r="Q75" s="284"/>
    </row>
    <row r="76" spans="1:17" ht="16.5">
      <c r="B76" s="512"/>
      <c r="C76" s="74" t="s">
        <v>862</v>
      </c>
      <c r="D76" s="74" t="s">
        <v>863</v>
      </c>
      <c r="E76" s="503"/>
      <c r="F76" s="506"/>
      <c r="G76" s="49">
        <f>IF(Electrolysis!$E$112=0,"Pathway not chosen",Electrolysis!V66)</f>
        <v>0</v>
      </c>
      <c r="H76" s="128">
        <f t="shared" si="9"/>
        <v>0</v>
      </c>
      <c r="I76" s="509"/>
      <c r="J76" s="503"/>
      <c r="K76" s="48" t="e">
        <f t="shared" si="8"/>
        <v>#VALUE!</v>
      </c>
      <c r="L76" s="46" t="s">
        <v>462</v>
      </c>
      <c r="M76" s="242" t="e">
        <f>IF(Electrolysis!$E$112=0,"Pathway not chosen",IF(D76="Default",L76,K76))</f>
        <v>#VALUE!</v>
      </c>
      <c r="O76" s="284"/>
      <c r="P76" s="284"/>
      <c r="Q76" s="284"/>
    </row>
    <row r="77" spans="1:17" ht="16.5">
      <c r="B77" s="512"/>
      <c r="C77" s="50" t="s">
        <v>864</v>
      </c>
      <c r="D77" s="74" t="s">
        <v>863</v>
      </c>
      <c r="E77" s="503"/>
      <c r="F77" s="506"/>
      <c r="G77" s="49">
        <f>IF(Electrolysis!$E$112=0,"Pathway not chosen",Electrolysis!V74)</f>
        <v>0</v>
      </c>
      <c r="H77" s="128">
        <f>G77*$F$74</f>
        <v>0</v>
      </c>
      <c r="I77" s="509"/>
      <c r="J77" s="503"/>
      <c r="K77" s="48" t="e">
        <f t="shared" si="8"/>
        <v>#VALUE!</v>
      </c>
      <c r="L77" s="46" t="s">
        <v>462</v>
      </c>
      <c r="M77" s="242" t="e">
        <f>IF(Electrolysis!$E$112=0,"Pathway not chosen",IF(D77="Default",L77,K77))</f>
        <v>#VALUE!</v>
      </c>
      <c r="O77" s="284"/>
      <c r="P77" s="284"/>
      <c r="Q77" s="284"/>
    </row>
    <row r="78" spans="1:17" ht="16.5">
      <c r="B78" s="512"/>
      <c r="C78" s="74" t="s">
        <v>865</v>
      </c>
      <c r="D78" s="74" t="s">
        <v>863</v>
      </c>
      <c r="E78" s="503"/>
      <c r="F78" s="506"/>
      <c r="G78" s="49">
        <f>IF(Electrolysis!$E$112=0,"Pathway not chosen",Electrolysis!V83)</f>
        <v>0</v>
      </c>
      <c r="H78" s="128">
        <f t="shared" si="9"/>
        <v>0</v>
      </c>
      <c r="I78" s="509"/>
      <c r="J78" s="503"/>
      <c r="K78" s="48" t="e">
        <f t="shared" si="8"/>
        <v>#VALUE!</v>
      </c>
      <c r="L78" s="46" t="s">
        <v>462</v>
      </c>
      <c r="M78" s="242" t="e">
        <f>IF(Electrolysis!$E$112=0,"Pathway not chosen",IF(D78="Default",L78,K78))</f>
        <v>#VALUE!</v>
      </c>
      <c r="O78" s="284"/>
      <c r="P78" s="284"/>
      <c r="Q78" s="284"/>
    </row>
    <row r="79" spans="1:17" ht="16.5">
      <c r="B79" s="513"/>
      <c r="C79" s="74" t="s">
        <v>866</v>
      </c>
      <c r="D79" s="74" t="s">
        <v>863</v>
      </c>
      <c r="E79" s="504"/>
      <c r="F79" s="507"/>
      <c r="G79" s="49">
        <f>IF(Electrolysis!$E$112=0,"Pathway not chosen",Electrolysis!V91)</f>
        <v>0</v>
      </c>
      <c r="H79" s="128">
        <f t="shared" si="9"/>
        <v>0</v>
      </c>
      <c r="I79" s="510"/>
      <c r="J79" s="504"/>
      <c r="K79" s="48" t="e">
        <f t="shared" si="8"/>
        <v>#VALUE!</v>
      </c>
      <c r="L79" s="46" t="s">
        <v>462</v>
      </c>
      <c r="M79" s="242" t="e">
        <f>IF(Electrolysis!$E$112=0,"Pathway not chosen",IF(D79="Default",L79,K79))</f>
        <v>#VALUE!</v>
      </c>
      <c r="O79" s="284"/>
      <c r="P79" s="284"/>
      <c r="Q79" s="284"/>
    </row>
    <row r="80" spans="1:17" ht="29.1">
      <c r="B80" s="74" t="s">
        <v>867</v>
      </c>
      <c r="C80" s="514" t="s">
        <v>868</v>
      </c>
      <c r="D80" s="406" t="s">
        <v>869</v>
      </c>
      <c r="L80" s="394" t="str">
        <f>'Typical data'!$D$390</f>
        <v>Yet to provide pressure or electricity source</v>
      </c>
      <c r="M80" s="393" t="str">
        <f>IF(Electrolysis!$E$112=0,"Pathway not chosen",L80)</f>
        <v>Yet to provide pressure or electricity source</v>
      </c>
      <c r="O80" s="284"/>
      <c r="P80" s="284"/>
      <c r="Q80" s="284"/>
    </row>
    <row r="81" spans="2:17" ht="29.1">
      <c r="B81" s="74" t="s">
        <v>871</v>
      </c>
      <c r="C81" s="515"/>
      <c r="D81" s="406" t="s">
        <v>872</v>
      </c>
      <c r="L81" s="395" t="str">
        <f>'Typical data'!$D$408</f>
        <v>Yet to provide electricity source</v>
      </c>
      <c r="M81" s="393" t="str">
        <f>IF(Electrolysis!$E$112=0,"Pathway not chosen",L81)</f>
        <v>Yet to provide electricity source</v>
      </c>
      <c r="O81" s="284"/>
      <c r="P81" s="284"/>
      <c r="Q81" s="284"/>
    </row>
    <row r="83" spans="2:17" ht="18.600000000000001">
      <c r="B83" s="75" t="s">
        <v>873</v>
      </c>
      <c r="C83" s="51"/>
      <c r="D83" s="51"/>
      <c r="E83" s="76">
        <f>PRODUCT(E74:E81)</f>
        <v>0</v>
      </c>
      <c r="F83" s="25"/>
      <c r="G83" s="25"/>
      <c r="H83" s="25"/>
      <c r="M83" s="77" t="str">
        <f>IF(COUNTIF(M74:M81,"*")&gt;0,"Pathway not chosen",SUM(M74:M81))</f>
        <v>Pathway not chosen</v>
      </c>
      <c r="N83" s="44"/>
      <c r="O83" s="284"/>
      <c r="P83" s="284"/>
      <c r="Q83" s="284"/>
    </row>
    <row r="84" spans="2:17" ht="18.600000000000001">
      <c r="B84" s="75" t="s">
        <v>874</v>
      </c>
      <c r="C84" s="51"/>
      <c r="D84" s="51"/>
      <c r="M84" s="78">
        <v>20</v>
      </c>
    </row>
  </sheetData>
  <mergeCells count="33">
    <mergeCell ref="B57:B62"/>
    <mergeCell ref="E57:E62"/>
    <mergeCell ref="F57:F62"/>
    <mergeCell ref="I57:I62"/>
    <mergeCell ref="J57:J62"/>
    <mergeCell ref="C80:C81"/>
    <mergeCell ref="O33:Q35"/>
    <mergeCell ref="O16:Q18"/>
    <mergeCell ref="J23:J28"/>
    <mergeCell ref="C29:C30"/>
    <mergeCell ref="J40:J45"/>
    <mergeCell ref="C46:C47"/>
    <mergeCell ref="C63:C64"/>
    <mergeCell ref="O50:Q52"/>
    <mergeCell ref="B74:B79"/>
    <mergeCell ref="E74:E79"/>
    <mergeCell ref="F74:F79"/>
    <mergeCell ref="I74:I79"/>
    <mergeCell ref="J74:J79"/>
    <mergeCell ref="J6:J11"/>
    <mergeCell ref="C12:C13"/>
    <mergeCell ref="B23:B28"/>
    <mergeCell ref="E23:E28"/>
    <mergeCell ref="F23:F28"/>
    <mergeCell ref="I23:I28"/>
    <mergeCell ref="B40:B45"/>
    <mergeCell ref="E40:E45"/>
    <mergeCell ref="F40:F45"/>
    <mergeCell ref="I40:I45"/>
    <mergeCell ref="B6:B11"/>
    <mergeCell ref="E6:E11"/>
    <mergeCell ref="F6:F11"/>
    <mergeCell ref="I6:I11"/>
  </mergeCells>
  <pageMargins left="0" right="0" top="0" bottom="0" header="0" footer="0"/>
  <pageSetup paperSize="9" orientation="portrait" r:id="rId1"/>
  <headerFooter>
    <oddHeader>&amp;C&amp;"Aptos"&amp;10&amp;K000000 OFFICIAL&amp;1#_x000D_</oddHeader>
    <oddFooter>&amp;C_x000D_&amp;1#&amp;"Aptos"&amp;10&amp;K000000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0B8AC-67A7-4D9D-AAE4-268DFA1F1815}">
  <sheetPr codeName="Sheet19">
    <tabColor theme="8"/>
  </sheetPr>
  <dimension ref="A1:AC278"/>
  <sheetViews>
    <sheetView showGridLines="0" zoomScaleNormal="100" workbookViewId="0"/>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3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3" customWidth="1"/>
    <col min="15" max="15" width="20.5703125" customWidth="1"/>
    <col min="16" max="16" width="8.85546875" style="12" customWidth="1"/>
    <col min="17" max="17" width="18.85546875" style="12" customWidth="1"/>
    <col min="18" max="18" width="17.5703125" style="12" customWidth="1"/>
    <col min="19" max="20" width="20.7109375" style="13" customWidth="1"/>
    <col min="21" max="21" width="22.7109375" style="13" customWidth="1"/>
    <col min="22" max="22" width="20.28515625" style="33" customWidth="1"/>
    <col min="23" max="23" width="7.140625" style="12" customWidth="1"/>
    <col min="24" max="24" width="26" style="12" customWidth="1"/>
    <col min="26" max="16384" width="7.140625" style="12"/>
  </cols>
  <sheetData>
    <row r="1" spans="1:28" ht="31.9" customHeight="1">
      <c r="A1" s="66"/>
      <c r="E1" s="194"/>
    </row>
    <row r="2" spans="1:28" ht="20.45" customHeight="1">
      <c r="E2" s="194"/>
      <c r="I2" s="525" t="s">
        <v>888</v>
      </c>
      <c r="J2" s="525"/>
      <c r="K2" s="526"/>
      <c r="L2" s="33"/>
      <c r="M2" s="33"/>
    </row>
    <row r="3" spans="1:28" ht="15" customHeight="1">
      <c r="E3" s="194"/>
    </row>
    <row r="4" spans="1:28" ht="15.6" customHeight="1" thickBot="1">
      <c r="B4" s="3"/>
      <c r="C4" s="3"/>
      <c r="D4" s="3"/>
      <c r="E4" s="353"/>
      <c r="F4" s="3"/>
      <c r="G4" s="3"/>
      <c r="H4" s="1"/>
      <c r="I4" s="1"/>
      <c r="J4" s="1"/>
      <c r="K4" s="1"/>
      <c r="L4" s="1"/>
      <c r="M4" s="1"/>
      <c r="N4" s="31"/>
      <c r="O4" s="1"/>
      <c r="P4" s="1"/>
      <c r="Q4" s="1"/>
      <c r="R4" s="3"/>
      <c r="S4" s="1"/>
      <c r="T4" s="1"/>
      <c r="U4" s="1"/>
      <c r="V4" s="31"/>
      <c r="W4" s="31"/>
      <c r="X4" s="31"/>
    </row>
    <row r="5" spans="1:28" s="19" customFormat="1" ht="94.15" customHeight="1" thickTop="1" thickBot="1">
      <c r="B5" s="11" t="s">
        <v>889</v>
      </c>
      <c r="C5" s="11" t="s">
        <v>890</v>
      </c>
      <c r="D5" s="11" t="s">
        <v>33</v>
      </c>
      <c r="E5" s="354" t="s">
        <v>782</v>
      </c>
      <c r="F5" s="11" t="s">
        <v>891</v>
      </c>
      <c r="G5" s="11" t="s">
        <v>892</v>
      </c>
      <c r="H5" s="11" t="s">
        <v>893</v>
      </c>
      <c r="I5" s="11" t="s">
        <v>894</v>
      </c>
      <c r="J5" s="11" t="s">
        <v>895</v>
      </c>
      <c r="K5" s="11" t="s">
        <v>896</v>
      </c>
      <c r="L5" s="11" t="s">
        <v>897</v>
      </c>
      <c r="M5" s="11" t="s">
        <v>898</v>
      </c>
      <c r="N5" s="391" t="s">
        <v>899</v>
      </c>
      <c r="O5" s="11" t="s">
        <v>900</v>
      </c>
      <c r="P5" s="11"/>
      <c r="Q5" s="391" t="s">
        <v>901</v>
      </c>
      <c r="R5" s="11" t="s">
        <v>902</v>
      </c>
      <c r="S5" s="11" t="s">
        <v>903</v>
      </c>
      <c r="T5" s="11" t="s">
        <v>904</v>
      </c>
      <c r="U5" s="11" t="s">
        <v>905</v>
      </c>
      <c r="V5" s="11" t="s">
        <v>906</v>
      </c>
      <c r="W5" s="11"/>
      <c r="X5" s="11" t="s">
        <v>907</v>
      </c>
      <c r="Y5"/>
    </row>
    <row r="6" spans="1:28" ht="15" thickTop="1">
      <c r="O6" s="12"/>
    </row>
    <row r="7" spans="1:28">
      <c r="B7" s="111" t="s">
        <v>908</v>
      </c>
      <c r="C7" s="111"/>
      <c r="D7" s="111"/>
      <c r="E7" s="248"/>
      <c r="F7" s="111"/>
      <c r="G7" s="111"/>
      <c r="H7" s="111"/>
      <c r="I7" s="111"/>
      <c r="J7" s="111"/>
      <c r="K7" s="111"/>
      <c r="L7" s="111"/>
      <c r="M7" s="111"/>
      <c r="N7" s="231"/>
      <c r="R7"/>
      <c r="S7"/>
      <c r="T7"/>
      <c r="U7" s="18"/>
      <c r="V7" s="34"/>
      <c r="Y7" s="12"/>
    </row>
    <row r="8" spans="1:28">
      <c r="B8" s="16" t="s">
        <v>909</v>
      </c>
      <c r="C8" s="140" t="s">
        <v>910</v>
      </c>
      <c r="D8" s="81"/>
      <c r="E8" s="377"/>
      <c r="F8" s="82"/>
      <c r="G8" s="83"/>
      <c r="H8" s="83"/>
      <c r="I8" s="83"/>
      <c r="J8" s="377"/>
      <c r="K8" s="378"/>
      <c r="L8" s="378"/>
      <c r="M8" s="378"/>
      <c r="N8" s="392"/>
      <c r="O8" s="12"/>
      <c r="S8" s="34"/>
      <c r="T8" s="34"/>
      <c r="U8" s="34"/>
      <c r="V8" s="34"/>
      <c r="Y8" s="12"/>
    </row>
    <row r="9" spans="1:28" ht="14.45" customHeight="1">
      <c r="B9" s="16" t="s">
        <v>911</v>
      </c>
      <c r="C9" s="15" t="s">
        <v>912</v>
      </c>
      <c r="D9" s="15" t="s">
        <v>345</v>
      </c>
      <c r="E9" s="30">
        <f>Hydrogen_flow</f>
        <v>0</v>
      </c>
      <c r="F9" s="21"/>
      <c r="G9" s="21"/>
      <c r="H9" s="21"/>
      <c r="I9" s="21"/>
      <c r="J9" s="30">
        <v>120</v>
      </c>
      <c r="K9" s="234"/>
      <c r="L9" s="390">
        <v>0</v>
      </c>
      <c r="M9" s="234"/>
      <c r="N9" s="189">
        <f t="shared" ref="N9:N17" si="0">IF($D9="MWh/yr (LHV)",$E9,$J9*$E9*(1-$L9)/Conversion_kWh_to_MJ)</f>
        <v>0</v>
      </c>
      <c r="O9" s="190" t="str">
        <f>IFERROR(N9/SUM(N21:N38),"")</f>
        <v/>
      </c>
      <c r="Q9" s="411">
        <f>IF($D9="MWh/yr (LHV)",$E9,$E9*MAX(0, $J9*(1-$L9)-2.441*$L9)/Conversion_kWh_to_MJ)</f>
        <v>0</v>
      </c>
      <c r="R9" s="191" t="str">
        <f>IFERROR(Q9/(SUM($Q$9:$Q$13)),"")</f>
        <v/>
      </c>
      <c r="S9" s="35"/>
      <c r="T9" s="73"/>
      <c r="U9" s="73"/>
      <c r="V9"/>
      <c r="X9" s="21"/>
      <c r="Y9" s="12"/>
    </row>
    <row r="10" spans="1:28">
      <c r="B10" s="141" t="s">
        <v>913</v>
      </c>
      <c r="C10" s="139" t="s">
        <v>914</v>
      </c>
      <c r="D10" s="135" t="s">
        <v>364</v>
      </c>
      <c r="E10" s="234"/>
      <c r="F10" s="21"/>
      <c r="G10" s="21"/>
      <c r="H10" s="20"/>
      <c r="I10" s="20"/>
      <c r="J10" s="232"/>
      <c r="K10" s="232"/>
      <c r="L10" s="232"/>
      <c r="M10" s="232"/>
      <c r="N10" s="189">
        <f t="shared" si="0"/>
        <v>0</v>
      </c>
      <c r="O10" s="19"/>
      <c r="Q10" s="411">
        <f>IF($D10="MWh/yr (LHV)",$E10,$E10*MAX(0, $J10*(1-$L10)-2.441*$L10)/Conversion_kWh_to_MJ)</f>
        <v>0</v>
      </c>
      <c r="R10" s="191" t="str">
        <f t="shared" ref="R10:R13" si="1">IFERROR(Q10/(SUM($Q$9:$Q$13)),"")</f>
        <v/>
      </c>
      <c r="S10" s="369"/>
      <c r="T10" s="73"/>
      <c r="U10" s="73"/>
      <c r="V10"/>
      <c r="W10" s="22"/>
      <c r="X10" s="21"/>
      <c r="Y10" s="12"/>
    </row>
    <row r="11" spans="1:28" ht="13.9" customHeight="1">
      <c r="B11" s="141" t="s">
        <v>913</v>
      </c>
      <c r="C11" s="139" t="s">
        <v>915</v>
      </c>
      <c r="D11" s="135" t="s">
        <v>345</v>
      </c>
      <c r="E11" s="234"/>
      <c r="F11" s="21"/>
      <c r="G11" s="21"/>
      <c r="H11" s="20"/>
      <c r="I11" s="20"/>
      <c r="J11" s="232"/>
      <c r="K11" s="232"/>
      <c r="L11" s="232"/>
      <c r="M11" s="232"/>
      <c r="N11" s="189">
        <f t="shared" si="0"/>
        <v>0</v>
      </c>
      <c r="O11" s="12"/>
      <c r="P11" s="143"/>
      <c r="Q11" s="411">
        <f>IF($D11="MWh/yr (LHV)",$E11,$E11*MAX(0, $J11*(1-$L11)-2.441*$L11)/Conversion_kWh_to_MJ)</f>
        <v>0</v>
      </c>
      <c r="R11" s="191" t="str">
        <f t="shared" si="1"/>
        <v/>
      </c>
      <c r="S11" s="35"/>
      <c r="T11" s="370"/>
      <c r="U11" s="370"/>
      <c r="V11" s="67"/>
      <c r="W11" s="22"/>
      <c r="X11" s="21"/>
      <c r="Y11" s="12"/>
    </row>
    <row r="12" spans="1:28" ht="14.45" customHeight="1">
      <c r="B12" s="141" t="s">
        <v>913</v>
      </c>
      <c r="C12" s="139" t="s">
        <v>916</v>
      </c>
      <c r="D12" s="135" t="s">
        <v>345</v>
      </c>
      <c r="E12" s="234"/>
      <c r="F12" s="21"/>
      <c r="G12" s="21"/>
      <c r="H12" s="20"/>
      <c r="I12" s="20"/>
      <c r="J12" s="232"/>
      <c r="K12" s="232"/>
      <c r="L12" s="232"/>
      <c r="M12" s="232"/>
      <c r="N12" s="189">
        <f t="shared" si="0"/>
        <v>0</v>
      </c>
      <c r="O12" s="12"/>
      <c r="P12" s="143"/>
      <c r="Q12" s="411">
        <f>IF($D12="MWh/yr (LHV)",$E12,$E12*MAX(0, $J12*(1-$L12)-2.441*$L12)/Conversion_kWh_to_MJ)</f>
        <v>0</v>
      </c>
      <c r="R12" s="191" t="str">
        <f t="shared" si="1"/>
        <v/>
      </c>
      <c r="S12" s="34"/>
      <c r="T12" s="34"/>
      <c r="U12" s="34"/>
      <c r="V12" s="34"/>
      <c r="X12" s="21"/>
      <c r="Y12" s="12"/>
    </row>
    <row r="13" spans="1:28" ht="14.45" customHeight="1">
      <c r="B13" s="141" t="s">
        <v>913</v>
      </c>
      <c r="C13" s="139" t="s">
        <v>917</v>
      </c>
      <c r="D13" s="135" t="s">
        <v>345</v>
      </c>
      <c r="E13" s="234"/>
      <c r="F13" s="21"/>
      <c r="G13" s="21"/>
      <c r="H13" s="20"/>
      <c r="I13" s="20"/>
      <c r="J13" s="232"/>
      <c r="K13" s="232"/>
      <c r="L13" s="232"/>
      <c r="M13" s="232"/>
      <c r="N13" s="189">
        <f t="shared" si="0"/>
        <v>0</v>
      </c>
      <c r="O13" s="12"/>
      <c r="P13" s="143"/>
      <c r="Q13" s="411">
        <f>IF($D13="MWh/yr (LHV)",$E13,$E13*MAX(0, $J13*(1-$L13)-2.441*$L13)/Conversion_kWh_to_MJ)</f>
        <v>0</v>
      </c>
      <c r="R13" s="191" t="str">
        <f t="shared" si="1"/>
        <v/>
      </c>
      <c r="S13" s="34"/>
      <c r="T13" s="33"/>
      <c r="U13" s="33"/>
      <c r="X13" s="21"/>
      <c r="Y13" s="12"/>
    </row>
    <row r="14" spans="1:28" s="14" customFormat="1" ht="14.45" customHeight="1">
      <c r="B14" s="141" t="s">
        <v>918</v>
      </c>
      <c r="C14" s="139" t="s">
        <v>919</v>
      </c>
      <c r="D14" s="135" t="s">
        <v>345</v>
      </c>
      <c r="E14" s="234"/>
      <c r="F14" s="21"/>
      <c r="G14" s="21"/>
      <c r="H14" s="20"/>
      <c r="I14" s="20"/>
      <c r="J14" s="232"/>
      <c r="K14" s="232"/>
      <c r="L14" s="232"/>
      <c r="M14" s="232"/>
      <c r="N14" s="189">
        <f t="shared" si="0"/>
        <v>0</v>
      </c>
      <c r="O14" s="12"/>
      <c r="P14" s="143"/>
      <c r="Q14" s="143"/>
      <c r="R14" s="12"/>
      <c r="S14" s="80"/>
      <c r="T14" s="84"/>
      <c r="U14" s="84"/>
      <c r="W14" s="22"/>
      <c r="X14" s="21"/>
      <c r="Y14" s="22"/>
      <c r="Z14" s="35"/>
      <c r="AB14" s="12"/>
    </row>
    <row r="15" spans="1:28" s="14" customFormat="1" ht="14.45" customHeight="1">
      <c r="B15" s="141" t="s">
        <v>918</v>
      </c>
      <c r="C15" s="139" t="s">
        <v>920</v>
      </c>
      <c r="D15" s="135" t="s">
        <v>345</v>
      </c>
      <c r="E15" s="234"/>
      <c r="F15" s="21"/>
      <c r="G15" s="21"/>
      <c r="H15" s="20"/>
      <c r="I15" s="20"/>
      <c r="J15" s="232"/>
      <c r="K15" s="232"/>
      <c r="L15" s="232"/>
      <c r="M15" s="232"/>
      <c r="N15" s="189">
        <f t="shared" si="0"/>
        <v>0</v>
      </c>
      <c r="O15" s="12"/>
      <c r="P15"/>
      <c r="Q15"/>
      <c r="R15"/>
      <c r="S15" s="80"/>
      <c r="T15" s="73"/>
      <c r="U15" s="73"/>
      <c r="V15"/>
      <c r="W15" s="22"/>
      <c r="X15" s="21"/>
      <c r="Y15" s="22"/>
      <c r="Z15" s="35"/>
      <c r="AB15" s="12"/>
    </row>
    <row r="16" spans="1:28" s="14" customFormat="1">
      <c r="B16" s="141" t="s">
        <v>921</v>
      </c>
      <c r="C16" s="139" t="s">
        <v>922</v>
      </c>
      <c r="D16" s="135" t="s">
        <v>345</v>
      </c>
      <c r="E16" s="234"/>
      <c r="F16" s="21"/>
      <c r="G16" s="21"/>
      <c r="H16" s="20"/>
      <c r="I16" s="358"/>
      <c r="J16" s="232"/>
      <c r="K16" s="232"/>
      <c r="L16" s="232"/>
      <c r="M16" s="232"/>
      <c r="N16" s="189">
        <f t="shared" si="0"/>
        <v>0</v>
      </c>
      <c r="O16" s="12"/>
      <c r="P16"/>
      <c r="Q16"/>
      <c r="R16"/>
      <c r="S16" s="80"/>
      <c r="T16" s="73"/>
      <c r="U16" s="73"/>
      <c r="V16"/>
      <c r="X16" s="21"/>
    </row>
    <row r="17" spans="1:29" s="14" customFormat="1">
      <c r="B17" s="141" t="s">
        <v>921</v>
      </c>
      <c r="C17" s="139" t="s">
        <v>923</v>
      </c>
      <c r="D17" s="135" t="s">
        <v>345</v>
      </c>
      <c r="E17" s="234"/>
      <c r="F17" s="21"/>
      <c r="G17" s="21"/>
      <c r="H17" s="20"/>
      <c r="I17" s="358"/>
      <c r="J17" s="232"/>
      <c r="K17" s="232"/>
      <c r="L17" s="232"/>
      <c r="M17" s="232"/>
      <c r="N17" s="189">
        <f t="shared" si="0"/>
        <v>0</v>
      </c>
      <c r="O17" s="12"/>
      <c r="P17"/>
      <c r="Q17"/>
      <c r="R17"/>
      <c r="S17" s="80"/>
      <c r="T17" s="85"/>
      <c r="U17" s="85"/>
      <c r="V17" s="19"/>
      <c r="X17" s="21"/>
    </row>
    <row r="18" spans="1:29">
      <c r="B18" s="55"/>
      <c r="C18" s="56"/>
      <c r="D18" s="64"/>
      <c r="E18" s="59"/>
      <c r="F18" s="57"/>
      <c r="G18" s="65"/>
      <c r="H18" s="58"/>
      <c r="I18" s="58"/>
      <c r="J18" s="59"/>
      <c r="K18" s="59"/>
      <c r="L18" s="59"/>
      <c r="M18" s="59"/>
      <c r="N18" s="59"/>
      <c r="O18" s="12"/>
      <c r="S18" s="34"/>
      <c r="T18" s="34"/>
      <c r="U18" s="34"/>
      <c r="V18" s="12"/>
      <c r="X18" s="62"/>
      <c r="Y18" s="12"/>
    </row>
    <row r="19" spans="1:29" ht="30.95">
      <c r="B19" s="143" t="str">
        <f>IF(AND(GHG_ELECTROLYSIS!$D$6="Default",Master_Switch="On"),"Default data selected for the category below, move to the next category of the step","")</f>
        <v/>
      </c>
      <c r="C19" s="56"/>
      <c r="D19" s="64"/>
      <c r="E19" s="59"/>
      <c r="F19" s="57"/>
      <c r="G19" s="65"/>
      <c r="H19" s="58"/>
      <c r="I19" s="58"/>
      <c r="J19" s="59"/>
      <c r="K19" s="59"/>
      <c r="L19" s="59"/>
      <c r="M19" s="59"/>
      <c r="N19" s="59"/>
      <c r="O19" s="12"/>
      <c r="S19" s="34"/>
      <c r="T19" s="34"/>
      <c r="U19" s="34"/>
      <c r="V19" s="292" t="s">
        <v>924</v>
      </c>
      <c r="X19" s="62"/>
      <c r="Y19" s="12"/>
    </row>
    <row r="20" spans="1:29">
      <c r="A20" s="19"/>
      <c r="B20" s="111" t="s">
        <v>925</v>
      </c>
      <c r="C20" s="196"/>
      <c r="D20" s="196"/>
      <c r="E20" s="379"/>
      <c r="F20" s="195"/>
      <c r="G20" s="195"/>
      <c r="H20" s="112"/>
      <c r="I20" s="112"/>
      <c r="J20" s="379"/>
      <c r="K20" s="379"/>
      <c r="L20" s="379"/>
      <c r="M20" s="379"/>
      <c r="N20" s="379"/>
      <c r="O20" s="112"/>
      <c r="P20" s="113"/>
      <c r="Q20" s="113"/>
      <c r="R20" s="113"/>
      <c r="S20" s="371"/>
      <c r="T20" s="371"/>
      <c r="U20" s="371"/>
      <c r="V20" s="114">
        <f>SUM(V21:V21)</f>
        <v>0</v>
      </c>
      <c r="W20" s="19"/>
      <c r="X20" s="19"/>
      <c r="Y20" s="19"/>
      <c r="Z20" s="19"/>
      <c r="AA20" s="19"/>
      <c r="AB20" s="19"/>
      <c r="AC20" s="19"/>
    </row>
    <row r="21" spans="1:29">
      <c r="A21" s="19"/>
      <c r="B21" s="141" t="s">
        <v>926</v>
      </c>
      <c r="C21" s="139" t="s">
        <v>927</v>
      </c>
      <c r="D21" s="135" t="s">
        <v>364</v>
      </c>
      <c r="E21" s="30" t="str">
        <f>Initial_questions!E27</f>
        <v>Enter annual usage</v>
      </c>
      <c r="F21" s="21"/>
      <c r="G21" s="21"/>
      <c r="H21" s="21"/>
      <c r="I21" s="21"/>
      <c r="J21" s="234"/>
      <c r="K21" s="234"/>
      <c r="L21" s="234"/>
      <c r="M21" s="234"/>
      <c r="N21" s="419" t="str">
        <f>IF($D21="MWh/yr (LHV)",$E21,$J21*$E21*(1-$L21)/Conversion_kWh_to_MJ)</f>
        <v>Enter annual usage</v>
      </c>
      <c r="O21" s="19"/>
      <c r="P21" s="19"/>
      <c r="Q21" s="19"/>
      <c r="R21" s="19"/>
      <c r="S21" s="372"/>
      <c r="T21" s="230">
        <f>AVERAGE('Typical data'!D136:D138)</f>
        <v>0</v>
      </c>
      <c r="U21" s="230" t="s">
        <v>928</v>
      </c>
      <c r="V21" s="275" t="str">
        <f>IF(E108&lt;&gt;0,IFERROR(IF(D21="tonnes/yr", $S21*$E21/($N$9*3.6*$E$108), $T21*3.6*$E21/($N$9*3.6*$E$108)), "Unfilled fields to left"),"Electricity source not used")</f>
        <v>Unfilled fields to left</v>
      </c>
      <c r="W21" s="19"/>
      <c r="X21" s="21"/>
      <c r="Y21" s="19"/>
      <c r="Z21" s="19"/>
      <c r="AA21" s="19"/>
      <c r="AB21" s="19"/>
      <c r="AC21" s="19"/>
    </row>
    <row r="22" spans="1:29">
      <c r="A22" s="19"/>
      <c r="C22" s="19"/>
      <c r="D22" s="19"/>
      <c r="E22" s="398"/>
      <c r="F22" s="17"/>
      <c r="G22" s="17"/>
      <c r="H22" s="17"/>
      <c r="I22" s="17"/>
      <c r="J22" s="108"/>
      <c r="K22" s="108"/>
      <c r="L22" s="108"/>
      <c r="M22" s="108"/>
      <c r="N22" s="85"/>
      <c r="O22" s="19"/>
      <c r="P22" s="19"/>
      <c r="Q22" s="19"/>
      <c r="R22" s="19"/>
      <c r="S22" s="85"/>
      <c r="T22" s="85"/>
      <c r="U22" s="85"/>
      <c r="V22" s="19"/>
      <c r="W22" s="19"/>
      <c r="X22" s="19"/>
      <c r="Y22" s="19"/>
      <c r="Z22" s="19"/>
      <c r="AA22" s="19"/>
      <c r="AB22" s="19"/>
      <c r="AC22" s="19"/>
    </row>
    <row r="23" spans="1:29" ht="30.95">
      <c r="A23" s="19"/>
      <c r="B23" s="143" t="str">
        <f>IF(AND(GHG_ELECTROLYSIS!$D$23="Default",Master_Switch="On"),"Default data selected for the category below, move to the next category of the step","")</f>
        <v/>
      </c>
      <c r="C23" s="199"/>
      <c r="D23" s="64"/>
      <c r="E23" s="373"/>
      <c r="F23" s="65"/>
      <c r="G23" s="65"/>
      <c r="H23" s="197"/>
      <c r="I23" s="197"/>
      <c r="J23" s="193"/>
      <c r="K23" s="193"/>
      <c r="L23" s="193"/>
      <c r="M23" s="193"/>
      <c r="N23" s="381"/>
      <c r="O23" s="19"/>
      <c r="P23" s="19"/>
      <c r="Q23" s="19"/>
      <c r="R23" s="19"/>
      <c r="S23" s="34"/>
      <c r="T23" s="34"/>
      <c r="U23" s="34"/>
      <c r="V23" s="292" t="s">
        <v>929</v>
      </c>
      <c r="W23" s="19"/>
      <c r="X23" s="198"/>
      <c r="Y23" s="19"/>
      <c r="Z23" s="19"/>
      <c r="AA23" s="19"/>
      <c r="AB23" s="19"/>
      <c r="AC23" s="19"/>
    </row>
    <row r="24" spans="1:29">
      <c r="A24" s="19"/>
      <c r="B24" s="111" t="s">
        <v>930</v>
      </c>
      <c r="C24" s="196"/>
      <c r="D24" s="196"/>
      <c r="E24" s="380"/>
      <c r="F24" s="195"/>
      <c r="G24" s="195"/>
      <c r="H24" s="112"/>
      <c r="I24" s="112"/>
      <c r="J24" s="379"/>
      <c r="K24" s="379"/>
      <c r="L24" s="379"/>
      <c r="M24" s="379"/>
      <c r="N24" s="420"/>
      <c r="O24" s="112"/>
      <c r="P24" s="113"/>
      <c r="Q24" s="113"/>
      <c r="R24" s="113"/>
      <c r="S24" s="371"/>
      <c r="T24" s="371"/>
      <c r="U24" s="371"/>
      <c r="V24" s="114">
        <f>SUM(V25:V25)</f>
        <v>0</v>
      </c>
      <c r="W24" s="19"/>
      <c r="X24" s="19"/>
      <c r="Y24" s="19"/>
      <c r="Z24" s="19"/>
      <c r="AA24" s="19"/>
      <c r="AB24" s="19"/>
      <c r="AC24" s="19"/>
    </row>
    <row r="25" spans="1:29">
      <c r="A25" s="19"/>
      <c r="B25" s="141" t="s">
        <v>926</v>
      </c>
      <c r="C25" s="139" t="s">
        <v>931</v>
      </c>
      <c r="D25" s="135" t="s">
        <v>364</v>
      </c>
      <c r="E25" s="30" t="str">
        <f>Initial_questions!E28</f>
        <v>Enter annual usage</v>
      </c>
      <c r="F25" s="21"/>
      <c r="G25" s="21"/>
      <c r="H25" s="21"/>
      <c r="I25" s="21"/>
      <c r="J25" s="234"/>
      <c r="K25" s="234"/>
      <c r="L25" s="234"/>
      <c r="M25" s="234"/>
      <c r="N25" s="419" t="str">
        <f>IF($D25="MWh/yr (LHV)",$E25,$J25*$E25*(1-$L25)/Conversion_kWh_to_MJ)</f>
        <v>Enter annual usage</v>
      </c>
      <c r="O25" s="19"/>
      <c r="P25" s="19"/>
      <c r="Q25" s="19"/>
      <c r="R25" s="19"/>
      <c r="S25" s="372"/>
      <c r="T25" s="230" t="e">
        <f>Initial_questions!$E$32*1/Conversion_kWh_to_MJ</f>
        <v>#VALUE!</v>
      </c>
      <c r="U25" s="230" t="s">
        <v>932</v>
      </c>
      <c r="V25" s="275" t="str">
        <f>IF(E109&lt;&gt;0,IFERROR(IF(D25="tonnes/yr", $S25*$E25/($N$9*3.6*$E$109), $T25*3.6*$E25/($N$9*3.6*$E$109)), "Unfilled fields to left"),"Electricity source not used")</f>
        <v>Unfilled fields to left</v>
      </c>
      <c r="W25" s="19"/>
      <c r="X25" s="21"/>
      <c r="Y25" s="19"/>
      <c r="Z25" s="19"/>
      <c r="AA25" s="19"/>
      <c r="AB25" s="19"/>
      <c r="AC25" s="19"/>
    </row>
    <row r="26" spans="1:29">
      <c r="C26" s="56"/>
      <c r="D26" s="56"/>
      <c r="E26" s="388"/>
      <c r="F26" s="57"/>
      <c r="G26" s="57"/>
      <c r="H26" s="58"/>
      <c r="I26" s="359"/>
      <c r="J26" s="59"/>
      <c r="K26" s="59"/>
      <c r="L26" s="59"/>
      <c r="M26" s="59"/>
      <c r="N26" s="59"/>
      <c r="O26" s="12"/>
      <c r="S26" s="61"/>
      <c r="T26" s="59"/>
      <c r="U26" s="59"/>
      <c r="V26" s="12"/>
      <c r="X26" s="60"/>
      <c r="Y26" s="12"/>
    </row>
    <row r="27" spans="1:29" s="19" customFormat="1" ht="30.95">
      <c r="B27" s="143" t="str">
        <f>IF(AND(GHG_ELECTROLYSIS!$D$40="Default",Master_Switch="On"),"Default data selected for the category below, move to the next category of the step","")</f>
        <v/>
      </c>
      <c r="C27" s="199"/>
      <c r="D27" s="64"/>
      <c r="E27" s="373"/>
      <c r="F27" s="65"/>
      <c r="G27" s="65"/>
      <c r="H27" s="197"/>
      <c r="I27" s="197"/>
      <c r="J27" s="193"/>
      <c r="K27" s="193"/>
      <c r="L27" s="193"/>
      <c r="M27" s="193"/>
      <c r="N27" s="193"/>
      <c r="S27" s="34"/>
      <c r="T27" s="34"/>
      <c r="U27" s="34"/>
      <c r="V27" s="292" t="s">
        <v>933</v>
      </c>
      <c r="X27" s="198"/>
    </row>
    <row r="28" spans="1:29" s="19" customFormat="1">
      <c r="B28" s="111" t="s">
        <v>934</v>
      </c>
      <c r="C28" s="196"/>
      <c r="D28" s="196"/>
      <c r="E28" s="380"/>
      <c r="F28" s="195"/>
      <c r="G28" s="195"/>
      <c r="H28" s="112"/>
      <c r="I28" s="112"/>
      <c r="J28" s="379"/>
      <c r="K28" s="379"/>
      <c r="L28" s="379"/>
      <c r="M28" s="379"/>
      <c r="N28" s="379"/>
      <c r="O28" s="112"/>
      <c r="P28" s="113"/>
      <c r="Q28" s="113"/>
      <c r="R28" s="113"/>
      <c r="S28" s="371"/>
      <c r="T28" s="371"/>
      <c r="U28" s="371"/>
      <c r="V28" s="114">
        <f>SUM(V29:V29)</f>
        <v>0</v>
      </c>
    </row>
    <row r="29" spans="1:29" s="19" customFormat="1" ht="15" customHeight="1">
      <c r="B29" s="141" t="s">
        <v>926</v>
      </c>
      <c r="C29" s="139" t="s">
        <v>935</v>
      </c>
      <c r="D29" s="135" t="s">
        <v>364</v>
      </c>
      <c r="E29" s="30" t="str">
        <f>Initial_questions!E29</f>
        <v>Enter annual usage</v>
      </c>
      <c r="F29" s="21"/>
      <c r="G29" s="21"/>
      <c r="H29" s="21"/>
      <c r="I29" s="21"/>
      <c r="J29" s="234"/>
      <c r="K29" s="234"/>
      <c r="L29" s="234"/>
      <c r="M29" s="234"/>
      <c r="N29" s="189" t="str">
        <f>IF($D29="MWh/yr (LHV)",$E29,$J29*$E29*(1-$L29)/Conversion_kWh_to_MJ)</f>
        <v>Enter annual usage</v>
      </c>
      <c r="S29" s="372"/>
      <c r="T29" s="230" t="e">
        <f>INDEX(Proj_grid_intensity_kWh,MATCH(Operations_year,Proj_grid_year,0))/Conversion_kWh_to_MJ</f>
        <v>#N/A</v>
      </c>
      <c r="U29" s="230" t="s">
        <v>928</v>
      </c>
      <c r="V29" s="275" t="str">
        <f>IF(E110&lt;&gt;0,IFERROR(IF(D29="tonnes/yr", $S29*$E29/($N$9*3.6*$E$110), $T29*3.6*$E29/($N$9*3.6*$E$110)), "Unfilled fields to left"),"Electricity source not used")</f>
        <v>Unfilled fields to left</v>
      </c>
      <c r="X29" s="21"/>
    </row>
    <row r="30" spans="1:29" s="19" customFormat="1">
      <c r="E30" s="398"/>
      <c r="F30" s="17"/>
      <c r="G30" s="17"/>
      <c r="H30" s="18"/>
      <c r="I30" s="18"/>
      <c r="J30" s="34"/>
      <c r="K30" s="34"/>
      <c r="L30" s="34"/>
      <c r="M30" s="34"/>
      <c r="N30" s="96"/>
      <c r="O30"/>
      <c r="S30" s="96"/>
      <c r="T30" s="96"/>
      <c r="U30" s="96"/>
      <c r="V30" s="96"/>
      <c r="Y30"/>
    </row>
    <row r="31" spans="1:29" s="19" customFormat="1">
      <c r="E31" s="398"/>
      <c r="F31" s="17"/>
      <c r="G31" s="17"/>
      <c r="H31" s="18"/>
      <c r="I31" s="18"/>
      <c r="J31" s="34"/>
      <c r="K31" s="34"/>
      <c r="L31" s="34"/>
      <c r="M31" s="34"/>
      <c r="N31" s="96"/>
      <c r="O31"/>
      <c r="S31" s="96"/>
      <c r="T31" s="96"/>
      <c r="U31" s="96"/>
      <c r="V31" s="84" t="s">
        <v>936</v>
      </c>
      <c r="Y31"/>
    </row>
    <row r="32" spans="1:29" s="19" customFormat="1">
      <c r="B32" s="111" t="s">
        <v>937</v>
      </c>
      <c r="C32" s="196"/>
      <c r="D32" s="196"/>
      <c r="E32" s="380"/>
      <c r="F32" s="195"/>
      <c r="G32" s="195"/>
      <c r="H32" s="112"/>
      <c r="I32" s="112"/>
      <c r="J32" s="379"/>
      <c r="K32" s="379"/>
      <c r="L32" s="379"/>
      <c r="M32" s="379"/>
      <c r="N32" s="379"/>
      <c r="O32" s="112"/>
      <c r="P32" s="113"/>
      <c r="Q32" s="113"/>
      <c r="R32" s="113"/>
      <c r="S32" s="371"/>
      <c r="T32" s="371"/>
      <c r="U32" s="371"/>
      <c r="V32" s="114">
        <f>SUM(V33:V33)</f>
        <v>0</v>
      </c>
    </row>
    <row r="33" spans="1:29" s="19" customFormat="1" ht="15" customHeight="1">
      <c r="B33" s="141" t="s">
        <v>926</v>
      </c>
      <c r="C33" s="139" t="s">
        <v>938</v>
      </c>
      <c r="D33" s="135" t="s">
        <v>364</v>
      </c>
      <c r="E33" s="30" t="str">
        <f>Initial_questions!E30</f>
        <v>Enter annual usage</v>
      </c>
      <c r="F33" s="21"/>
      <c r="G33" s="21"/>
      <c r="H33" s="21"/>
      <c r="I33" s="21"/>
      <c r="J33" s="234"/>
      <c r="K33" s="234"/>
      <c r="L33" s="234"/>
      <c r="M33" s="234"/>
      <c r="N33" s="189" t="str">
        <f>IF($D33="MWh/yr (LHV)",$E33,$J33*$E33*(1-$L33)/Conversion_kWh_to_MJ)</f>
        <v>Enter annual usage</v>
      </c>
      <c r="S33" s="372"/>
      <c r="T33" s="230" t="e">
        <f>Initial_questions!$E$33*1/Conversion_kWh_to_MJ</f>
        <v>#VALUE!</v>
      </c>
      <c r="U33" s="230" t="s">
        <v>932</v>
      </c>
      <c r="V33" s="275" t="str">
        <f>IF(E111&lt;&gt;0,IFERROR(IF(D33="tonnes/yr", $S33*$E33/($N$9*3.6*$E$111), $T33*3.6*$E33/($N$9*3.6*$E$111)), "Unfilled fields to left"),"Electricity source not used")</f>
        <v>Unfilled fields to left</v>
      </c>
      <c r="X33" s="21"/>
    </row>
    <row r="34" spans="1:29" s="19" customFormat="1">
      <c r="E34" s="398"/>
      <c r="F34" s="17"/>
      <c r="G34" s="17"/>
      <c r="H34" s="18"/>
      <c r="I34" s="18"/>
      <c r="J34" s="34"/>
      <c r="K34" s="34"/>
      <c r="L34" s="34"/>
      <c r="M34" s="34"/>
      <c r="N34" s="96"/>
      <c r="O34"/>
      <c r="S34" s="96"/>
      <c r="T34" s="96"/>
      <c r="U34" s="96"/>
      <c r="V34" s="96"/>
      <c r="Y34"/>
    </row>
    <row r="35" spans="1:29" s="19" customFormat="1" ht="21" customHeight="1">
      <c r="B35" s="143" t="str">
        <f>IF(AND(GHG_ELECTROLYSIS!$D$74="Default",Master_Switch="On"),"Default data selected for the category below, move to the next category of the step","")</f>
        <v/>
      </c>
      <c r="C35" s="199"/>
      <c r="E35" s="398"/>
      <c r="F35" s="65"/>
      <c r="G35" s="65"/>
      <c r="H35" s="197"/>
      <c r="I35" s="197"/>
      <c r="J35" s="193"/>
      <c r="K35" s="193"/>
      <c r="L35" s="193"/>
      <c r="M35" s="193"/>
      <c r="N35" s="193"/>
      <c r="S35" s="34"/>
      <c r="T35" s="34"/>
      <c r="U35" s="34"/>
      <c r="V35" s="292" t="s">
        <v>939</v>
      </c>
      <c r="X35" s="198"/>
    </row>
    <row r="36" spans="1:29" s="19" customFormat="1">
      <c r="B36" s="111" t="s">
        <v>940</v>
      </c>
      <c r="C36" s="196"/>
      <c r="D36" s="196"/>
      <c r="E36" s="380"/>
      <c r="F36" s="195"/>
      <c r="G36" s="195"/>
      <c r="H36" s="112"/>
      <c r="I36" s="112"/>
      <c r="J36" s="379"/>
      <c r="K36" s="379"/>
      <c r="L36" s="379"/>
      <c r="M36" s="379"/>
      <c r="N36" s="379"/>
      <c r="O36" s="112"/>
      <c r="P36" s="113"/>
      <c r="Q36" s="113"/>
      <c r="R36" s="113"/>
      <c r="S36" s="371"/>
      <c r="T36" s="371"/>
      <c r="U36" s="371"/>
      <c r="V36" s="114">
        <f>SUM(V37:V37)</f>
        <v>0</v>
      </c>
    </row>
    <row r="37" spans="1:29" s="19" customFormat="1" ht="15" customHeight="1">
      <c r="B37" s="141" t="s">
        <v>926</v>
      </c>
      <c r="C37" s="139" t="s">
        <v>941</v>
      </c>
      <c r="D37" s="135" t="s">
        <v>364</v>
      </c>
      <c r="E37" s="30" t="str">
        <f>Initial_questions!E31</f>
        <v>Enter annual usage</v>
      </c>
      <c r="F37" s="21"/>
      <c r="G37" s="21"/>
      <c r="H37" s="21"/>
      <c r="I37" s="21"/>
      <c r="J37" s="234"/>
      <c r="K37" s="234"/>
      <c r="L37" s="234"/>
      <c r="M37" s="234"/>
      <c r="N37" s="189" t="str">
        <f>IF($D37="MWh/yr (LHV)",$E37,$J37*$E37*(1-$L37)/Conversion_kWh_to_MJ)</f>
        <v>Enter annual usage</v>
      </c>
      <c r="S37" s="372"/>
      <c r="T37" s="230" t="e">
        <f>Initial_questions!$E$34*1/Conversion_kWh_to_MJ</f>
        <v>#VALUE!</v>
      </c>
      <c r="U37" s="230" t="s">
        <v>932</v>
      </c>
      <c r="V37" s="275" t="str">
        <f>IF(E112&lt;&gt;0,IFERROR(IF(D37="tonnes/yr", $S37*$E37/($N$9*3.6*$E$112), $T37*3.6*$E37/($N$9*3.6*$E$112)), "Unfilled fields to left"),"Electricity source not used")</f>
        <v>Unfilled fields to left</v>
      </c>
      <c r="X37" s="21"/>
    </row>
    <row r="38" spans="1:29" s="19" customFormat="1">
      <c r="E38" s="108"/>
      <c r="F38" s="17"/>
      <c r="G38" s="17"/>
      <c r="H38" s="17"/>
      <c r="I38" s="17"/>
      <c r="J38" s="108"/>
      <c r="K38" s="108"/>
      <c r="L38" s="108"/>
      <c r="M38" s="108"/>
      <c r="N38" s="85"/>
      <c r="S38" s="85"/>
      <c r="T38" s="85"/>
      <c r="U38" s="85"/>
    </row>
    <row r="39" spans="1:29" ht="30.95">
      <c r="A39" s="19"/>
      <c r="B39" s="143" t="str">
        <f>IF(AND(OR(GHG_ELECTROLYSIS!$D$6="Default",GHG_ELECTROLYSIS!$D$23="Default", GHG_ELECTROLYSIS!$D$40="Default",GHG_ELECTROLYSIS!$D$74="Default"),Master_Switch="On"),"Default data selected for the category below, move to the next category of the step","")</f>
        <v/>
      </c>
      <c r="C39" s="199"/>
      <c r="D39" s="199"/>
      <c r="E39" s="381"/>
      <c r="F39" s="65"/>
      <c r="G39" s="65"/>
      <c r="H39" s="197"/>
      <c r="I39" s="360"/>
      <c r="J39" s="193"/>
      <c r="K39" s="193"/>
      <c r="L39" s="193"/>
      <c r="M39" s="193"/>
      <c r="N39" s="193"/>
      <c r="O39" s="19"/>
      <c r="P39" s="19"/>
      <c r="Q39" s="19"/>
      <c r="R39" s="19"/>
      <c r="S39" s="373"/>
      <c r="T39" s="193"/>
      <c r="U39" s="193"/>
      <c r="V39" s="280" t="s">
        <v>942</v>
      </c>
      <c r="W39" s="19"/>
      <c r="X39" s="192"/>
      <c r="Y39" s="19"/>
      <c r="Z39" s="19"/>
      <c r="AA39" s="19"/>
      <c r="AB39" s="19"/>
      <c r="AC39" s="19"/>
    </row>
    <row r="40" spans="1:29">
      <c r="A40" s="19"/>
      <c r="B40" s="111" t="s">
        <v>943</v>
      </c>
      <c r="C40" s="196"/>
      <c r="D40" s="196"/>
      <c r="E40" s="379"/>
      <c r="F40" s="195"/>
      <c r="G40" s="195"/>
      <c r="H40" s="112"/>
      <c r="I40" s="112"/>
      <c r="J40" s="379"/>
      <c r="K40" s="379"/>
      <c r="L40" s="379"/>
      <c r="M40" s="379"/>
      <c r="N40" s="379"/>
      <c r="O40" s="112"/>
      <c r="P40" s="113"/>
      <c r="Q40" s="113"/>
      <c r="R40" s="113"/>
      <c r="S40" s="371"/>
      <c r="T40" s="371"/>
      <c r="U40" s="371"/>
      <c r="V40" s="114">
        <f>SUM(V41:V50)</f>
        <v>0</v>
      </c>
      <c r="W40" s="19"/>
      <c r="X40" s="19"/>
      <c r="Y40" s="19"/>
      <c r="Z40" s="19"/>
      <c r="AA40" s="19"/>
      <c r="AB40" s="19"/>
      <c r="AC40" s="19"/>
    </row>
    <row r="41" spans="1:29">
      <c r="A41" s="19"/>
      <c r="B41" s="141" t="s">
        <v>926</v>
      </c>
      <c r="C41" s="139" t="s">
        <v>944</v>
      </c>
      <c r="D41" s="135" t="s">
        <v>364</v>
      </c>
      <c r="E41" s="234"/>
      <c r="F41" s="21"/>
      <c r="G41" s="21"/>
      <c r="H41" s="20"/>
      <c r="I41" s="358"/>
      <c r="J41" s="232"/>
      <c r="K41" s="232"/>
      <c r="L41" s="232"/>
      <c r="M41" s="232"/>
      <c r="N41" s="189">
        <f t="shared" ref="N41:N50" si="2">IF($D41="MWh/yr (LHV)",$E41,$J41*$E41*(1-$L41)/Conversion_kWh_to_MJ)</f>
        <v>0</v>
      </c>
      <c r="O41" s="194"/>
      <c r="P41" s="19"/>
      <c r="Q41" s="19"/>
      <c r="R41" s="19"/>
      <c r="S41" s="30" t="str">
        <f>IF(B41="", "", IF(D41="MWh/yr (LHV)", "Use column to right", "Enter data here"))</f>
        <v>Use column to right</v>
      </c>
      <c r="T41" s="30" t="str">
        <f>IF(B41="", "", IF(D41="MWh/yr (LHV)", "Enter data here", "Use column to left"))</f>
        <v>Enter data here</v>
      </c>
      <c r="U41" s="30" t="s">
        <v>945</v>
      </c>
      <c r="V41" s="275" t="str">
        <f t="shared" ref="V41:V50" si="3">IFERROR(IF(D41="tonnes/yr", $S41*$E41/($N$9*3.6), $T41*3.6*$E41/($N$9*3.6)), "Unfilled fields to left")</f>
        <v>Unfilled fields to left</v>
      </c>
      <c r="W41" s="19"/>
      <c r="X41" s="23"/>
      <c r="Y41" s="19"/>
      <c r="Z41" s="19"/>
      <c r="AA41" s="19"/>
      <c r="AB41" s="19"/>
      <c r="AC41" s="19"/>
    </row>
    <row r="42" spans="1:29">
      <c r="A42" s="19"/>
      <c r="B42" s="141" t="s">
        <v>926</v>
      </c>
      <c r="C42" s="139" t="s">
        <v>946</v>
      </c>
      <c r="D42" s="135" t="s">
        <v>364</v>
      </c>
      <c r="E42" s="234"/>
      <c r="F42" s="361"/>
      <c r="G42" s="21"/>
      <c r="H42" s="20"/>
      <c r="I42" s="358"/>
      <c r="J42" s="232"/>
      <c r="K42" s="232"/>
      <c r="L42" s="232"/>
      <c r="M42" s="232"/>
      <c r="N42" s="189">
        <f t="shared" si="2"/>
        <v>0</v>
      </c>
      <c r="O42" s="19"/>
      <c r="P42" s="19"/>
      <c r="Q42" s="19"/>
      <c r="R42" s="19"/>
      <c r="S42" s="30" t="str">
        <f t="shared" ref="S42:S46" si="4">IF(B42="", "", IF(D42="MWh/yr (LHV)", "Use column to right", "Enter data here"))</f>
        <v>Use column to right</v>
      </c>
      <c r="T42" s="30" t="str">
        <f t="shared" ref="T42:T46" si="5">IF(B42="", "", IF(D42="MWh/yr (LHV)", "Enter data here", "Use column to left"))</f>
        <v>Enter data here</v>
      </c>
      <c r="U42" s="30" t="s">
        <v>945</v>
      </c>
      <c r="V42" s="275" t="str">
        <f t="shared" si="3"/>
        <v>Unfilled fields to left</v>
      </c>
      <c r="W42" s="19"/>
      <c r="X42" s="23"/>
      <c r="Y42" s="19"/>
      <c r="Z42" s="19"/>
      <c r="AA42" s="19"/>
      <c r="AB42" s="19"/>
      <c r="AC42" s="19"/>
    </row>
    <row r="43" spans="1:29">
      <c r="A43" s="19"/>
      <c r="B43" s="141" t="s">
        <v>947</v>
      </c>
      <c r="C43" s="139" t="s">
        <v>948</v>
      </c>
      <c r="D43" s="135" t="s">
        <v>345</v>
      </c>
      <c r="E43" s="234"/>
      <c r="F43" s="21"/>
      <c r="G43" s="21"/>
      <c r="H43" s="20"/>
      <c r="I43" s="358"/>
      <c r="J43" s="232"/>
      <c r="K43" s="232"/>
      <c r="L43" s="232"/>
      <c r="M43" s="232"/>
      <c r="N43" s="189">
        <f t="shared" si="2"/>
        <v>0</v>
      </c>
      <c r="O43" s="19"/>
      <c r="P43" s="19"/>
      <c r="Q43" s="19"/>
      <c r="R43" s="19"/>
      <c r="S43" s="30" t="str">
        <f t="shared" si="4"/>
        <v>Enter data here</v>
      </c>
      <c r="T43" s="30" t="str">
        <f t="shared" si="5"/>
        <v>Use column to left</v>
      </c>
      <c r="U43" s="30" t="s">
        <v>949</v>
      </c>
      <c r="V43" s="275" t="str">
        <f t="shared" si="3"/>
        <v>Unfilled fields to left</v>
      </c>
      <c r="W43" s="19"/>
      <c r="X43" s="23"/>
      <c r="Y43" s="19"/>
      <c r="Z43" s="19"/>
      <c r="AA43" s="19"/>
      <c r="AB43" s="19"/>
      <c r="AC43" s="19"/>
    </row>
    <row r="44" spans="1:29">
      <c r="A44" s="19"/>
      <c r="B44" s="141" t="s">
        <v>947</v>
      </c>
      <c r="C44" s="139" t="s">
        <v>950</v>
      </c>
      <c r="D44" s="135" t="s">
        <v>345</v>
      </c>
      <c r="E44" s="234"/>
      <c r="F44" s="21"/>
      <c r="G44" s="21"/>
      <c r="H44" s="21"/>
      <c r="I44" s="21"/>
      <c r="J44" s="234"/>
      <c r="K44" s="234"/>
      <c r="L44" s="234"/>
      <c r="M44" s="234"/>
      <c r="N44" s="189">
        <f t="shared" si="2"/>
        <v>0</v>
      </c>
      <c r="O44" s="19"/>
      <c r="P44" s="19"/>
      <c r="Q44" s="19"/>
      <c r="R44" s="19"/>
      <c r="S44" s="30" t="str">
        <f t="shared" si="4"/>
        <v>Enter data here</v>
      </c>
      <c r="T44" s="30" t="str">
        <f t="shared" si="5"/>
        <v>Use column to left</v>
      </c>
      <c r="U44" s="30" t="s">
        <v>949</v>
      </c>
      <c r="V44" s="275" t="str">
        <f t="shared" si="3"/>
        <v>Unfilled fields to left</v>
      </c>
      <c r="W44" s="19"/>
      <c r="X44" s="21"/>
      <c r="Y44" s="19"/>
      <c r="Z44" s="19"/>
      <c r="AA44" s="19"/>
      <c r="AB44" s="19"/>
      <c r="AC44" s="19"/>
    </row>
    <row r="45" spans="1:29">
      <c r="A45" s="19"/>
      <c r="B45" s="141" t="s">
        <v>947</v>
      </c>
      <c r="C45" s="139" t="s">
        <v>951</v>
      </c>
      <c r="D45" s="135" t="s">
        <v>345</v>
      </c>
      <c r="E45" s="234"/>
      <c r="F45" s="21"/>
      <c r="G45" s="21"/>
      <c r="H45" s="21"/>
      <c r="I45" s="21"/>
      <c r="J45" s="234"/>
      <c r="K45" s="234"/>
      <c r="L45" s="234"/>
      <c r="M45" s="234"/>
      <c r="N45" s="189">
        <f t="shared" si="2"/>
        <v>0</v>
      </c>
      <c r="O45" s="19"/>
      <c r="P45" s="19"/>
      <c r="Q45" s="19"/>
      <c r="R45" s="19"/>
      <c r="S45" s="30" t="str">
        <f t="shared" si="4"/>
        <v>Enter data here</v>
      </c>
      <c r="T45" s="30" t="str">
        <f t="shared" si="5"/>
        <v>Use column to left</v>
      </c>
      <c r="U45" s="30" t="s">
        <v>949</v>
      </c>
      <c r="V45" s="275" t="str">
        <f t="shared" si="3"/>
        <v>Unfilled fields to left</v>
      </c>
      <c r="W45" s="19"/>
      <c r="X45" s="21"/>
      <c r="Y45" s="19"/>
      <c r="Z45" s="19"/>
      <c r="AA45" s="19"/>
      <c r="AB45" s="19"/>
      <c r="AC45" s="19"/>
    </row>
    <row r="46" spans="1:29">
      <c r="A46" s="19"/>
      <c r="B46" s="141"/>
      <c r="C46" s="139"/>
      <c r="D46" s="135"/>
      <c r="E46" s="234"/>
      <c r="F46" s="21"/>
      <c r="G46" s="21"/>
      <c r="H46" s="21"/>
      <c r="I46" s="21"/>
      <c r="J46" s="234"/>
      <c r="K46" s="234"/>
      <c r="L46" s="234"/>
      <c r="M46" s="234"/>
      <c r="N46" s="189">
        <f t="shared" si="2"/>
        <v>0</v>
      </c>
      <c r="O46" s="19"/>
      <c r="P46" s="19"/>
      <c r="Q46" s="19"/>
      <c r="R46" s="19"/>
      <c r="S46" s="30" t="str">
        <f t="shared" si="4"/>
        <v/>
      </c>
      <c r="T46" s="30" t="str">
        <f t="shared" si="5"/>
        <v/>
      </c>
      <c r="U46" s="30"/>
      <c r="V46" s="275" t="str">
        <f t="shared" si="3"/>
        <v>Unfilled fields to left</v>
      </c>
      <c r="W46" s="19"/>
      <c r="X46" s="21"/>
      <c r="Y46" s="19"/>
      <c r="Z46" s="19"/>
      <c r="AA46" s="19"/>
      <c r="AB46" s="19"/>
      <c r="AC46" s="19"/>
    </row>
    <row r="47" spans="1:29">
      <c r="A47" s="19"/>
      <c r="B47" s="141"/>
      <c r="C47" s="139"/>
      <c r="D47" s="135"/>
      <c r="E47" s="234"/>
      <c r="F47" s="21"/>
      <c r="G47" s="21"/>
      <c r="H47" s="21"/>
      <c r="I47" s="21"/>
      <c r="J47" s="234"/>
      <c r="K47" s="234"/>
      <c r="L47" s="234"/>
      <c r="M47" s="234"/>
      <c r="N47" s="189">
        <f t="shared" si="2"/>
        <v>0</v>
      </c>
      <c r="O47" s="19"/>
      <c r="P47" s="19"/>
      <c r="Q47" s="19"/>
      <c r="R47" s="19"/>
      <c r="S47" s="30" t="str">
        <f t="shared" ref="S47:S50" si="6">IF(B47="", "", IF(D47="MWh/yr (LHV)", "Use column to right", "Enter data here"))</f>
        <v/>
      </c>
      <c r="T47" s="30" t="str">
        <f t="shared" ref="T47:T50" si="7">IF(B47="", "", IF(D47="MWh/yr (LHV)", "Enter data here", "Use column to left"))</f>
        <v/>
      </c>
      <c r="U47" s="232"/>
      <c r="V47" s="275" t="str">
        <f t="shared" si="3"/>
        <v>Unfilled fields to left</v>
      </c>
      <c r="W47" s="19"/>
      <c r="X47" s="21"/>
      <c r="Y47" s="19"/>
      <c r="Z47" s="19"/>
      <c r="AA47" s="19"/>
      <c r="AB47" s="19"/>
      <c r="AC47" s="19"/>
    </row>
    <row r="48" spans="1:29">
      <c r="A48" s="19"/>
      <c r="B48" s="141"/>
      <c r="C48" s="139"/>
      <c r="D48" s="135"/>
      <c r="E48" s="234"/>
      <c r="F48" s="21"/>
      <c r="G48" s="21"/>
      <c r="H48" s="21"/>
      <c r="I48" s="21"/>
      <c r="J48" s="234"/>
      <c r="K48" s="234"/>
      <c r="L48" s="234"/>
      <c r="M48" s="234"/>
      <c r="N48" s="189">
        <f t="shared" si="2"/>
        <v>0</v>
      </c>
      <c r="O48" s="19"/>
      <c r="P48" s="19"/>
      <c r="Q48" s="19"/>
      <c r="R48" s="19"/>
      <c r="S48" s="30" t="str">
        <f t="shared" si="6"/>
        <v/>
      </c>
      <c r="T48" s="30" t="str">
        <f t="shared" si="7"/>
        <v/>
      </c>
      <c r="U48" s="232"/>
      <c r="V48" s="275" t="str">
        <f t="shared" si="3"/>
        <v>Unfilled fields to left</v>
      </c>
      <c r="W48" s="19"/>
      <c r="X48" s="21"/>
      <c r="Y48" s="19"/>
      <c r="Z48" s="19"/>
      <c r="AA48" s="19"/>
      <c r="AB48" s="19"/>
      <c r="AC48" s="19"/>
    </row>
    <row r="49" spans="1:29">
      <c r="A49" s="19"/>
      <c r="B49" s="141"/>
      <c r="C49" s="139"/>
      <c r="D49" s="135"/>
      <c r="E49" s="234"/>
      <c r="F49" s="21"/>
      <c r="G49" s="21"/>
      <c r="H49" s="21"/>
      <c r="I49" s="21"/>
      <c r="J49" s="234"/>
      <c r="K49" s="234"/>
      <c r="L49" s="234"/>
      <c r="M49" s="234"/>
      <c r="N49" s="189">
        <f t="shared" si="2"/>
        <v>0</v>
      </c>
      <c r="O49" s="19"/>
      <c r="P49" s="19"/>
      <c r="Q49" s="19"/>
      <c r="R49" s="19"/>
      <c r="S49" s="30" t="str">
        <f t="shared" si="6"/>
        <v/>
      </c>
      <c r="T49" s="30" t="str">
        <f t="shared" si="7"/>
        <v/>
      </c>
      <c r="U49" s="232"/>
      <c r="V49" s="275" t="str">
        <f t="shared" si="3"/>
        <v>Unfilled fields to left</v>
      </c>
      <c r="W49" s="19"/>
      <c r="X49" s="21"/>
      <c r="Y49" s="19"/>
      <c r="Z49" s="19"/>
      <c r="AA49" s="19"/>
      <c r="AB49" s="19"/>
      <c r="AC49" s="19"/>
    </row>
    <row r="50" spans="1:29">
      <c r="A50" s="19"/>
      <c r="B50" s="141"/>
      <c r="C50" s="139"/>
      <c r="D50" s="135"/>
      <c r="E50" s="234"/>
      <c r="F50" s="21"/>
      <c r="G50" s="21"/>
      <c r="H50" s="21"/>
      <c r="I50" s="21"/>
      <c r="J50" s="234"/>
      <c r="K50" s="234"/>
      <c r="L50" s="234"/>
      <c r="M50" s="234"/>
      <c r="N50" s="189">
        <f t="shared" si="2"/>
        <v>0</v>
      </c>
      <c r="O50" s="19"/>
      <c r="P50" s="19"/>
      <c r="Q50" s="19"/>
      <c r="R50" s="19"/>
      <c r="S50" s="30" t="str">
        <f t="shared" si="6"/>
        <v/>
      </c>
      <c r="T50" s="30" t="str">
        <f t="shared" si="7"/>
        <v/>
      </c>
      <c r="U50" s="232"/>
      <c r="V50" s="275" t="str">
        <f t="shared" si="3"/>
        <v>Unfilled fields to left</v>
      </c>
      <c r="W50" s="19"/>
      <c r="X50" s="21"/>
      <c r="Y50" s="19"/>
      <c r="Z50" s="19"/>
      <c r="AA50" s="19"/>
      <c r="AB50" s="19"/>
      <c r="AC50" s="19"/>
    </row>
    <row r="51" spans="1:29">
      <c r="A51" s="19"/>
      <c r="C51" s="19"/>
      <c r="D51" s="19"/>
      <c r="E51" s="108"/>
      <c r="F51" s="17"/>
      <c r="G51" s="17"/>
      <c r="H51" s="17"/>
      <c r="I51" s="17"/>
      <c r="J51" s="108"/>
      <c r="K51" s="108"/>
      <c r="L51" s="108"/>
      <c r="M51" s="108"/>
      <c r="N51" s="85"/>
      <c r="O51" s="19"/>
      <c r="P51" s="19"/>
      <c r="Q51" s="19"/>
      <c r="R51" s="19"/>
      <c r="S51" s="108"/>
      <c r="T51" s="108"/>
      <c r="U51" s="108"/>
      <c r="V51" s="19"/>
      <c r="W51" s="19"/>
      <c r="X51" s="19"/>
      <c r="Y51" s="19"/>
      <c r="Z51" s="19"/>
      <c r="AA51" s="19"/>
      <c r="AB51" s="19"/>
      <c r="AC51" s="19"/>
    </row>
    <row r="52" spans="1:29" ht="30.95">
      <c r="B52" s="332" t="str">
        <f>IF(AND(OR(GHG_ELECTROLYSIS!$D$7="Default",GHG_ELECTROLYSIS!$D$24="Default",GHG_ELECTROLYSIS!$D$41="Default",GHG_ELECTROLYSIS!$D$75="Default"),Master_Switch="On"),"Default data selected for the category below, move to the next category of the step","")</f>
        <v/>
      </c>
      <c r="C52" s="56"/>
      <c r="D52" s="56"/>
      <c r="E52" s="109"/>
      <c r="F52" s="57"/>
      <c r="G52" s="57"/>
      <c r="H52" s="58"/>
      <c r="I52" s="359"/>
      <c r="J52" s="59"/>
      <c r="K52" s="59"/>
      <c r="L52" s="59"/>
      <c r="M52" s="59"/>
      <c r="N52" s="59"/>
      <c r="O52" s="12"/>
      <c r="S52" s="59"/>
      <c r="T52" s="59"/>
      <c r="U52" s="59"/>
      <c r="V52" s="366" t="s">
        <v>942</v>
      </c>
      <c r="X52" s="60"/>
      <c r="Y52" s="12"/>
    </row>
    <row r="53" spans="1:29" ht="16.5">
      <c r="B53" s="111" t="s">
        <v>952</v>
      </c>
      <c r="C53" s="115"/>
      <c r="D53" s="115"/>
      <c r="E53" s="382"/>
      <c r="F53" s="116"/>
      <c r="G53" s="116"/>
      <c r="H53" s="117"/>
      <c r="I53" s="362"/>
      <c r="J53" s="367"/>
      <c r="K53" s="367"/>
      <c r="L53" s="367"/>
      <c r="M53" s="367"/>
      <c r="N53" s="367"/>
      <c r="O53" s="118"/>
      <c r="P53" s="118"/>
      <c r="Q53" s="118"/>
      <c r="R53" s="118"/>
      <c r="S53" s="367"/>
      <c r="T53" s="367"/>
      <c r="U53" s="367"/>
      <c r="V53" s="114">
        <f>SUM(V54:V63)</f>
        <v>0</v>
      </c>
      <c r="X53" s="60"/>
      <c r="Y53" s="12"/>
    </row>
    <row r="54" spans="1:29">
      <c r="B54" s="141" t="s">
        <v>953</v>
      </c>
      <c r="C54" s="139" t="s">
        <v>954</v>
      </c>
      <c r="D54" s="135" t="s">
        <v>345</v>
      </c>
      <c r="E54" s="234"/>
      <c r="F54" s="21"/>
      <c r="G54" s="21"/>
      <c r="H54" s="21"/>
      <c r="I54" s="21"/>
      <c r="J54" s="234"/>
      <c r="K54" s="234"/>
      <c r="L54" s="234"/>
      <c r="M54" s="234"/>
      <c r="N54" s="189">
        <f t="shared" ref="N54:N63" si="8">IF($D54="MWh/yr (LHV)",$E54,$J54*$E54*(1-$L54)/Conversion_kWh_to_MJ)</f>
        <v>0</v>
      </c>
      <c r="O54" s="12"/>
      <c r="S54" s="30" t="str">
        <f t="shared" ref="S54:S63" si="9">IF(B54="", "", IF(D54="MWh/yr (LHV)", "Use column to right", "Enter data here"))</f>
        <v>Enter data here</v>
      </c>
      <c r="T54" s="30" t="str">
        <f t="shared" ref="T54:T63" si="10">IF(B54="", "", IF(D54="MWh/yr (LHV)", "Enter data here", "Use column to left"))</f>
        <v>Use column to left</v>
      </c>
      <c r="U54" s="30" t="s">
        <v>955</v>
      </c>
      <c r="V54" s="189" t="str">
        <f t="shared" ref="V54:V63" si="11">IFERROR(IF(D54="tonnes/yr", $S54*$E54/($N$9*3.6), $T54*3.6*$E54/($N$9*3.6)), "Unfilled fields to left")</f>
        <v>Unfilled fields to left</v>
      </c>
      <c r="X54" s="21"/>
      <c r="Y54" s="12"/>
    </row>
    <row r="55" spans="1:29">
      <c r="B55" s="141" t="s">
        <v>956</v>
      </c>
      <c r="C55" s="139" t="s">
        <v>957</v>
      </c>
      <c r="D55" s="135" t="s">
        <v>345</v>
      </c>
      <c r="E55" s="234"/>
      <c r="F55" s="21"/>
      <c r="G55" s="21"/>
      <c r="H55" s="20"/>
      <c r="I55" s="358"/>
      <c r="J55" s="232"/>
      <c r="K55" s="232"/>
      <c r="L55" s="232"/>
      <c r="M55" s="232"/>
      <c r="N55" s="189">
        <f t="shared" si="8"/>
        <v>0</v>
      </c>
      <c r="O55" s="12"/>
      <c r="S55" s="30" t="str">
        <f t="shared" si="9"/>
        <v>Enter data here</v>
      </c>
      <c r="T55" s="30" t="str">
        <f t="shared" si="10"/>
        <v>Use column to left</v>
      </c>
      <c r="U55" s="30" t="s">
        <v>955</v>
      </c>
      <c r="V55" s="189" t="str">
        <f t="shared" si="11"/>
        <v>Unfilled fields to left</v>
      </c>
      <c r="X55" s="23"/>
      <c r="Y55" s="12"/>
    </row>
    <row r="56" spans="1:29">
      <c r="B56" s="141" t="s">
        <v>956</v>
      </c>
      <c r="C56" s="139" t="s">
        <v>958</v>
      </c>
      <c r="D56" s="135" t="s">
        <v>345</v>
      </c>
      <c r="E56" s="234"/>
      <c r="F56" s="21"/>
      <c r="G56" s="21"/>
      <c r="H56" s="20"/>
      <c r="I56" s="358"/>
      <c r="J56" s="232"/>
      <c r="K56" s="232"/>
      <c r="L56" s="232"/>
      <c r="M56" s="232"/>
      <c r="N56" s="189">
        <f t="shared" si="8"/>
        <v>0</v>
      </c>
      <c r="O56" s="12"/>
      <c r="S56" s="30" t="str">
        <f t="shared" si="9"/>
        <v>Enter data here</v>
      </c>
      <c r="T56" s="30" t="str">
        <f t="shared" si="10"/>
        <v>Use column to left</v>
      </c>
      <c r="U56" s="30" t="s">
        <v>955</v>
      </c>
      <c r="V56" s="189" t="str">
        <f t="shared" si="11"/>
        <v>Unfilled fields to left</v>
      </c>
      <c r="X56" s="23"/>
      <c r="Y56" s="12"/>
    </row>
    <row r="57" spans="1:29">
      <c r="B57" s="141" t="s">
        <v>956</v>
      </c>
      <c r="C57" s="139"/>
      <c r="D57" s="135"/>
      <c r="E57" s="234"/>
      <c r="F57" s="21"/>
      <c r="G57" s="21"/>
      <c r="H57" s="20"/>
      <c r="I57" s="358"/>
      <c r="J57" s="232"/>
      <c r="K57" s="232"/>
      <c r="L57" s="232"/>
      <c r="M57" s="232"/>
      <c r="N57" s="189">
        <f t="shared" si="8"/>
        <v>0</v>
      </c>
      <c r="O57" s="12"/>
      <c r="S57" s="30" t="str">
        <f t="shared" si="9"/>
        <v>Enter data here</v>
      </c>
      <c r="T57" s="30" t="str">
        <f t="shared" si="10"/>
        <v>Use column to left</v>
      </c>
      <c r="U57" s="30" t="s">
        <v>955</v>
      </c>
      <c r="V57" s="189" t="str">
        <f t="shared" si="11"/>
        <v>Unfilled fields to left</v>
      </c>
      <c r="X57" s="23"/>
      <c r="Y57" s="12"/>
    </row>
    <row r="58" spans="1:29">
      <c r="B58" s="141" t="s">
        <v>959</v>
      </c>
      <c r="C58" s="139" t="s">
        <v>960</v>
      </c>
      <c r="D58" s="135" t="s">
        <v>345</v>
      </c>
      <c r="E58" s="234"/>
      <c r="F58" s="21"/>
      <c r="G58" s="21"/>
      <c r="H58" s="20"/>
      <c r="I58" s="358"/>
      <c r="J58" s="232"/>
      <c r="K58" s="232"/>
      <c r="L58" s="232"/>
      <c r="M58" s="232"/>
      <c r="N58" s="189">
        <f t="shared" si="8"/>
        <v>0</v>
      </c>
      <c r="O58" s="12"/>
      <c r="S58" s="30" t="str">
        <f t="shared" si="9"/>
        <v>Enter data here</v>
      </c>
      <c r="T58" s="30" t="str">
        <f t="shared" si="10"/>
        <v>Use column to left</v>
      </c>
      <c r="U58" s="30" t="s">
        <v>955</v>
      </c>
      <c r="V58" s="189" t="str">
        <f t="shared" si="11"/>
        <v>Unfilled fields to left</v>
      </c>
      <c r="X58" s="23"/>
      <c r="Y58" s="12"/>
    </row>
    <row r="59" spans="1:29">
      <c r="B59" s="141" t="s">
        <v>959</v>
      </c>
      <c r="C59" s="139"/>
      <c r="D59" s="135"/>
      <c r="E59" s="234"/>
      <c r="F59" s="21"/>
      <c r="G59" s="21"/>
      <c r="H59" s="20"/>
      <c r="I59" s="358"/>
      <c r="J59" s="232"/>
      <c r="K59" s="232"/>
      <c r="L59" s="232"/>
      <c r="M59" s="232"/>
      <c r="N59" s="189">
        <f t="shared" si="8"/>
        <v>0</v>
      </c>
      <c r="O59" s="12"/>
      <c r="S59" s="30" t="str">
        <f t="shared" si="9"/>
        <v>Enter data here</v>
      </c>
      <c r="T59" s="30" t="str">
        <f t="shared" si="10"/>
        <v>Use column to left</v>
      </c>
      <c r="U59" s="30" t="s">
        <v>955</v>
      </c>
      <c r="V59" s="189" t="str">
        <f t="shared" si="11"/>
        <v>Unfilled fields to left</v>
      </c>
      <c r="X59" s="23"/>
      <c r="Y59" s="12"/>
    </row>
    <row r="60" spans="1:29">
      <c r="B60" s="141"/>
      <c r="C60" s="139"/>
      <c r="D60" s="135"/>
      <c r="E60" s="234"/>
      <c r="F60" s="45"/>
      <c r="G60" s="21"/>
      <c r="H60" s="20"/>
      <c r="I60" s="358"/>
      <c r="J60" s="232"/>
      <c r="K60" s="232"/>
      <c r="L60" s="232"/>
      <c r="M60" s="232"/>
      <c r="N60" s="189">
        <f t="shared" si="8"/>
        <v>0</v>
      </c>
      <c r="O60" s="12"/>
      <c r="S60" s="30" t="str">
        <f t="shared" si="9"/>
        <v/>
      </c>
      <c r="T60" s="30" t="str">
        <f t="shared" si="10"/>
        <v/>
      </c>
      <c r="U60" s="30"/>
      <c r="V60" s="189" t="str">
        <f t="shared" si="11"/>
        <v>Unfilled fields to left</v>
      </c>
      <c r="X60" s="23"/>
      <c r="Y60" s="12"/>
    </row>
    <row r="61" spans="1:29">
      <c r="B61" s="141"/>
      <c r="C61" s="139"/>
      <c r="D61" s="135"/>
      <c r="E61" s="234"/>
      <c r="F61" s="45"/>
      <c r="G61" s="21"/>
      <c r="H61" s="20"/>
      <c r="I61" s="358"/>
      <c r="J61" s="232"/>
      <c r="K61" s="232"/>
      <c r="L61" s="232"/>
      <c r="M61" s="232"/>
      <c r="N61" s="189">
        <f t="shared" si="8"/>
        <v>0</v>
      </c>
      <c r="O61" s="12"/>
      <c r="S61" s="30" t="str">
        <f t="shared" si="9"/>
        <v/>
      </c>
      <c r="T61" s="30" t="str">
        <f t="shared" si="10"/>
        <v/>
      </c>
      <c r="U61" s="30"/>
      <c r="V61" s="189" t="str">
        <f t="shared" si="11"/>
        <v>Unfilled fields to left</v>
      </c>
      <c r="X61" s="23"/>
      <c r="Y61" s="12"/>
    </row>
    <row r="62" spans="1:29">
      <c r="B62" s="141"/>
      <c r="C62" s="139"/>
      <c r="D62" s="135"/>
      <c r="E62" s="234"/>
      <c r="F62" s="45"/>
      <c r="G62" s="21"/>
      <c r="H62" s="20"/>
      <c r="I62" s="358"/>
      <c r="J62" s="232"/>
      <c r="K62" s="232"/>
      <c r="L62" s="232"/>
      <c r="M62" s="232"/>
      <c r="N62" s="189">
        <f t="shared" si="8"/>
        <v>0</v>
      </c>
      <c r="O62" s="12"/>
      <c r="S62" s="30" t="str">
        <f t="shared" si="9"/>
        <v/>
      </c>
      <c r="T62" s="30" t="str">
        <f t="shared" si="10"/>
        <v/>
      </c>
      <c r="U62" s="30"/>
      <c r="V62" s="189" t="str">
        <f t="shared" si="11"/>
        <v>Unfilled fields to left</v>
      </c>
      <c r="X62" s="23"/>
      <c r="Y62" s="12"/>
    </row>
    <row r="63" spans="1:29">
      <c r="B63" s="141"/>
      <c r="C63" s="139"/>
      <c r="D63" s="135"/>
      <c r="E63" s="234"/>
      <c r="F63" s="45"/>
      <c r="G63" s="21"/>
      <c r="H63" s="20"/>
      <c r="I63" s="358"/>
      <c r="J63" s="232"/>
      <c r="K63" s="232"/>
      <c r="L63" s="232"/>
      <c r="M63" s="232"/>
      <c r="N63" s="189">
        <f t="shared" si="8"/>
        <v>0</v>
      </c>
      <c r="O63" s="12"/>
      <c r="S63" s="30" t="str">
        <f t="shared" si="9"/>
        <v/>
      </c>
      <c r="T63" s="30" t="str">
        <f t="shared" si="10"/>
        <v/>
      </c>
      <c r="U63" s="30"/>
      <c r="V63" s="189" t="str">
        <f t="shared" si="11"/>
        <v>Unfilled fields to left</v>
      </c>
      <c r="X63" s="23"/>
      <c r="Y63" s="12"/>
    </row>
    <row r="64" spans="1:29">
      <c r="C64" s="68"/>
      <c r="D64" s="68"/>
      <c r="E64" s="383"/>
      <c r="F64" s="69"/>
      <c r="G64" s="69"/>
      <c r="H64" s="70"/>
      <c r="I64" s="70"/>
      <c r="J64" s="71"/>
      <c r="K64" s="71"/>
      <c r="L64" s="71"/>
      <c r="M64" s="71"/>
      <c r="N64" s="71"/>
      <c r="O64" s="25"/>
      <c r="P64" s="14"/>
      <c r="Q64" s="14"/>
      <c r="R64" s="14"/>
      <c r="S64" s="71"/>
      <c r="T64" s="71"/>
      <c r="U64" s="71"/>
      <c r="V64" s="71"/>
      <c r="X64" s="24"/>
      <c r="Y64" s="12"/>
    </row>
    <row r="65" spans="2:25">
      <c r="B65" s="14"/>
      <c r="C65" s="68"/>
      <c r="D65" s="68"/>
      <c r="E65" s="383"/>
      <c r="F65" s="69"/>
      <c r="G65" s="69"/>
      <c r="H65" s="70"/>
      <c r="I65" s="70"/>
      <c r="J65" s="71"/>
      <c r="K65" s="71"/>
      <c r="L65" s="71"/>
      <c r="M65" s="71"/>
      <c r="N65" s="71"/>
      <c r="O65" s="25"/>
      <c r="P65" s="14"/>
      <c r="Q65" s="14"/>
      <c r="R65" s="14"/>
      <c r="S65" s="71"/>
      <c r="T65" s="71"/>
      <c r="U65" s="71"/>
      <c r="V65" s="278" t="s">
        <v>942</v>
      </c>
      <c r="X65" s="24"/>
      <c r="Y65" s="12"/>
    </row>
    <row r="66" spans="2:25" s="14" customFormat="1" ht="16.5">
      <c r="B66" s="111" t="s">
        <v>961</v>
      </c>
      <c r="C66" s="119"/>
      <c r="D66" s="119"/>
      <c r="E66" s="384"/>
      <c r="F66" s="120"/>
      <c r="G66" s="120"/>
      <c r="H66" s="120"/>
      <c r="I66" s="120"/>
      <c r="J66" s="235"/>
      <c r="K66" s="235"/>
      <c r="L66" s="235"/>
      <c r="M66" s="235"/>
      <c r="N66" s="235"/>
      <c r="O66" s="121"/>
      <c r="P66" s="122"/>
      <c r="Q66" s="122"/>
      <c r="R66" s="113"/>
      <c r="S66" s="235"/>
      <c r="T66" s="235"/>
      <c r="U66" s="235"/>
      <c r="V66" s="114">
        <f>SUM(V67:V71)</f>
        <v>0</v>
      </c>
      <c r="X66" s="57"/>
    </row>
    <row r="67" spans="2:25" s="14" customFormat="1">
      <c r="B67" s="141" t="s">
        <v>962</v>
      </c>
      <c r="C67" s="139" t="s">
        <v>963</v>
      </c>
      <c r="D67" s="135" t="s">
        <v>345</v>
      </c>
      <c r="E67" s="234"/>
      <c r="F67" s="21"/>
      <c r="G67" s="21"/>
      <c r="H67" s="21"/>
      <c r="I67" s="21"/>
      <c r="J67" s="234"/>
      <c r="K67" s="234"/>
      <c r="L67" s="234"/>
      <c r="M67" s="234"/>
      <c r="N67" s="189">
        <f>IF($D67="MWh/yr (LHV)",$E67,$J67*$E67*(1-$L67)/Conversion_kWh_to_MJ)</f>
        <v>0</v>
      </c>
      <c r="O67" s="12"/>
      <c r="P67" s="12"/>
      <c r="Q67" s="12"/>
      <c r="R67" s="12"/>
      <c r="S67" s="230">
        <v>1000</v>
      </c>
      <c r="T67" s="368"/>
      <c r="U67" s="30" t="s">
        <v>964</v>
      </c>
      <c r="V67" s="189" t="str">
        <f>IFERROR(IF(D67="tonnes/yr", $S67*$E67/($N$9*3.6), $T67*3.6*$E67/($N$9*3.6)), "Unfilled fields to left")</f>
        <v>Unfilled fields to left</v>
      </c>
      <c r="X67" s="21"/>
    </row>
    <row r="68" spans="2:25" s="14" customFormat="1">
      <c r="B68" s="141"/>
      <c r="C68" s="139"/>
      <c r="D68" s="135"/>
      <c r="E68" s="234"/>
      <c r="F68" s="52"/>
      <c r="G68" s="52"/>
      <c r="H68" s="52"/>
      <c r="I68" s="52"/>
      <c r="J68" s="233"/>
      <c r="K68" s="234"/>
      <c r="L68" s="234"/>
      <c r="M68" s="234"/>
      <c r="N68" s="189">
        <f>IF($D68="MWh/yr (LHV)",$E68,$J68*$E68*(1-$L68)/Conversion_kWh_to_MJ)</f>
        <v>0</v>
      </c>
      <c r="O68" s="12"/>
      <c r="P68" s="12"/>
      <c r="Q68" s="12"/>
      <c r="R68" s="12"/>
      <c r="S68" s="232"/>
      <c r="T68" s="368"/>
      <c r="U68" s="232"/>
      <c r="V68" s="189" t="str">
        <f>IFERROR(IF(D68="tonnes/yr", $S68*$E68/($N$9*3.6), $T68*3.6*$E68/($N$9*3.6)), "Unfilled fields to left")</f>
        <v>Unfilled fields to left</v>
      </c>
      <c r="X68" s="21"/>
    </row>
    <row r="69" spans="2:25" s="14" customFormat="1">
      <c r="B69" s="141"/>
      <c r="C69" s="139"/>
      <c r="D69" s="135"/>
      <c r="E69" s="234"/>
      <c r="F69" s="52"/>
      <c r="G69" s="52"/>
      <c r="H69" s="52"/>
      <c r="I69" s="52"/>
      <c r="J69" s="233"/>
      <c r="K69" s="234"/>
      <c r="L69" s="234"/>
      <c r="M69" s="234"/>
      <c r="N69" s="189">
        <f>IF($D69="MWh/yr (LHV)",$E69,$J69*$E69*(1-$L69)/Conversion_kWh_to_MJ)</f>
        <v>0</v>
      </c>
      <c r="O69" s="12"/>
      <c r="P69" s="12"/>
      <c r="Q69" s="12"/>
      <c r="R69" s="12"/>
      <c r="S69" s="232"/>
      <c r="T69" s="368"/>
      <c r="U69" s="232"/>
      <c r="V69" s="189" t="str">
        <f>IFERROR(IF(D69="tonnes/yr", $S69*$E69/($N$9*3.6), $T69*3.6*$E69/($N$9*3.6)), "Unfilled fields to left")</f>
        <v>Unfilled fields to left</v>
      </c>
      <c r="X69" s="21"/>
    </row>
    <row r="70" spans="2:25" s="14" customFormat="1">
      <c r="B70" s="141"/>
      <c r="C70" s="139"/>
      <c r="D70" s="135"/>
      <c r="E70" s="234"/>
      <c r="F70" s="52"/>
      <c r="G70" s="52"/>
      <c r="H70" s="52"/>
      <c r="I70" s="52"/>
      <c r="J70" s="233"/>
      <c r="K70" s="234"/>
      <c r="L70" s="234"/>
      <c r="M70" s="234"/>
      <c r="N70" s="189">
        <f>IF($D70="MWh/yr (LHV)",$E70,$J70*$E70*(1-$L70)/Conversion_kWh_to_MJ)</f>
        <v>0</v>
      </c>
      <c r="O70" s="12"/>
      <c r="P70" s="12"/>
      <c r="Q70" s="12"/>
      <c r="R70" s="12"/>
      <c r="S70" s="232"/>
      <c r="T70" s="368"/>
      <c r="U70" s="232"/>
      <c r="V70" s="189" t="str">
        <f>IFERROR(IF(D70="tonnes/yr", $S70*$E70/($N$9*3.6), $T70*3.6*$E70/($N$9*3.6)), "Unfilled fields to left")</f>
        <v>Unfilled fields to left</v>
      </c>
      <c r="X70" s="21"/>
    </row>
    <row r="71" spans="2:25" s="14" customFormat="1">
      <c r="B71" s="141"/>
      <c r="C71" s="139"/>
      <c r="D71" s="135"/>
      <c r="E71" s="234"/>
      <c r="F71" s="234"/>
      <c r="G71" s="234"/>
      <c r="H71" s="234"/>
      <c r="I71" s="234"/>
      <c r="J71" s="234"/>
      <c r="K71" s="234"/>
      <c r="L71" s="234"/>
      <c r="M71" s="234"/>
      <c r="N71" s="189">
        <f>IF($D71="MWh/yr (LHV)",$E71,$J71*$E71*(1-$L71)/Conversion_kWh_to_MJ)</f>
        <v>0</v>
      </c>
      <c r="O71" s="12"/>
      <c r="P71" s="12"/>
      <c r="Q71" s="12"/>
      <c r="R71" s="12"/>
      <c r="S71" s="232"/>
      <c r="T71" s="368"/>
      <c r="U71" s="232"/>
      <c r="V71" s="189" t="str">
        <f>IFERROR(IF(D71="tonnes/yr", $S71*$E71/($N$9*3.6), $T71*3.6*$E71/($N$9*3.6)), "Unfilled fields to left")</f>
        <v>Unfilled fields to left</v>
      </c>
      <c r="X71" s="21"/>
    </row>
    <row r="72" spans="2:25">
      <c r="B72" s="14"/>
      <c r="C72" s="68"/>
      <c r="D72" s="68"/>
      <c r="E72" s="383"/>
      <c r="F72" s="69"/>
      <c r="G72" s="69"/>
      <c r="H72" s="70"/>
      <c r="I72" s="70"/>
      <c r="J72" s="71"/>
      <c r="K72" s="71"/>
      <c r="L72" s="71"/>
      <c r="M72" s="71"/>
      <c r="N72" s="71"/>
      <c r="O72" s="25"/>
      <c r="P72" s="14"/>
      <c r="Q72" s="14"/>
      <c r="R72" s="14"/>
      <c r="S72" s="71"/>
      <c r="T72" s="71"/>
      <c r="U72" s="71"/>
      <c r="V72" s="71"/>
      <c r="X72" s="24"/>
      <c r="Y72" s="12"/>
    </row>
    <row r="73" spans="2:25">
      <c r="B73" s="14"/>
      <c r="C73" s="68"/>
      <c r="D73" s="68"/>
      <c r="E73" s="383"/>
      <c r="F73" s="69"/>
      <c r="G73" s="69"/>
      <c r="H73" s="70"/>
      <c r="I73" s="70"/>
      <c r="J73" s="71"/>
      <c r="K73" s="71"/>
      <c r="L73" s="71"/>
      <c r="M73" s="71"/>
      <c r="N73" s="71"/>
      <c r="O73" s="25"/>
      <c r="P73" s="14"/>
      <c r="Q73" s="14"/>
      <c r="R73" s="14"/>
      <c r="S73" s="71"/>
      <c r="T73" s="71"/>
      <c r="U73" s="71"/>
      <c r="V73" s="278" t="s">
        <v>942</v>
      </c>
      <c r="X73" s="24"/>
      <c r="Y73" s="12"/>
    </row>
    <row r="74" spans="2:25" ht="16.5">
      <c r="B74" s="111" t="s">
        <v>965</v>
      </c>
      <c r="C74" s="115"/>
      <c r="D74" s="115"/>
      <c r="E74" s="382"/>
      <c r="F74" s="116"/>
      <c r="G74" s="116"/>
      <c r="H74" s="117"/>
      <c r="I74" s="362"/>
      <c r="J74" s="367"/>
      <c r="K74" s="367"/>
      <c r="L74" s="367"/>
      <c r="M74" s="367"/>
      <c r="N74" s="367"/>
      <c r="O74" s="118"/>
      <c r="P74" s="118"/>
      <c r="Q74" s="118"/>
      <c r="R74" s="118"/>
      <c r="S74" s="367"/>
      <c r="T74" s="367"/>
      <c r="U74" s="367"/>
      <c r="V74" s="114">
        <f>SUM(V75:V80)</f>
        <v>0</v>
      </c>
      <c r="X74" s="60"/>
      <c r="Y74" s="12"/>
    </row>
    <row r="75" spans="2:25" s="14" customFormat="1">
      <c r="B75" s="141" t="s">
        <v>926</v>
      </c>
      <c r="C75" s="139" t="s">
        <v>966</v>
      </c>
      <c r="D75" s="135" t="s">
        <v>364</v>
      </c>
      <c r="E75" s="234"/>
      <c r="F75" s="21"/>
      <c r="G75" s="21"/>
      <c r="H75" s="52"/>
      <c r="I75" s="52"/>
      <c r="J75" s="233"/>
      <c r="K75" s="234"/>
      <c r="L75" s="234"/>
      <c r="M75" s="234"/>
      <c r="N75" s="189">
        <f t="shared" ref="N75:N80" si="12">IF($D75="MWh/yr (LHV)",$E75,$J75*$E75*(1-$L75)/Conversion_kWh_to_MJ)</f>
        <v>0</v>
      </c>
      <c r="O75" s="19"/>
      <c r="P75" s="19"/>
      <c r="Q75" s="19"/>
      <c r="R75" s="19"/>
      <c r="S75" s="230" t="str">
        <f>IF(B75="", "", IF(D75="MWh/yr (LHV)", "Use column to right", "Enter data here"))</f>
        <v>Use column to right</v>
      </c>
      <c r="T75" s="230" t="e">
        <f>Initial_questions!$E$36*1000/Conversion_kWh_to_MJ</f>
        <v>#VALUE!</v>
      </c>
      <c r="U75" s="30" t="s">
        <v>967</v>
      </c>
      <c r="V75" s="189" t="str">
        <f t="shared" ref="V75:V80" si="13">IFERROR(IF(D75="tonnes/yr", $S75*$E75/($N$9*3.6), $T75*3.6*$E75/($N$9*3.6)), "Unfilled fields to left")</f>
        <v>Unfilled fields to left</v>
      </c>
      <c r="X75" s="21"/>
    </row>
    <row r="76" spans="2:25" s="14" customFormat="1">
      <c r="B76" s="141" t="s">
        <v>926</v>
      </c>
      <c r="C76" s="139" t="s">
        <v>968</v>
      </c>
      <c r="D76" s="135" t="s">
        <v>364</v>
      </c>
      <c r="E76" s="234"/>
      <c r="F76" s="21"/>
      <c r="G76" s="21"/>
      <c r="H76" s="52"/>
      <c r="I76" s="52"/>
      <c r="J76" s="233"/>
      <c r="K76" s="234"/>
      <c r="L76" s="234"/>
      <c r="M76" s="234"/>
      <c r="N76" s="189">
        <f t="shared" si="12"/>
        <v>0</v>
      </c>
      <c r="O76" s="19"/>
      <c r="P76" s="19"/>
      <c r="Q76" s="19"/>
      <c r="R76" s="19"/>
      <c r="S76" s="230" t="str">
        <f t="shared" ref="S76:S79" si="14">IF(B76="", "", IF(D76="MWh/yr (LHV)", "Use column to right", "Enter data here"))</f>
        <v>Use column to right</v>
      </c>
      <c r="T76" s="230" t="e">
        <f>INDEX(Proj_grid_intensity_kWh,MATCH(Operations_year,Proj_grid_year,0))/Conversion_kWh_to_MJ</f>
        <v>#N/A</v>
      </c>
      <c r="U76" s="30" t="s">
        <v>969</v>
      </c>
      <c r="V76" s="189" t="str">
        <f t="shared" si="13"/>
        <v>Unfilled fields to left</v>
      </c>
      <c r="X76" s="53"/>
    </row>
    <row r="77" spans="2:25" s="14" customFormat="1">
      <c r="B77" s="141" t="s">
        <v>926</v>
      </c>
      <c r="C77" s="139" t="s">
        <v>970</v>
      </c>
      <c r="D77" s="135" t="s">
        <v>345</v>
      </c>
      <c r="E77" s="234"/>
      <c r="F77" s="21"/>
      <c r="G77" s="21"/>
      <c r="H77" s="52"/>
      <c r="I77" s="52"/>
      <c r="J77" s="233"/>
      <c r="K77" s="234"/>
      <c r="L77" s="234"/>
      <c r="M77" s="234"/>
      <c r="N77" s="189">
        <f t="shared" si="12"/>
        <v>0</v>
      </c>
      <c r="O77" s="19"/>
      <c r="P77" s="19"/>
      <c r="Q77" s="19"/>
      <c r="R77" s="19"/>
      <c r="S77" s="230" t="str">
        <f t="shared" si="14"/>
        <v>Enter data here</v>
      </c>
      <c r="T77" s="230" t="str">
        <f>IF(B77="", "", IF(D77="MWh/yr (LHV)", "Enter data here", "Use column to left"))</f>
        <v>Use column to left</v>
      </c>
      <c r="U77" s="30" t="s">
        <v>971</v>
      </c>
      <c r="V77" s="189" t="str">
        <f t="shared" si="13"/>
        <v>Unfilled fields to left</v>
      </c>
      <c r="X77" s="53"/>
    </row>
    <row r="78" spans="2:25">
      <c r="B78" s="141" t="s">
        <v>926</v>
      </c>
      <c r="C78" s="139" t="s">
        <v>972</v>
      </c>
      <c r="D78" s="135" t="s">
        <v>345</v>
      </c>
      <c r="E78" s="234"/>
      <c r="F78" s="45"/>
      <c r="G78" s="21"/>
      <c r="H78" s="20"/>
      <c r="I78" s="358"/>
      <c r="J78" s="232"/>
      <c r="K78" s="232"/>
      <c r="L78" s="232"/>
      <c r="M78" s="232"/>
      <c r="N78" s="189">
        <f t="shared" si="12"/>
        <v>0</v>
      </c>
      <c r="O78" s="12"/>
      <c r="S78" s="230" t="str">
        <f t="shared" si="14"/>
        <v>Enter data here</v>
      </c>
      <c r="T78" s="230" t="str">
        <f>IF(B78="", "", IF(D78="MWh/yr (LHV)", "Enter data here", "Use column to left"))</f>
        <v>Use column to left</v>
      </c>
      <c r="U78" s="30" t="s">
        <v>971</v>
      </c>
      <c r="V78" s="189" t="str">
        <f t="shared" si="13"/>
        <v>Unfilled fields to left</v>
      </c>
      <c r="X78" s="23"/>
      <c r="Y78" s="12"/>
    </row>
    <row r="79" spans="2:25">
      <c r="B79" s="141" t="s">
        <v>926</v>
      </c>
      <c r="C79" s="139" t="s">
        <v>973</v>
      </c>
      <c r="D79" s="135" t="s">
        <v>364</v>
      </c>
      <c r="E79" s="234"/>
      <c r="F79" s="45"/>
      <c r="G79" s="21"/>
      <c r="H79" s="20"/>
      <c r="I79" s="358"/>
      <c r="J79" s="232"/>
      <c r="K79" s="232"/>
      <c r="L79" s="232"/>
      <c r="M79" s="232"/>
      <c r="N79" s="189">
        <f t="shared" si="12"/>
        <v>0</v>
      </c>
      <c r="O79" s="12"/>
      <c r="S79" s="230" t="str">
        <f t="shared" si="14"/>
        <v>Use column to right</v>
      </c>
      <c r="T79" s="230" t="e">
        <f>INDEX(Proj_grid_intensity_kWh,MATCH(Operations_year,Proj_grid_year,0))/Conversion_kWh_to_MJ</f>
        <v>#N/A</v>
      </c>
      <c r="U79" s="30" t="s">
        <v>969</v>
      </c>
      <c r="V79" s="189" t="str">
        <f t="shared" si="13"/>
        <v>Unfilled fields to left</v>
      </c>
      <c r="X79" s="23"/>
      <c r="Y79" s="12"/>
    </row>
    <row r="80" spans="2:25">
      <c r="B80" s="141"/>
      <c r="C80" s="139"/>
      <c r="D80" s="135"/>
      <c r="E80" s="234"/>
      <c r="F80" s="45"/>
      <c r="G80" s="21"/>
      <c r="H80" s="20"/>
      <c r="I80" s="358"/>
      <c r="J80" s="232"/>
      <c r="K80" s="232"/>
      <c r="L80" s="232"/>
      <c r="M80" s="232"/>
      <c r="N80" s="189">
        <f t="shared" si="12"/>
        <v>0</v>
      </c>
      <c r="O80" s="12"/>
      <c r="S80" s="232"/>
      <c r="T80" s="232"/>
      <c r="U80" s="232"/>
      <c r="V80" s="189" t="str">
        <f t="shared" si="13"/>
        <v>Unfilled fields to left</v>
      </c>
      <c r="X80" s="23"/>
      <c r="Y80" s="12"/>
    </row>
    <row r="81" spans="2:24" s="14" customFormat="1">
      <c r="B81" s="55"/>
      <c r="C81" s="56"/>
      <c r="D81" s="56"/>
      <c r="E81" s="109"/>
      <c r="F81" s="57"/>
      <c r="G81" s="57"/>
      <c r="H81" s="58"/>
      <c r="I81" s="58"/>
      <c r="J81" s="59"/>
      <c r="K81" s="59"/>
      <c r="L81" s="59"/>
      <c r="M81" s="59"/>
      <c r="N81" s="59"/>
      <c r="O81" s="12"/>
      <c r="P81" s="12"/>
      <c r="Q81" s="12"/>
      <c r="R81" s="12"/>
      <c r="S81" s="59"/>
      <c r="T81" s="59"/>
      <c r="U81" s="59"/>
      <c r="V81" s="59"/>
      <c r="X81" s="57"/>
    </row>
    <row r="82" spans="2:24" s="14" customFormat="1">
      <c r="B82" s="55"/>
      <c r="C82" s="56"/>
      <c r="D82" s="56"/>
      <c r="E82" s="109"/>
      <c r="F82" s="57"/>
      <c r="G82" s="57"/>
      <c r="H82" s="58"/>
      <c r="I82" s="58"/>
      <c r="J82" s="59"/>
      <c r="K82" s="59"/>
      <c r="L82" s="59"/>
      <c r="M82" s="59"/>
      <c r="N82" s="59"/>
      <c r="O82" s="12"/>
      <c r="P82" s="12"/>
      <c r="Q82" s="12"/>
      <c r="R82" s="12"/>
      <c r="S82" s="59"/>
      <c r="T82" s="59"/>
      <c r="U82" s="59"/>
      <c r="V82" s="279" t="s">
        <v>942</v>
      </c>
      <c r="X82" s="57"/>
    </row>
    <row r="83" spans="2:24" s="14" customFormat="1" ht="16.5">
      <c r="B83" s="111" t="s">
        <v>974</v>
      </c>
      <c r="C83" s="119"/>
      <c r="D83" s="119"/>
      <c r="E83" s="384"/>
      <c r="F83" s="120"/>
      <c r="G83" s="120"/>
      <c r="H83" s="120"/>
      <c r="I83" s="120"/>
      <c r="J83" s="235"/>
      <c r="K83" s="235"/>
      <c r="L83" s="235"/>
      <c r="M83" s="235"/>
      <c r="N83" s="235"/>
      <c r="O83" s="121"/>
      <c r="P83" s="122"/>
      <c r="Q83" s="122"/>
      <c r="R83" s="113"/>
      <c r="S83" s="235"/>
      <c r="T83" s="235"/>
      <c r="U83" s="235"/>
      <c r="V83" s="114">
        <f>SUM(V84:V88)</f>
        <v>0</v>
      </c>
      <c r="X83" s="57"/>
    </row>
    <row r="84" spans="2:24" s="14" customFormat="1">
      <c r="B84" s="141" t="s">
        <v>975</v>
      </c>
      <c r="C84" s="139" t="s">
        <v>976</v>
      </c>
      <c r="D84" s="135" t="s">
        <v>345</v>
      </c>
      <c r="E84" s="30">
        <f>E67*E113</f>
        <v>0</v>
      </c>
      <c r="F84" s="52"/>
      <c r="G84" s="52"/>
      <c r="H84" s="52"/>
      <c r="I84" s="52"/>
      <c r="J84" s="233"/>
      <c r="K84" s="234"/>
      <c r="L84" s="234"/>
      <c r="M84" s="234"/>
      <c r="N84" s="189">
        <f>IF($D84="MWh/yr (LHV)",$E84,$J84*$E84/Conversion_kWh_to_MJ)</f>
        <v>0</v>
      </c>
      <c r="O84" s="12"/>
      <c r="P84" s="12"/>
      <c r="Q84" s="12"/>
      <c r="R84" s="12"/>
      <c r="S84" s="230">
        <v>-1000</v>
      </c>
      <c r="T84" s="368"/>
      <c r="U84" s="30" t="s">
        <v>964</v>
      </c>
      <c r="V84" s="189" t="str">
        <f>IFERROR(IF(D84="tonnes/yr", $S84*$E84/($N$9*3.6), $T84*3.6*$E84/($N$9*3.6)), "Unfilled fields to left")</f>
        <v>Unfilled fields to left</v>
      </c>
      <c r="X84" s="21"/>
    </row>
    <row r="85" spans="2:24" s="14" customFormat="1">
      <c r="B85" s="141"/>
      <c r="C85" s="139"/>
      <c r="D85" s="135"/>
      <c r="E85" s="234"/>
      <c r="F85" s="52"/>
      <c r="G85" s="52"/>
      <c r="H85" s="52"/>
      <c r="I85" s="52"/>
      <c r="J85" s="233"/>
      <c r="K85" s="234"/>
      <c r="L85" s="234"/>
      <c r="M85" s="234"/>
      <c r="N85" s="189">
        <f>IF($D85="MWh/yr (LHV)",$E85,$J85*$E85/Conversion_kWh_to_MJ)</f>
        <v>0</v>
      </c>
      <c r="O85" s="12"/>
      <c r="P85" s="12"/>
      <c r="Q85" s="12"/>
      <c r="R85" s="12"/>
      <c r="S85" s="232"/>
      <c r="T85" s="368"/>
      <c r="U85" s="232"/>
      <c r="V85" s="189" t="str">
        <f>IFERROR(IF(D85="tonnes/yr", $S85*$E85/($N$9*3.6), $T85*3.6*$E85/($N$9*3.6)), "Unfilled fields to left")</f>
        <v>Unfilled fields to left</v>
      </c>
      <c r="X85" s="21"/>
    </row>
    <row r="86" spans="2:24" s="14" customFormat="1">
      <c r="B86" s="141"/>
      <c r="C86" s="139"/>
      <c r="D86" s="135"/>
      <c r="E86" s="234"/>
      <c r="F86" s="52"/>
      <c r="G86" s="52"/>
      <c r="H86" s="52"/>
      <c r="I86" s="52"/>
      <c r="J86" s="233"/>
      <c r="K86" s="234"/>
      <c r="L86" s="234"/>
      <c r="M86" s="234"/>
      <c r="N86" s="189">
        <f>IF($D86="MWh/yr (LHV)",$E86,$J86*$E86/Conversion_kWh_to_MJ)</f>
        <v>0</v>
      </c>
      <c r="O86" s="12"/>
      <c r="P86" s="12"/>
      <c r="Q86" s="12"/>
      <c r="R86" s="12"/>
      <c r="S86" s="232"/>
      <c r="T86" s="368"/>
      <c r="U86" s="232"/>
      <c r="V86" s="189" t="str">
        <f>IFERROR(IF(D86="tonnes/yr", $S86*$E86/($N$9*3.6), $T86*3.6*$E86/($N$9*3.6)), "Unfilled fields to left")</f>
        <v>Unfilled fields to left</v>
      </c>
      <c r="X86" s="21"/>
    </row>
    <row r="87" spans="2:24" s="14" customFormat="1">
      <c r="B87" s="141"/>
      <c r="C87" s="139"/>
      <c r="D87" s="135"/>
      <c r="E87" s="234"/>
      <c r="F87" s="52"/>
      <c r="G87" s="52"/>
      <c r="H87" s="52"/>
      <c r="I87" s="52"/>
      <c r="J87" s="233"/>
      <c r="K87" s="234"/>
      <c r="L87" s="234"/>
      <c r="M87" s="234"/>
      <c r="N87" s="189">
        <f>IF($D87="MWh/yr (LHV)",$E87,$J87*$E87/Conversion_kWh_to_MJ)</f>
        <v>0</v>
      </c>
      <c r="O87" s="12"/>
      <c r="P87" s="12"/>
      <c r="Q87" s="12"/>
      <c r="R87" s="12"/>
      <c r="S87" s="232"/>
      <c r="T87" s="368"/>
      <c r="U87" s="232"/>
      <c r="V87" s="189" t="str">
        <f>IFERROR(IF(D87="tonnes/yr", $S87*$E87/($N$9*3.6), $T87*3.6*$E87/($N$9*3.6)), "Unfilled fields to left")</f>
        <v>Unfilled fields to left</v>
      </c>
      <c r="X87" s="21"/>
    </row>
    <row r="88" spans="2:24" s="14" customFormat="1">
      <c r="B88" s="141"/>
      <c r="C88" s="139"/>
      <c r="D88" s="135"/>
      <c r="E88" s="234"/>
      <c r="F88" s="234"/>
      <c r="G88" s="234"/>
      <c r="H88" s="234"/>
      <c r="I88" s="234"/>
      <c r="J88" s="234"/>
      <c r="K88" s="234"/>
      <c r="L88" s="234"/>
      <c r="M88" s="234"/>
      <c r="N88" s="189">
        <f>IF($D88="MWh/yr (LHV)",$E88,$J88*$E88/Conversion_kWh_to_MJ)</f>
        <v>0</v>
      </c>
      <c r="O88" s="12"/>
      <c r="P88" s="12"/>
      <c r="Q88" s="12"/>
      <c r="R88" s="12"/>
      <c r="S88" s="232"/>
      <c r="T88" s="368"/>
      <c r="U88" s="232"/>
      <c r="V88" s="189" t="str">
        <f>IFERROR(IF(D88="tonnes/yr", $S88*$E88/($N$9*3.6), $T88*3.6*$E88/($N$9*3.6)), "Unfilled fields to left")</f>
        <v>Unfilled fields to left</v>
      </c>
      <c r="X88" s="21"/>
    </row>
    <row r="89" spans="2:24" s="14" customFormat="1">
      <c r="B89" s="55"/>
      <c r="C89" s="56"/>
      <c r="D89" s="56"/>
      <c r="E89" s="109"/>
      <c r="F89" s="57"/>
      <c r="G89" s="57"/>
      <c r="H89" s="58"/>
      <c r="I89" s="58"/>
      <c r="J89" s="59"/>
      <c r="K89" s="59"/>
      <c r="L89" s="59"/>
      <c r="M89" s="59"/>
      <c r="N89" s="59"/>
      <c r="O89" s="12"/>
      <c r="P89" s="12"/>
      <c r="Q89" s="12"/>
      <c r="R89" s="12"/>
      <c r="S89" s="59"/>
      <c r="T89" s="59"/>
      <c r="U89" s="59"/>
      <c r="V89" s="59"/>
      <c r="X89" s="57"/>
    </row>
    <row r="90" spans="2:24" s="14" customFormat="1">
      <c r="B90" s="55"/>
      <c r="C90" s="56"/>
      <c r="D90" s="56"/>
      <c r="E90" s="109"/>
      <c r="F90" s="57"/>
      <c r="G90" s="57"/>
      <c r="H90" s="58"/>
      <c r="I90" s="58"/>
      <c r="J90" s="59"/>
      <c r="K90" s="59"/>
      <c r="L90" s="59"/>
      <c r="M90" s="59"/>
      <c r="N90" s="59"/>
      <c r="O90" s="12"/>
      <c r="P90" s="12"/>
      <c r="Q90" s="12"/>
      <c r="R90" s="12"/>
      <c r="S90" s="59"/>
      <c r="T90" s="59"/>
      <c r="U90" s="59"/>
      <c r="V90" s="279" t="s">
        <v>942</v>
      </c>
      <c r="X90" s="57"/>
    </row>
    <row r="91" spans="2:24" s="14" customFormat="1" ht="16.5">
      <c r="B91" s="111" t="s">
        <v>70</v>
      </c>
      <c r="C91" s="119"/>
      <c r="D91" s="119"/>
      <c r="E91" s="384"/>
      <c r="F91" s="120"/>
      <c r="G91" s="120"/>
      <c r="H91" s="120"/>
      <c r="I91" s="120"/>
      <c r="J91" s="235"/>
      <c r="K91" s="235"/>
      <c r="L91" s="235"/>
      <c r="M91" s="235"/>
      <c r="N91" s="235"/>
      <c r="O91" s="121"/>
      <c r="P91" s="122"/>
      <c r="Q91" s="122"/>
      <c r="R91" s="113"/>
      <c r="S91" s="235"/>
      <c r="T91" s="235"/>
      <c r="U91" s="235"/>
      <c r="V91" s="114">
        <f>SUM(V92:V99)</f>
        <v>0</v>
      </c>
      <c r="X91" s="57"/>
    </row>
    <row r="92" spans="2:24" s="14" customFormat="1">
      <c r="B92" s="141" t="s">
        <v>977</v>
      </c>
      <c r="C92" s="139" t="s">
        <v>978</v>
      </c>
      <c r="D92" s="135" t="s">
        <v>345</v>
      </c>
      <c r="E92" s="234"/>
      <c r="F92" s="21"/>
      <c r="G92" s="21"/>
      <c r="H92" s="21"/>
      <c r="I92" s="21"/>
      <c r="J92" s="234"/>
      <c r="K92" s="234"/>
      <c r="L92" s="234"/>
      <c r="M92" s="234"/>
      <c r="N92" s="189">
        <f t="shared" ref="N92:N99" si="15">IF($D92="MWh/yr (LHV)",$E92,$J92*$E92/Conversion_kWh_to_MJ)</f>
        <v>0</v>
      </c>
      <c r="O92" s="12"/>
      <c r="P92" s="12"/>
      <c r="Q92" s="12"/>
      <c r="R92" s="12"/>
      <c r="S92" s="230">
        <f t="shared" ref="S92" si="16">28*1000</f>
        <v>28000</v>
      </c>
      <c r="T92" s="368"/>
      <c r="U92" s="30" t="s">
        <v>964</v>
      </c>
      <c r="V92" s="189" t="str">
        <f t="shared" ref="V92:V99" si="17">IFERROR(IF(D92="tonnes/yr", $S92*$E92/($N$9*3.6), $T92*3.6*$E92/($N$9*3.6)), "Unfilled fields to left")</f>
        <v>Unfilled fields to left</v>
      </c>
      <c r="X92" s="21"/>
    </row>
    <row r="93" spans="2:24" s="14" customFormat="1">
      <c r="B93" s="142" t="s">
        <v>979</v>
      </c>
      <c r="C93" s="139" t="s">
        <v>980</v>
      </c>
      <c r="D93" s="135" t="s">
        <v>345</v>
      </c>
      <c r="E93" s="234"/>
      <c r="F93" s="53"/>
      <c r="G93" s="53"/>
      <c r="H93" s="54"/>
      <c r="I93" s="54"/>
      <c r="J93" s="236"/>
      <c r="K93" s="236"/>
      <c r="L93" s="236"/>
      <c r="M93" s="236"/>
      <c r="N93" s="189">
        <f t="shared" si="15"/>
        <v>0</v>
      </c>
      <c r="O93" s="19"/>
      <c r="P93" s="19"/>
      <c r="Q93" s="19"/>
      <c r="R93" s="19"/>
      <c r="S93" s="230">
        <v>265000</v>
      </c>
      <c r="T93" s="368"/>
      <c r="U93" s="374" t="s">
        <v>964</v>
      </c>
      <c r="V93" s="189" t="str">
        <f t="shared" si="17"/>
        <v>Unfilled fields to left</v>
      </c>
      <c r="X93" s="53"/>
    </row>
    <row r="94" spans="2:24" s="14" customFormat="1">
      <c r="B94" s="142" t="s">
        <v>981</v>
      </c>
      <c r="C94" s="139" t="s">
        <v>982</v>
      </c>
      <c r="D94" s="135" t="s">
        <v>345</v>
      </c>
      <c r="E94" s="234"/>
      <c r="F94" s="53"/>
      <c r="G94" s="53"/>
      <c r="H94" s="54"/>
      <c r="I94" s="54"/>
      <c r="J94" s="236"/>
      <c r="K94" s="236"/>
      <c r="L94" s="236"/>
      <c r="M94" s="236"/>
      <c r="N94" s="189">
        <f t="shared" si="15"/>
        <v>0</v>
      </c>
      <c r="O94" s="19"/>
      <c r="P94" s="19"/>
      <c r="Q94" s="19"/>
      <c r="R94" s="19"/>
      <c r="S94" s="230">
        <v>23500000</v>
      </c>
      <c r="T94" s="368"/>
      <c r="U94" s="374" t="s">
        <v>964</v>
      </c>
      <c r="V94" s="189" t="str">
        <f t="shared" si="17"/>
        <v>Unfilled fields to left</v>
      </c>
      <c r="X94" s="53"/>
    </row>
    <row r="95" spans="2:24" s="14" customFormat="1">
      <c r="B95" s="142" t="s">
        <v>983</v>
      </c>
      <c r="C95" s="139" t="s">
        <v>984</v>
      </c>
      <c r="D95" s="135" t="s">
        <v>345</v>
      </c>
      <c r="E95" s="234"/>
      <c r="F95" s="53"/>
      <c r="G95" s="53"/>
      <c r="H95" s="54"/>
      <c r="I95" s="54"/>
      <c r="J95" s="236"/>
      <c r="K95" s="236"/>
      <c r="L95" s="236"/>
      <c r="M95" s="236"/>
      <c r="N95" s="189">
        <f t="shared" si="15"/>
        <v>0</v>
      </c>
      <c r="O95" s="19"/>
      <c r="P95" s="19"/>
      <c r="Q95" s="19"/>
      <c r="R95" s="19"/>
      <c r="S95" s="375" t="s">
        <v>985</v>
      </c>
      <c r="T95" s="368"/>
      <c r="U95" s="236"/>
      <c r="V95" s="189" t="str">
        <f t="shared" si="17"/>
        <v>Unfilled fields to left</v>
      </c>
      <c r="X95" s="53"/>
    </row>
    <row r="96" spans="2:24" s="14" customFormat="1">
      <c r="B96" s="142" t="s">
        <v>983</v>
      </c>
      <c r="C96" s="139" t="s">
        <v>984</v>
      </c>
      <c r="D96" s="135" t="s">
        <v>345</v>
      </c>
      <c r="E96" s="234"/>
      <c r="F96" s="53"/>
      <c r="G96" s="53"/>
      <c r="H96" s="54"/>
      <c r="I96" s="54"/>
      <c r="J96" s="236"/>
      <c r="K96" s="236"/>
      <c r="L96" s="236"/>
      <c r="M96" s="236"/>
      <c r="N96" s="189">
        <f t="shared" si="15"/>
        <v>0</v>
      </c>
      <c r="O96" s="19"/>
      <c r="P96" s="19"/>
      <c r="Q96" s="19"/>
      <c r="R96" s="19"/>
      <c r="S96" s="375" t="s">
        <v>985</v>
      </c>
      <c r="T96" s="368"/>
      <c r="U96" s="236"/>
      <c r="V96" s="189" t="str">
        <f t="shared" si="17"/>
        <v>Unfilled fields to left</v>
      </c>
      <c r="X96" s="53"/>
    </row>
    <row r="97" spans="2:25" s="14" customFormat="1">
      <c r="B97" s="142" t="s">
        <v>983</v>
      </c>
      <c r="C97" s="139" t="s">
        <v>984</v>
      </c>
      <c r="D97" s="135" t="s">
        <v>345</v>
      </c>
      <c r="E97" s="234"/>
      <c r="F97" s="53"/>
      <c r="G97" s="53"/>
      <c r="H97" s="54"/>
      <c r="I97" s="54"/>
      <c r="J97" s="236"/>
      <c r="K97" s="236"/>
      <c r="L97" s="236"/>
      <c r="M97" s="236"/>
      <c r="N97" s="189">
        <f t="shared" si="15"/>
        <v>0</v>
      </c>
      <c r="O97" s="19"/>
      <c r="P97" s="19"/>
      <c r="Q97" s="19"/>
      <c r="R97" s="19"/>
      <c r="S97" s="375" t="s">
        <v>985</v>
      </c>
      <c r="T97" s="368"/>
      <c r="U97" s="236"/>
      <c r="V97" s="189" t="str">
        <f t="shared" si="17"/>
        <v>Unfilled fields to left</v>
      </c>
      <c r="X97" s="53"/>
    </row>
    <row r="98" spans="2:25" s="14" customFormat="1">
      <c r="B98" s="142"/>
      <c r="C98" s="139"/>
      <c r="D98" s="136"/>
      <c r="E98" s="385"/>
      <c r="F98" s="53"/>
      <c r="G98" s="53"/>
      <c r="H98" s="54"/>
      <c r="I98" s="54"/>
      <c r="J98" s="236"/>
      <c r="K98" s="236"/>
      <c r="L98" s="236"/>
      <c r="M98" s="236"/>
      <c r="N98" s="189">
        <f t="shared" si="15"/>
        <v>0</v>
      </c>
      <c r="O98" s="19"/>
      <c r="P98" s="19"/>
      <c r="Q98" s="19"/>
      <c r="R98" s="19"/>
      <c r="S98" s="232"/>
      <c r="T98" s="368"/>
      <c r="U98" s="236"/>
      <c r="V98" s="189" t="str">
        <f t="shared" si="17"/>
        <v>Unfilled fields to left</v>
      </c>
      <c r="X98" s="53"/>
    </row>
    <row r="99" spans="2:25" s="14" customFormat="1">
      <c r="B99" s="142"/>
      <c r="C99" s="139"/>
      <c r="D99" s="136"/>
      <c r="E99" s="385"/>
      <c r="F99" s="53"/>
      <c r="G99" s="53"/>
      <c r="H99" s="54"/>
      <c r="I99" s="54"/>
      <c r="J99" s="236"/>
      <c r="K99" s="236"/>
      <c r="L99" s="236"/>
      <c r="M99" s="236"/>
      <c r="N99" s="189">
        <f t="shared" si="15"/>
        <v>0</v>
      </c>
      <c r="O99" s="19"/>
      <c r="P99" s="19"/>
      <c r="Q99" s="19"/>
      <c r="R99" s="19"/>
      <c r="S99" s="232"/>
      <c r="T99" s="368"/>
      <c r="U99" s="236"/>
      <c r="V99" s="189" t="str">
        <f t="shared" si="17"/>
        <v>Unfilled fields to left</v>
      </c>
      <c r="X99" s="53"/>
    </row>
    <row r="100" spans="2:25">
      <c r="C100" s="17"/>
      <c r="D100" s="17"/>
      <c r="E100" s="108"/>
      <c r="F100" s="17"/>
      <c r="G100" s="17"/>
      <c r="H100" s="18"/>
      <c r="I100" s="18"/>
      <c r="J100" s="34"/>
      <c r="K100" s="34"/>
      <c r="L100" s="34"/>
      <c r="M100" s="34"/>
      <c r="N100" s="34"/>
      <c r="O100" s="12"/>
      <c r="S100" s="34"/>
      <c r="T100" s="34"/>
      <c r="U100" s="34"/>
      <c r="V100" s="34"/>
      <c r="Y100" s="12"/>
    </row>
    <row r="101" spans="2:25">
      <c r="E101" s="80"/>
      <c r="I101" s="12"/>
      <c r="J101" s="80"/>
      <c r="K101" s="80"/>
      <c r="L101" s="80"/>
      <c r="M101" s="80"/>
      <c r="N101" s="80"/>
      <c r="O101" s="12"/>
      <c r="S101" s="33"/>
      <c r="T101" s="33"/>
      <c r="U101" s="376" t="s">
        <v>986</v>
      </c>
      <c r="V101" s="401">
        <f>IF(OR(COUNTIF(Initial_questions!$E$68,"Default"), COUNTIF(Initial_questions!$E$69:$E$70,"Default")),"Default data selected",IF(E108=0,"",SUM(V20,V40,V53,V66,V74,V83,V91)))</f>
        <v>0</v>
      </c>
      <c r="Y101" s="12"/>
    </row>
    <row r="102" spans="2:25">
      <c r="E102" s="80"/>
      <c r="I102" s="12"/>
      <c r="J102" s="80"/>
      <c r="K102" s="80"/>
      <c r="L102" s="80"/>
      <c r="M102" s="80"/>
      <c r="N102" s="80"/>
      <c r="O102" s="12"/>
      <c r="S102" s="80"/>
      <c r="T102" s="80"/>
      <c r="U102" s="376" t="s">
        <v>987</v>
      </c>
      <c r="V102" s="402">
        <f>IF(OR(COUNTIF(Initial_questions!$E$68,"Default"), COUNTIF(Initial_questions!$E$69:$E$70,"Default")),"Default data selected",IF(E109=0,"",SUM(V24,V40,V53,V66,V74,V83,V91)))</f>
        <v>0</v>
      </c>
      <c r="Y102" s="12"/>
    </row>
    <row r="103" spans="2:25">
      <c r="E103" s="80"/>
      <c r="I103" s="12"/>
      <c r="J103" s="80"/>
      <c r="K103" s="80"/>
      <c r="L103" s="80"/>
      <c r="M103" s="80"/>
      <c r="N103" s="80"/>
      <c r="O103" s="12"/>
      <c r="S103" s="80"/>
      <c r="T103" s="80"/>
      <c r="U103" s="32" t="s">
        <v>988</v>
      </c>
      <c r="V103" s="403">
        <f>IF(OR(COUNTIF(Initial_questions!$E$68,"Default"), COUNTIF(Initial_questions!$E$69:$E$70,"Default")),"Default data selected",IF(E110=0,"",SUM(V28,V40,V53,V66,V74,V83,V91)))</f>
        <v>0</v>
      </c>
      <c r="Y103" s="12"/>
    </row>
    <row r="104" spans="2:25">
      <c r="E104" s="80"/>
      <c r="I104" s="12"/>
      <c r="J104" s="80"/>
      <c r="K104" s="80"/>
      <c r="L104" s="80"/>
      <c r="M104" s="80"/>
      <c r="N104" s="80"/>
      <c r="O104" s="12"/>
      <c r="S104" s="80"/>
      <c r="T104" s="80"/>
      <c r="U104" s="32" t="s">
        <v>989</v>
      </c>
      <c r="V104" s="424">
        <f>IF(OR(COUNTIF(Initial_questions!$E$68,"Default"), COUNTIF(Initial_questions!$E$69:$E$70,"Default")),"Default data selected",IF(E111=0,"",SUM(V32,V40,V53,V66,V74,V83,V91)))</f>
        <v>0</v>
      </c>
      <c r="Y104" s="12"/>
    </row>
    <row r="105" spans="2:25">
      <c r="E105" s="12"/>
      <c r="G105" s="19"/>
      <c r="H105" s="12"/>
      <c r="I105" s="12"/>
      <c r="J105" s="80"/>
      <c r="K105" s="80"/>
      <c r="L105" s="80"/>
      <c r="M105" s="80"/>
      <c r="N105" s="80"/>
      <c r="O105" s="12"/>
      <c r="S105" s="80"/>
      <c r="T105" s="80"/>
      <c r="U105" s="376" t="s">
        <v>990</v>
      </c>
      <c r="V105" s="404">
        <f>IF(OR(COUNTIF(Initial_questions!$E$68,"Default"), COUNTIF(Initial_questions!$E$69:$E$70,"Default")),"Default data selected",IF(E112=0,"",SUM(V36,V40,V53,V66,V74,V83,V91)))</f>
        <v>0</v>
      </c>
      <c r="Y105" s="12"/>
    </row>
    <row r="106" spans="2:25">
      <c r="B106" s="111" t="s">
        <v>991</v>
      </c>
      <c r="C106" s="119"/>
      <c r="D106" s="119"/>
      <c r="E106" s="384"/>
      <c r="G106" s="19"/>
      <c r="H106" s="12"/>
      <c r="I106" s="12"/>
      <c r="J106" s="80"/>
      <c r="K106" s="80"/>
      <c r="L106" s="80"/>
      <c r="M106" s="80"/>
      <c r="N106" s="80"/>
      <c r="O106" s="12"/>
      <c r="S106" s="80"/>
      <c r="T106" s="80"/>
      <c r="U106" s="376"/>
      <c r="V106" s="376"/>
      <c r="Y106" s="12"/>
    </row>
    <row r="107" spans="2:25">
      <c r="B107" s="16" t="s">
        <v>992</v>
      </c>
      <c r="C107" s="15" t="s">
        <v>993</v>
      </c>
      <c r="D107" s="15" t="s">
        <v>994</v>
      </c>
      <c r="E107" s="421">
        <f>Initial_questions!E57</f>
        <v>0</v>
      </c>
      <c r="H107" s="12"/>
      <c r="I107" s="12"/>
      <c r="J107" s="80"/>
      <c r="K107" s="80"/>
      <c r="L107" s="80"/>
      <c r="M107" s="80"/>
      <c r="N107" s="80"/>
      <c r="O107" s="12"/>
      <c r="S107" s="80"/>
      <c r="T107" s="80"/>
      <c r="U107" s="80"/>
      <c r="V107" s="12"/>
      <c r="X107" s="23"/>
      <c r="Y107" s="12"/>
    </row>
    <row r="108" spans="2:25">
      <c r="B108" s="16" t="s">
        <v>995</v>
      </c>
      <c r="C108" s="15" t="s">
        <v>340</v>
      </c>
      <c r="D108" s="15" t="s">
        <v>796</v>
      </c>
      <c r="E108" s="357" t="str">
        <f>IFERROR(Initial_questions!E27/SUM(Initial_questions!E27:E31), "Electricity inputs not specified")</f>
        <v>Electricity inputs not specified</v>
      </c>
      <c r="H108" s="12"/>
      <c r="I108" s="12"/>
      <c r="J108" s="80"/>
      <c r="K108" s="80"/>
      <c r="L108" s="80"/>
      <c r="M108" s="80"/>
      <c r="N108" s="80"/>
      <c r="O108" s="12"/>
      <c r="S108" s="33"/>
      <c r="T108" s="33"/>
      <c r="U108" s="33"/>
      <c r="X108" s="23"/>
    </row>
    <row r="109" spans="2:25">
      <c r="B109" s="16" t="s">
        <v>995</v>
      </c>
      <c r="C109" s="15" t="s">
        <v>102</v>
      </c>
      <c r="D109" s="15" t="s">
        <v>796</v>
      </c>
      <c r="E109" s="357" t="str">
        <f>IFERROR(Initial_questions!E28/SUM(Initial_questions!E27:E31), "Electricity inputs not specified")</f>
        <v>Electricity inputs not specified</v>
      </c>
      <c r="H109" s="12"/>
      <c r="I109" s="12"/>
      <c r="J109" s="80"/>
      <c r="K109" s="80"/>
      <c r="L109" s="80"/>
      <c r="M109" s="80"/>
      <c r="N109" s="80"/>
      <c r="O109" s="12"/>
      <c r="S109" s="33"/>
      <c r="T109" s="33"/>
      <c r="U109" s="33"/>
      <c r="X109" s="23"/>
    </row>
    <row r="110" spans="2:25">
      <c r="B110" s="16" t="s">
        <v>995</v>
      </c>
      <c r="C110" s="15" t="s">
        <v>373</v>
      </c>
      <c r="D110" s="15" t="s">
        <v>796</v>
      </c>
      <c r="E110" s="357" t="str">
        <f>IFERROR(Initial_questions!E29/SUM(Initial_questions!E27:E31), "Electricity inputs not specified")</f>
        <v>Electricity inputs not specified</v>
      </c>
      <c r="H110" s="12"/>
      <c r="I110" s="12"/>
      <c r="J110" s="80"/>
      <c r="K110" s="80"/>
      <c r="L110" s="80"/>
      <c r="M110" s="80"/>
      <c r="N110" s="80"/>
      <c r="O110" s="12"/>
      <c r="S110" s="33"/>
      <c r="T110" s="33"/>
      <c r="U110" s="33"/>
      <c r="X110" s="23"/>
    </row>
    <row r="111" spans="2:25">
      <c r="B111" s="16" t="s">
        <v>995</v>
      </c>
      <c r="C111" s="15" t="s">
        <v>104</v>
      </c>
      <c r="D111" s="15" t="s">
        <v>796</v>
      </c>
      <c r="E111" s="357" t="str">
        <f>IFERROR(Initial_questions!E30/SUM(Initial_questions!E27:E31), "Electricity inputs not specified")</f>
        <v>Electricity inputs not specified</v>
      </c>
      <c r="H111" s="12"/>
      <c r="I111" s="12"/>
      <c r="J111" s="80"/>
      <c r="K111" s="80"/>
      <c r="L111" s="80"/>
      <c r="M111" s="80"/>
      <c r="N111" s="80"/>
      <c r="O111" s="12"/>
      <c r="S111" s="33"/>
      <c r="T111" s="33"/>
      <c r="U111" s="33"/>
      <c r="X111" s="23"/>
    </row>
    <row r="112" spans="2:25">
      <c r="B112" s="16" t="s">
        <v>995</v>
      </c>
      <c r="C112" s="15" t="s">
        <v>996</v>
      </c>
      <c r="D112" s="15" t="s">
        <v>796</v>
      </c>
      <c r="E112" s="357" t="str">
        <f>IFERROR(Initial_questions!E31/SUM(Initial_questions!E27:E31), "Electricity inputs not specified")</f>
        <v>Electricity inputs not specified</v>
      </c>
      <c r="H112" s="12"/>
      <c r="I112" s="12"/>
      <c r="J112" s="80"/>
      <c r="K112" s="80"/>
      <c r="L112" s="80"/>
      <c r="M112" s="80"/>
      <c r="N112" s="80"/>
      <c r="O112" s="12"/>
      <c r="S112" s="33"/>
      <c r="T112" s="33"/>
      <c r="U112" s="33"/>
      <c r="X112" s="23"/>
    </row>
    <row r="113" spans="1:29">
      <c r="B113" s="16" t="s">
        <v>997</v>
      </c>
      <c r="C113" s="15" t="s">
        <v>998</v>
      </c>
      <c r="D113" s="15" t="s">
        <v>796</v>
      </c>
      <c r="E113" s="389"/>
      <c r="H113" s="12"/>
      <c r="I113" s="12"/>
      <c r="J113" s="80"/>
      <c r="K113" s="80"/>
      <c r="L113" s="80"/>
      <c r="M113" s="80"/>
      <c r="N113" s="80"/>
      <c r="O113" s="12"/>
      <c r="S113" s="33"/>
      <c r="T113" s="33"/>
      <c r="U113" s="33"/>
      <c r="X113" s="23"/>
    </row>
    <row r="114" spans="1:29">
      <c r="B114" s="16"/>
      <c r="C114" s="15"/>
      <c r="D114" s="15"/>
      <c r="E114" s="389"/>
      <c r="H114" s="12"/>
      <c r="I114" s="12"/>
      <c r="J114" s="80"/>
      <c r="K114" s="80"/>
      <c r="L114" s="80"/>
      <c r="M114" s="80"/>
      <c r="N114" s="80"/>
      <c r="O114" s="12"/>
      <c r="S114" s="33"/>
      <c r="T114" s="33"/>
      <c r="U114" s="33"/>
      <c r="X114" s="23"/>
    </row>
    <row r="115" spans="1:29">
      <c r="B115" s="16"/>
      <c r="C115" s="15"/>
      <c r="D115" s="15"/>
      <c r="E115" s="386"/>
      <c r="H115" s="12"/>
      <c r="I115" s="12"/>
      <c r="J115" s="80"/>
      <c r="K115" s="80"/>
      <c r="L115" s="80"/>
      <c r="M115" s="80"/>
      <c r="N115" s="80"/>
      <c r="O115" s="12"/>
      <c r="S115" s="33"/>
      <c r="T115" s="33"/>
      <c r="U115" s="33"/>
      <c r="X115" s="23"/>
    </row>
    <row r="116" spans="1:29">
      <c r="A116" s="19"/>
      <c r="E116" s="387"/>
      <c r="F116" s="19"/>
      <c r="G116" s="19"/>
      <c r="H116" s="19"/>
      <c r="I116" s="19"/>
      <c r="J116" s="85"/>
      <c r="K116" s="85"/>
      <c r="L116" s="85"/>
      <c r="M116" s="85"/>
      <c r="N116" s="85"/>
      <c r="O116" s="19"/>
      <c r="P116" s="19"/>
      <c r="Q116" s="19"/>
      <c r="R116" s="19"/>
      <c r="S116" s="96"/>
      <c r="T116" s="96"/>
      <c r="U116" s="33"/>
      <c r="W116" s="19"/>
      <c r="X116" s="19"/>
      <c r="Y116" s="19"/>
      <c r="Z116" s="19"/>
      <c r="AA116" s="19"/>
      <c r="AB116" s="19"/>
      <c r="AC116" s="19"/>
    </row>
    <row r="117" spans="1:29">
      <c r="E117" s="85"/>
      <c r="J117" s="33"/>
      <c r="K117" s="33"/>
      <c r="L117" s="33"/>
      <c r="M117" s="33"/>
      <c r="S117" s="33"/>
      <c r="T117" s="33"/>
      <c r="U117" s="96"/>
      <c r="V117" s="96"/>
      <c r="Y117" s="19"/>
    </row>
    <row r="118" spans="1:29">
      <c r="E118" s="85"/>
      <c r="J118" s="33"/>
      <c r="K118" s="33"/>
      <c r="L118" s="33"/>
      <c r="M118" s="33"/>
      <c r="S118" s="33"/>
      <c r="T118" s="33"/>
      <c r="U118" s="33"/>
    </row>
    <row r="119" spans="1:29">
      <c r="E119" s="85"/>
      <c r="J119" s="33"/>
      <c r="K119" s="33"/>
      <c r="L119" s="33"/>
      <c r="M119" s="33"/>
      <c r="S119" s="33"/>
      <c r="T119" s="33"/>
      <c r="U119" s="33"/>
    </row>
    <row r="120" spans="1:29">
      <c r="E120" s="85"/>
      <c r="J120" s="33"/>
      <c r="K120" s="33"/>
      <c r="L120" s="33"/>
      <c r="M120" s="33"/>
      <c r="S120" s="33"/>
      <c r="T120" s="33"/>
      <c r="U120" s="33"/>
    </row>
    <row r="121" spans="1:29">
      <c r="E121" s="85"/>
      <c r="J121" s="33"/>
      <c r="K121" s="33"/>
      <c r="L121" s="33"/>
      <c r="M121" s="33"/>
      <c r="S121" s="33"/>
      <c r="T121" s="33"/>
      <c r="U121" s="33"/>
    </row>
    <row r="122" spans="1:29">
      <c r="E122" s="85"/>
      <c r="J122" s="33"/>
      <c r="K122" s="33"/>
      <c r="L122" s="33"/>
      <c r="M122" s="33"/>
      <c r="S122" s="33"/>
      <c r="T122" s="33"/>
      <c r="U122" s="33"/>
    </row>
    <row r="123" spans="1:29">
      <c r="E123" s="85"/>
      <c r="J123" s="33"/>
      <c r="K123" s="33"/>
      <c r="L123" s="33"/>
      <c r="M123" s="33"/>
      <c r="S123" s="33"/>
      <c r="T123" s="33"/>
      <c r="U123" s="33"/>
    </row>
    <row r="124" spans="1:29">
      <c r="E124" s="85"/>
      <c r="J124" s="33"/>
      <c r="K124" s="33"/>
      <c r="L124" s="33"/>
      <c r="M124" s="33"/>
      <c r="S124" s="33"/>
      <c r="T124" s="33"/>
      <c r="U124" s="33"/>
    </row>
    <row r="125" spans="1:29">
      <c r="E125" s="85"/>
      <c r="J125" s="33"/>
      <c r="K125" s="33"/>
      <c r="L125" s="33"/>
      <c r="M125" s="33"/>
      <c r="S125" s="33"/>
      <c r="T125" s="33"/>
      <c r="U125" s="33"/>
    </row>
    <row r="126" spans="1:29">
      <c r="E126" s="85"/>
      <c r="J126" s="33"/>
      <c r="K126" s="33"/>
      <c r="L126" s="33"/>
      <c r="M126" s="33"/>
      <c r="S126" s="33"/>
      <c r="T126" s="33"/>
      <c r="U126" s="33"/>
    </row>
    <row r="127" spans="1:29">
      <c r="E127" s="85"/>
      <c r="J127" s="33"/>
      <c r="K127" s="33"/>
      <c r="L127" s="33"/>
      <c r="M127" s="33"/>
      <c r="S127" s="33"/>
      <c r="T127" s="33"/>
      <c r="U127" s="33"/>
    </row>
    <row r="128" spans="1:29">
      <c r="E128" s="85"/>
      <c r="J128" s="33"/>
      <c r="K128" s="33"/>
      <c r="L128" s="33"/>
      <c r="M128" s="33"/>
      <c r="S128" s="33"/>
      <c r="T128" s="33"/>
      <c r="U128" s="33"/>
    </row>
    <row r="129" spans="5:21">
      <c r="E129" s="85"/>
      <c r="J129" s="33"/>
      <c r="K129" s="33"/>
      <c r="L129" s="33"/>
      <c r="M129" s="33"/>
      <c r="S129" s="33"/>
      <c r="T129" s="33"/>
      <c r="U129" s="33"/>
    </row>
    <row r="130" spans="5:21">
      <c r="E130" s="85"/>
      <c r="S130" s="33"/>
      <c r="T130" s="33"/>
      <c r="U130" s="33"/>
    </row>
    <row r="131" spans="5:21">
      <c r="E131" s="85"/>
      <c r="S131" s="33"/>
      <c r="T131" s="33"/>
      <c r="U131" s="33"/>
    </row>
    <row r="132" spans="5:21">
      <c r="E132" s="85"/>
      <c r="S132" s="33"/>
      <c r="T132" s="33"/>
      <c r="U132" s="33"/>
    </row>
    <row r="133" spans="5:21">
      <c r="E133" s="85"/>
      <c r="S133" s="33"/>
      <c r="T133" s="33"/>
      <c r="U133" s="33"/>
    </row>
    <row r="134" spans="5:21">
      <c r="E134" s="85"/>
      <c r="S134" s="33"/>
      <c r="T134" s="33"/>
      <c r="U134" s="33"/>
    </row>
    <row r="135" spans="5:21">
      <c r="E135" s="85"/>
      <c r="S135" s="33"/>
      <c r="T135" s="33"/>
      <c r="U135" s="33"/>
    </row>
    <row r="136" spans="5:21">
      <c r="E136" s="85"/>
      <c r="S136" s="33"/>
      <c r="T136" s="33"/>
      <c r="U136" s="33"/>
    </row>
    <row r="137" spans="5:21">
      <c r="E137" s="85"/>
      <c r="S137" s="33"/>
      <c r="T137" s="33"/>
      <c r="U137" s="33"/>
    </row>
    <row r="138" spans="5:21">
      <c r="E138" s="85"/>
      <c r="S138" s="33"/>
      <c r="T138" s="33"/>
      <c r="U138" s="33"/>
    </row>
    <row r="139" spans="5:21">
      <c r="E139" s="85"/>
      <c r="S139" s="33"/>
      <c r="T139" s="33"/>
      <c r="U139" s="33"/>
    </row>
    <row r="140" spans="5:21">
      <c r="E140" s="85"/>
      <c r="S140" s="33"/>
      <c r="T140" s="33"/>
      <c r="U140" s="33"/>
    </row>
    <row r="141" spans="5:21">
      <c r="E141" s="85"/>
      <c r="S141" s="33"/>
      <c r="T141" s="33"/>
      <c r="U141" s="33"/>
    </row>
    <row r="142" spans="5:21">
      <c r="E142" s="85"/>
      <c r="S142" s="33"/>
      <c r="T142" s="33"/>
      <c r="U142" s="33"/>
    </row>
    <row r="143" spans="5:21">
      <c r="E143" s="85"/>
      <c r="S143" s="33"/>
      <c r="T143" s="33"/>
      <c r="U143" s="33"/>
    </row>
    <row r="144" spans="5:21">
      <c r="E144" s="85"/>
      <c r="S144" s="33"/>
      <c r="T144" s="33"/>
      <c r="U144" s="33"/>
    </row>
    <row r="145" spans="5:21">
      <c r="E145" s="85"/>
      <c r="S145" s="33"/>
      <c r="T145" s="33"/>
      <c r="U145" s="33"/>
    </row>
    <row r="146" spans="5:21">
      <c r="E146" s="85"/>
      <c r="S146" s="33"/>
      <c r="T146" s="33"/>
      <c r="U146" s="33"/>
    </row>
    <row r="147" spans="5:21">
      <c r="E147" s="85"/>
      <c r="S147" s="33"/>
      <c r="T147" s="33"/>
      <c r="U147" s="33"/>
    </row>
    <row r="148" spans="5:21">
      <c r="E148" s="85"/>
      <c r="S148" s="33"/>
      <c r="T148" s="33"/>
      <c r="U148" s="33"/>
    </row>
    <row r="149" spans="5:21">
      <c r="E149" s="85"/>
      <c r="S149" s="33"/>
      <c r="T149" s="33"/>
      <c r="U149" s="33"/>
    </row>
    <row r="150" spans="5:21">
      <c r="E150" s="85"/>
      <c r="S150" s="33"/>
      <c r="T150" s="33"/>
      <c r="U150" s="33"/>
    </row>
    <row r="151" spans="5:21">
      <c r="E151" s="85"/>
      <c r="S151" s="33"/>
      <c r="T151" s="33"/>
      <c r="U151" s="33"/>
    </row>
    <row r="152" spans="5:21">
      <c r="E152" s="85"/>
      <c r="S152" s="33"/>
      <c r="T152" s="33"/>
      <c r="U152" s="33"/>
    </row>
    <row r="153" spans="5:21">
      <c r="E153" s="85"/>
      <c r="S153" s="33"/>
      <c r="T153" s="33"/>
      <c r="U153" s="33"/>
    </row>
    <row r="154" spans="5:21">
      <c r="E154" s="85"/>
      <c r="S154" s="33"/>
      <c r="T154" s="33"/>
      <c r="U154" s="33"/>
    </row>
    <row r="155" spans="5:21">
      <c r="E155" s="194"/>
      <c r="S155" s="33"/>
      <c r="T155" s="33"/>
      <c r="U155" s="33"/>
    </row>
    <row r="156" spans="5:21">
      <c r="E156" s="194"/>
      <c r="S156" s="33"/>
      <c r="T156" s="33"/>
      <c r="U156" s="33"/>
    </row>
    <row r="157" spans="5:21">
      <c r="E157" s="194"/>
      <c r="S157" s="33"/>
      <c r="T157" s="33"/>
      <c r="U157" s="33"/>
    </row>
    <row r="158" spans="5:21">
      <c r="E158" s="194"/>
      <c r="S158" s="33"/>
      <c r="T158" s="33"/>
      <c r="U158" s="33"/>
    </row>
    <row r="159" spans="5:21">
      <c r="E159" s="194"/>
      <c r="S159" s="33"/>
      <c r="T159" s="33"/>
      <c r="U159" s="33"/>
    </row>
    <row r="160" spans="5:21">
      <c r="E160" s="194"/>
      <c r="S160" s="33"/>
      <c r="T160" s="33"/>
      <c r="U160" s="33"/>
    </row>
    <row r="161" spans="5:21">
      <c r="E161" s="194"/>
      <c r="S161" s="33"/>
      <c r="T161" s="33"/>
      <c r="U161" s="33"/>
    </row>
    <row r="162" spans="5:21">
      <c r="E162" s="194"/>
      <c r="S162" s="33"/>
      <c r="T162" s="33"/>
      <c r="U162" s="33"/>
    </row>
    <row r="163" spans="5:21">
      <c r="E163" s="194"/>
      <c r="S163" s="33"/>
      <c r="T163" s="33"/>
      <c r="U163" s="33"/>
    </row>
    <row r="164" spans="5:21">
      <c r="E164" s="194"/>
      <c r="S164" s="33"/>
      <c r="T164" s="33"/>
      <c r="U164" s="33"/>
    </row>
    <row r="165" spans="5:21">
      <c r="E165" s="194"/>
      <c r="S165" s="33"/>
      <c r="T165" s="33"/>
      <c r="U165" s="33"/>
    </row>
    <row r="166" spans="5:21">
      <c r="E166" s="194"/>
      <c r="S166" s="33"/>
      <c r="T166" s="33"/>
      <c r="U166" s="33"/>
    </row>
    <row r="167" spans="5:21">
      <c r="E167" s="194"/>
      <c r="S167" s="33"/>
      <c r="T167" s="33"/>
      <c r="U167" s="33"/>
    </row>
    <row r="168" spans="5:21">
      <c r="E168" s="194"/>
      <c r="S168" s="33"/>
      <c r="T168" s="33"/>
      <c r="U168" s="33"/>
    </row>
    <row r="169" spans="5:21">
      <c r="E169" s="194"/>
      <c r="S169" s="33"/>
      <c r="T169" s="33"/>
      <c r="U169" s="33"/>
    </row>
    <row r="170" spans="5:21">
      <c r="E170" s="194"/>
      <c r="S170" s="33"/>
      <c r="T170" s="33"/>
      <c r="U170" s="33"/>
    </row>
    <row r="171" spans="5:21">
      <c r="E171" s="194"/>
      <c r="S171" s="33"/>
      <c r="T171" s="33"/>
      <c r="U171" s="33"/>
    </row>
    <row r="172" spans="5:21">
      <c r="E172" s="194"/>
      <c r="S172" s="33"/>
      <c r="T172" s="33"/>
      <c r="U172" s="33"/>
    </row>
    <row r="173" spans="5:21">
      <c r="E173" s="194"/>
      <c r="S173" s="33"/>
      <c r="T173" s="33"/>
      <c r="U173" s="33"/>
    </row>
    <row r="174" spans="5:21">
      <c r="E174" s="194"/>
      <c r="S174" s="33"/>
      <c r="T174" s="33"/>
      <c r="U174" s="33"/>
    </row>
    <row r="175" spans="5:21">
      <c r="E175" s="194"/>
      <c r="S175" s="33"/>
      <c r="T175" s="33"/>
      <c r="U175" s="33"/>
    </row>
    <row r="176" spans="5:21">
      <c r="E176" s="194"/>
      <c r="S176" s="33"/>
      <c r="T176" s="33"/>
      <c r="U176" s="33"/>
    </row>
    <row r="177" spans="5:21">
      <c r="E177" s="194"/>
      <c r="S177" s="33"/>
      <c r="T177" s="33"/>
      <c r="U177" s="33"/>
    </row>
    <row r="178" spans="5:21">
      <c r="E178" s="194"/>
      <c r="S178" s="33"/>
      <c r="T178" s="33"/>
      <c r="U178" s="33"/>
    </row>
    <row r="179" spans="5:21">
      <c r="E179" s="194"/>
      <c r="S179" s="33"/>
      <c r="T179" s="33"/>
      <c r="U179" s="33"/>
    </row>
    <row r="180" spans="5:21">
      <c r="E180" s="194"/>
      <c r="S180" s="33"/>
      <c r="T180" s="33"/>
      <c r="U180" s="33"/>
    </row>
    <row r="181" spans="5:21">
      <c r="E181" s="194"/>
      <c r="S181" s="33"/>
      <c r="T181" s="33"/>
      <c r="U181" s="33"/>
    </row>
    <row r="182" spans="5:21">
      <c r="E182" s="194"/>
      <c r="S182" s="33"/>
      <c r="T182" s="33"/>
      <c r="U182" s="33"/>
    </row>
    <row r="183" spans="5:21">
      <c r="E183" s="194"/>
      <c r="S183" s="33"/>
      <c r="T183" s="33"/>
      <c r="U183" s="33"/>
    </row>
    <row r="184" spans="5:21">
      <c r="E184" s="194"/>
      <c r="S184" s="33"/>
      <c r="T184" s="33"/>
      <c r="U184" s="33"/>
    </row>
    <row r="185" spans="5:21">
      <c r="E185" s="194"/>
      <c r="S185" s="33"/>
      <c r="T185" s="33"/>
      <c r="U185" s="33"/>
    </row>
    <row r="186" spans="5:21">
      <c r="E186" s="194"/>
      <c r="S186" s="33"/>
      <c r="T186" s="33"/>
      <c r="U186" s="33"/>
    </row>
    <row r="187" spans="5:21">
      <c r="E187" s="194"/>
      <c r="S187" s="33"/>
      <c r="T187" s="33"/>
      <c r="U187" s="33"/>
    </row>
    <row r="188" spans="5:21">
      <c r="E188" s="194"/>
      <c r="S188" s="33"/>
      <c r="T188" s="33"/>
      <c r="U188" s="33"/>
    </row>
    <row r="189" spans="5:21">
      <c r="E189" s="194"/>
      <c r="S189" s="33"/>
      <c r="T189" s="33"/>
      <c r="U189" s="33"/>
    </row>
    <row r="190" spans="5:21">
      <c r="E190" s="194"/>
      <c r="S190" s="33"/>
      <c r="T190" s="33"/>
      <c r="U190" s="33"/>
    </row>
    <row r="191" spans="5:21">
      <c r="E191" s="194"/>
      <c r="S191" s="33"/>
      <c r="T191" s="33"/>
      <c r="U191" s="33"/>
    </row>
    <row r="192" spans="5:21">
      <c r="E192" s="194"/>
      <c r="S192" s="33"/>
      <c r="T192" s="33"/>
      <c r="U192" s="33"/>
    </row>
    <row r="193" spans="5:21">
      <c r="E193" s="194"/>
      <c r="S193" s="33"/>
      <c r="T193" s="33"/>
      <c r="U193" s="33"/>
    </row>
    <row r="194" spans="5:21">
      <c r="E194" s="194"/>
      <c r="S194" s="33"/>
      <c r="T194" s="33"/>
      <c r="U194" s="33"/>
    </row>
    <row r="195" spans="5:21">
      <c r="E195" s="194"/>
      <c r="S195" s="33"/>
      <c r="T195" s="33"/>
      <c r="U195" s="33"/>
    </row>
    <row r="196" spans="5:21">
      <c r="E196" s="194"/>
      <c r="S196" s="33"/>
      <c r="T196" s="33"/>
      <c r="U196" s="33"/>
    </row>
    <row r="197" spans="5:21">
      <c r="E197" s="194"/>
      <c r="U197" s="33"/>
    </row>
    <row r="198" spans="5:21">
      <c r="E198" s="194"/>
    </row>
    <row r="199" spans="5:21">
      <c r="E199" s="194"/>
    </row>
    <row r="200" spans="5:21">
      <c r="E200" s="194"/>
    </row>
    <row r="201" spans="5:21">
      <c r="E201" s="194"/>
    </row>
    <row r="202" spans="5:21">
      <c r="E202" s="194"/>
    </row>
    <row r="203" spans="5:21">
      <c r="E203" s="194"/>
    </row>
    <row r="204" spans="5:21">
      <c r="E204" s="194"/>
    </row>
    <row r="205" spans="5:21">
      <c r="E205" s="194"/>
    </row>
    <row r="206" spans="5:21">
      <c r="E206" s="194"/>
    </row>
    <row r="207" spans="5:21">
      <c r="E207" s="194"/>
    </row>
    <row r="208" spans="5:21">
      <c r="E208" s="194"/>
    </row>
    <row r="209" spans="5:5">
      <c r="E209" s="194"/>
    </row>
    <row r="210" spans="5:5">
      <c r="E210" s="194"/>
    </row>
    <row r="211" spans="5:5">
      <c r="E211" s="194"/>
    </row>
    <row r="212" spans="5:5">
      <c r="E212" s="194"/>
    </row>
    <row r="213" spans="5:5">
      <c r="E213" s="194"/>
    </row>
    <row r="214" spans="5:5">
      <c r="E214" s="194"/>
    </row>
    <row r="215" spans="5:5">
      <c r="E215" s="194"/>
    </row>
    <row r="216" spans="5:5">
      <c r="E216" s="194"/>
    </row>
    <row r="217" spans="5:5">
      <c r="E217" s="194"/>
    </row>
    <row r="218" spans="5:5">
      <c r="E218" s="194"/>
    </row>
    <row r="219" spans="5:5">
      <c r="E219" s="194"/>
    </row>
    <row r="220" spans="5:5">
      <c r="E220" s="194"/>
    </row>
    <row r="221" spans="5:5">
      <c r="E221" s="194"/>
    </row>
    <row r="222" spans="5:5">
      <c r="E222" s="194"/>
    </row>
    <row r="223" spans="5:5">
      <c r="E223" s="194"/>
    </row>
    <row r="224" spans="5:5">
      <c r="E224" s="194"/>
    </row>
    <row r="225" spans="5:5">
      <c r="E225" s="194"/>
    </row>
    <row r="226" spans="5:5">
      <c r="E226" s="194"/>
    </row>
    <row r="227" spans="5:5">
      <c r="E227" s="194"/>
    </row>
    <row r="228" spans="5:5">
      <c r="E228" s="194"/>
    </row>
    <row r="229" spans="5:5">
      <c r="E229" s="194"/>
    </row>
    <row r="230" spans="5:5">
      <c r="E230" s="194"/>
    </row>
    <row r="231" spans="5:5">
      <c r="E231" s="194"/>
    </row>
    <row r="232" spans="5:5">
      <c r="E232" s="194"/>
    </row>
    <row r="233" spans="5:5">
      <c r="E233" s="194"/>
    </row>
    <row r="234" spans="5:5">
      <c r="E234" s="194"/>
    </row>
    <row r="235" spans="5:5">
      <c r="E235" s="194"/>
    </row>
    <row r="236" spans="5:5">
      <c r="E236" s="194"/>
    </row>
    <row r="237" spans="5:5">
      <c r="E237" s="194"/>
    </row>
    <row r="238" spans="5:5">
      <c r="E238" s="194"/>
    </row>
    <row r="239" spans="5:5">
      <c r="E239" s="194"/>
    </row>
    <row r="240" spans="5:5">
      <c r="E240" s="194"/>
    </row>
    <row r="241" spans="5:5">
      <c r="E241" s="194"/>
    </row>
    <row r="242" spans="5:5">
      <c r="E242" s="194"/>
    </row>
    <row r="243" spans="5:5">
      <c r="E243" s="194"/>
    </row>
    <row r="244" spans="5:5">
      <c r="E244" s="194"/>
    </row>
    <row r="245" spans="5:5">
      <c r="E245" s="194"/>
    </row>
    <row r="246" spans="5:5">
      <c r="E246" s="194"/>
    </row>
    <row r="247" spans="5:5">
      <c r="E247" s="194"/>
    </row>
    <row r="248" spans="5:5">
      <c r="E248" s="194"/>
    </row>
    <row r="249" spans="5:5">
      <c r="E249" s="194"/>
    </row>
    <row r="250" spans="5:5">
      <c r="E250" s="194"/>
    </row>
    <row r="251" spans="5:5">
      <c r="E251" s="194"/>
    </row>
    <row r="252" spans="5:5">
      <c r="E252" s="194"/>
    </row>
    <row r="253" spans="5:5">
      <c r="E253" s="194"/>
    </row>
    <row r="254" spans="5:5">
      <c r="E254" s="194"/>
    </row>
    <row r="255" spans="5:5">
      <c r="E255" s="194"/>
    </row>
    <row r="256" spans="5:5">
      <c r="E256" s="194"/>
    </row>
    <row r="257" spans="5:5">
      <c r="E257" s="194"/>
    </row>
    <row r="258" spans="5:5">
      <c r="E258" s="194"/>
    </row>
    <row r="259" spans="5:5">
      <c r="E259" s="194"/>
    </row>
    <row r="260" spans="5:5">
      <c r="E260" s="194"/>
    </row>
    <row r="261" spans="5:5">
      <c r="E261" s="194"/>
    </row>
    <row r="262" spans="5:5">
      <c r="E262" s="194"/>
    </row>
    <row r="263" spans="5:5">
      <c r="E263" s="194"/>
    </row>
    <row r="264" spans="5:5">
      <c r="E264" s="194"/>
    </row>
    <row r="265" spans="5:5">
      <c r="E265" s="194"/>
    </row>
    <row r="266" spans="5:5">
      <c r="E266" s="194"/>
    </row>
    <row r="267" spans="5:5">
      <c r="E267" s="194"/>
    </row>
    <row r="268" spans="5:5">
      <c r="E268" s="194"/>
    </row>
    <row r="269" spans="5:5">
      <c r="E269" s="194"/>
    </row>
    <row r="270" spans="5:5">
      <c r="E270" s="194"/>
    </row>
    <row r="271" spans="5:5">
      <c r="E271" s="194"/>
    </row>
    <row r="272" spans="5:5">
      <c r="E272" s="194"/>
    </row>
    <row r="273" spans="5:5">
      <c r="E273" s="194"/>
    </row>
    <row r="274" spans="5:5">
      <c r="E274" s="194"/>
    </row>
    <row r="275" spans="5:5">
      <c r="E275" s="194"/>
    </row>
    <row r="276" spans="5:5">
      <c r="E276" s="194"/>
    </row>
    <row r="277" spans="5:5">
      <c r="E277" s="194"/>
    </row>
    <row r="278" spans="5:5">
      <c r="E278" s="194"/>
    </row>
  </sheetData>
  <mergeCells count="1">
    <mergeCell ref="I2:K2"/>
  </mergeCells>
  <dataValidations count="5">
    <dataValidation type="list" allowBlank="1" showInputMessage="1" showErrorMessage="1" sqref="D84:D88 D92:D99 D36:D37 D75:D80 D54:D63 D67:D71 D40:D50 D20:D21 D24:D25 D28:D29 D8 D10:D17 D32:D33" xr:uid="{7613AF97-1D36-4D0E-B5F9-8E2B5F4E4C55}">
      <formula1>Flow_units</formula1>
    </dataValidation>
    <dataValidation type="custom" allowBlank="1" showInputMessage="1" showErrorMessage="1" error="Please do not change this formula" prompt="Please do not change this formula" sqref="P1:R4 V1:V4 V108:V1048576 V20 V6:V18 B5:K5 O10 R6:R8 N18:N20 P5 N34:N36 N100:N1048576 N89:N91 N81:N83 N72:N74 N64:N66 N51:N53 N38:N40 N1:N8 N26:N28 N22:N24 O6:O8 R5:V5 N30:N32 P11:P1048576 Q14:R1048576 V39:V105" xr:uid="{21EDA894-B0FD-46CC-8835-A7E37748045E}">
      <formula1>"Please do not change this formula"</formula1>
    </dataValidation>
    <dataValidation type="custom" allowBlank="1" showInputMessage="1" showErrorMessage="1" error="Please do not change this formula" sqref="Q5" xr:uid="{2CA50E51-5177-4C64-A5EC-32869A0DAE80}">
      <formula1>"Please do not change this formula"</formula1>
    </dataValidation>
    <dataValidation type="custom" allowBlank="1" showInputMessage="1" showErrorMessage="1" error="Please do not change formula" sqref="O9 N21 N25 N29 N37 N41:N50 N54:N63 N67:N71 N75:N80 N84:N88 N92:N99 Q9:R13 N9:N17 N33" xr:uid="{13D910D9-61BA-4E6F-835D-8F30DB5BB71D}">
      <formula1>"Please do not change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2:T100 S18:S82 T38:T82 T26:T28 T30:T32 T34:T36 T18:T20 T22:T24 T21 T25 T29 T33 T37" xr:uid="{D0D6EBEE-2057-49FE-A7F2-2E074406E24A}">
      <formula1>0</formula1>
    </dataValidation>
  </dataValidations>
  <hyperlinks>
    <hyperlink ref="I2:J2" location="'NG Transport'!A1" display="Go to the next step of this pathway" xr:uid="{FC6D9BDF-039A-467C-8246-6B83C749A142}"/>
    <hyperlink ref="I2:K2" location="GHG_ELECTROLYSIS!A1" display="Go to the next step of this pathway" xr:uid="{F2996663-D32E-4070-9B7D-D9400F754801}"/>
  </hyperlinks>
  <pageMargins left="0" right="0" top="0" bottom="0" header="0" footer="0"/>
  <pageSetup paperSize="9" orientation="portrait" r:id="rId1"/>
  <headerFooter>
    <oddHeader>&amp;C&amp;"Aptos"&amp;10&amp;K000000 OFFICIAL&amp;1#_x000D_</oddHeader>
    <oddFooter>&amp;C_x000D_&amp;1#&amp;"Aptos"&amp;10&amp;K000000 OFFICIAL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9" id="{E2A40422-FBC5-4FDA-AFE7-FB86F43663DB}">
            <xm:f>AND(GHG_ELECTROLYSIS!$D$40="Default",Master_Switch="On")</xm:f>
            <x14:dxf>
              <font>
                <color theme="0"/>
              </font>
              <fill>
                <patternFill>
                  <bgColor theme="0"/>
                </patternFill>
              </fill>
              <border>
                <left/>
                <right/>
                <top/>
                <bottom/>
                <vertical/>
                <horizontal/>
              </border>
            </x14:dxf>
          </x14:cfRule>
          <xm:sqref>A29:T29 V29:XFD29</xm:sqref>
        </x14:conditionalFormatting>
        <x14:conditionalFormatting xmlns:xm="http://schemas.microsoft.com/office/excel/2006/main">
          <x14:cfRule type="expression" priority="18" id="{9EC676D4-F62C-41AF-B463-2E329CAFB792}">
            <xm:f>AND(GHG_ELECTROLYSIS!$D$74="Default",Master_Switch="On")</xm:f>
            <x14:dxf>
              <font>
                <color theme="0"/>
              </font>
              <fill>
                <patternFill>
                  <bgColor theme="0"/>
                </patternFill>
              </fill>
              <border>
                <left/>
                <right/>
                <top/>
                <bottom/>
                <vertical/>
                <horizontal/>
              </border>
            </x14:dxf>
          </x14:cfRule>
          <xm:sqref>A37:T37 V37:XFD37</xm:sqref>
        </x14:conditionalFormatting>
        <x14:conditionalFormatting xmlns:xm="http://schemas.microsoft.com/office/excel/2006/main">
          <x14:cfRule type="expression" priority="21" id="{9B49A6AB-C21D-4E75-8536-998F56F290BD}">
            <xm:f>AND(GHG_ELECTROLYSIS!$D$6="Default",Master_Switch="On")</xm:f>
            <x14:dxf>
              <font>
                <color theme="0"/>
              </font>
              <fill>
                <patternFill>
                  <bgColor theme="0"/>
                </patternFill>
              </fill>
              <border>
                <left/>
                <right/>
                <top/>
                <bottom/>
                <vertical/>
                <horizontal/>
              </border>
            </x14:dxf>
          </x14:cfRule>
          <xm:sqref>A21:XFD21</xm:sqref>
        </x14:conditionalFormatting>
        <x14:conditionalFormatting xmlns:xm="http://schemas.microsoft.com/office/excel/2006/main">
          <x14:cfRule type="expression" priority="20" id="{2DCA2039-993F-4248-8994-33C9D4CAC45A}">
            <xm:f>AND(GHG_ELECTROLYSIS!$D$23="Default",Master_Switch="On")</xm:f>
            <x14:dxf>
              <font>
                <color theme="0"/>
              </font>
              <fill>
                <patternFill>
                  <bgColor theme="0"/>
                </patternFill>
              </fill>
              <border>
                <left/>
                <right/>
                <top/>
                <bottom/>
                <vertical/>
                <horizontal/>
              </border>
            </x14:dxf>
          </x14:cfRule>
          <xm:sqref>A25:XFD25</xm:sqref>
        </x14:conditionalFormatting>
        <x14:conditionalFormatting xmlns:xm="http://schemas.microsoft.com/office/excel/2006/main">
          <x14:cfRule type="expression" priority="3" id="{C8EBAE85-7C33-4452-A402-6454C3FF9E2C}">
            <xm:f>AND(GHG_ELECTROLYSIS!$D$40="Default",Master_Switch="On")</xm:f>
            <x14:dxf>
              <font>
                <color theme="0"/>
              </font>
              <fill>
                <patternFill>
                  <bgColor theme="0"/>
                </patternFill>
              </fill>
              <border>
                <left/>
                <right/>
                <top/>
                <bottom/>
                <vertical/>
                <horizontal/>
              </border>
            </x14:dxf>
          </x14:cfRule>
          <xm:sqref>A33:XFD33</xm:sqref>
        </x14:conditionalFormatting>
        <x14:conditionalFormatting xmlns:xm="http://schemas.microsoft.com/office/excel/2006/main">
          <x14:cfRule type="expression" priority="22" id="{8CAE66F9-DEDC-4DD0-BCCE-93CDBA99B611}">
            <xm:f>AND(OR(GHG_ELECTROLYSIS!$D$6="Default",GHG_ELECTROLYSIS!$D$23="Default", GHG_ELECTROLYSIS!$D$40="Default",GHG_ELECTROLYSIS!$D$74="Default"),Master_Switch="On")</xm:f>
            <x14:dxf>
              <font>
                <color theme="0"/>
              </font>
              <fill>
                <patternFill>
                  <bgColor theme="0"/>
                </patternFill>
              </fill>
              <border>
                <left/>
                <right/>
                <top/>
                <bottom/>
                <vertical/>
                <horizontal/>
              </border>
            </x14:dxf>
          </x14:cfRule>
          <xm:sqref>A41:XFD50</xm:sqref>
        </x14:conditionalFormatting>
        <x14:conditionalFormatting xmlns:xm="http://schemas.microsoft.com/office/excel/2006/main">
          <x14:cfRule type="expression" priority="23" id="{2639AB12-041F-41B3-B285-017DB1F2FE3C}">
            <xm:f>AND(OR(GHG_ELECTROLYSIS!$D$7="Default",GHG_ELECTROLYSIS!$D$24="Default",GHG_ELECTROLYSIS!$D$41="Default",GHG_ELECTROLYSIS!$D$75="Default"),Master_Switch="On")</xm:f>
            <x14:dxf>
              <font>
                <color theme="0"/>
              </font>
              <fill>
                <patternFill>
                  <bgColor theme="0"/>
                </patternFill>
              </fill>
              <border>
                <left/>
                <right/>
                <top/>
                <bottom/>
                <vertical/>
                <horizontal/>
              </border>
            </x14:dxf>
          </x14:cfRule>
          <xm:sqref>A54:XFD63</xm:sqref>
        </x14:conditionalFormatting>
        <x14:conditionalFormatting xmlns:xm="http://schemas.microsoft.com/office/excel/2006/main">
          <x14:cfRule type="expression" priority="2" id="{7C93AF6E-9885-447F-A8CF-58D510220516}">
            <xm:f>AND(GHG_ELECTROLYSIS!$D$6="Default",Master_Switch="On")</xm:f>
            <x14:dxf>
              <font>
                <color theme="0"/>
              </font>
              <fill>
                <patternFill>
                  <bgColor theme="0"/>
                </patternFill>
              </fill>
              <border>
                <left/>
                <right/>
                <top/>
                <bottom/>
                <vertical/>
                <horizontal/>
              </border>
            </x14:dxf>
          </x14:cfRule>
          <xm:sqref>U29</xm:sqref>
        </x14:conditionalFormatting>
        <x14:conditionalFormatting xmlns:xm="http://schemas.microsoft.com/office/excel/2006/main">
          <x14:cfRule type="expression" priority="1" id="{DF0BA99A-61B3-4AD4-B1BA-EEA80CE4DDF2}">
            <xm:f>AND(GHG_ELECTROLYSIS!$D$40="Default",Master_Switch="On")</xm:f>
            <x14:dxf>
              <font>
                <color theme="0"/>
              </font>
              <fill>
                <patternFill>
                  <bgColor theme="0"/>
                </patternFill>
              </fill>
              <border>
                <left/>
                <right/>
                <top/>
                <bottom/>
                <vertical/>
                <horizontal/>
              </border>
            </x14:dxf>
          </x14:cfRule>
          <xm:sqref>U37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7BD2AD3-B6A0-467D-9DB8-C25A7C6A73B2}">
          <x14:formula1>
            <xm:f>Units!$X$84</xm:f>
          </x14:formula1>
          <xm:sqref>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B33BC-916D-4389-A6F5-F8D4C26EEB0D}">
  <sheetPr codeName="Sheet8">
    <tabColor theme="8" tint="0.59999389629810485"/>
  </sheetPr>
  <dimension ref="B1:C49"/>
  <sheetViews>
    <sheetView showGridLines="0" zoomScaleNormal="100" workbookViewId="0"/>
  </sheetViews>
  <sheetFormatPr defaultColWidth="7.140625" defaultRowHeight="14.45"/>
  <cols>
    <col min="2" max="2" width="62.140625" customWidth="1"/>
    <col min="3" max="3" width="166.5703125" customWidth="1"/>
    <col min="7" max="7" width="17.5703125" customWidth="1"/>
    <col min="8" max="8" width="18.42578125" customWidth="1"/>
    <col min="9" max="9" width="22.85546875" customWidth="1"/>
  </cols>
  <sheetData>
    <row r="1" spans="2:3">
      <c r="B1" s="25"/>
    </row>
    <row r="2" spans="2:3">
      <c r="B2" s="25" t="s">
        <v>16</v>
      </c>
    </row>
    <row r="3" spans="2:3">
      <c r="B3" s="276" t="s">
        <v>17</v>
      </c>
      <c r="C3" s="28" t="s">
        <v>18</v>
      </c>
    </row>
    <row r="4" spans="2:3">
      <c r="B4" s="227" t="s">
        <v>19</v>
      </c>
      <c r="C4" s="28" t="s">
        <v>20</v>
      </c>
    </row>
    <row r="5" spans="2:3">
      <c r="B5" s="227" t="s">
        <v>21</v>
      </c>
      <c r="C5" s="257" t="s">
        <v>22</v>
      </c>
    </row>
    <row r="6" spans="2:3">
      <c r="B6" s="227" t="s">
        <v>23</v>
      </c>
      <c r="C6" s="257" t="s">
        <v>24</v>
      </c>
    </row>
    <row r="7" spans="2:3">
      <c r="B7" s="227" t="s">
        <v>25</v>
      </c>
      <c r="C7" s="257" t="s">
        <v>26</v>
      </c>
    </row>
    <row r="8" spans="2:3">
      <c r="B8" s="225" t="s">
        <v>27</v>
      </c>
      <c r="C8" s="257" t="s">
        <v>28</v>
      </c>
    </row>
    <row r="9" spans="2:3">
      <c r="B9" s="273" t="s">
        <v>29</v>
      </c>
      <c r="C9" s="277" t="s">
        <v>30</v>
      </c>
    </row>
    <row r="10" spans="2:3">
      <c r="B10" s="273" t="s">
        <v>31</v>
      </c>
      <c r="C10" s="277" t="s">
        <v>32</v>
      </c>
    </row>
    <row r="11" spans="2:3">
      <c r="B11" s="351" t="s">
        <v>33</v>
      </c>
      <c r="C11" s="277" t="s">
        <v>34</v>
      </c>
    </row>
    <row r="12" spans="2:3">
      <c r="B12" s="201" t="s">
        <v>35</v>
      </c>
      <c r="C12" s="277" t="s">
        <v>36</v>
      </c>
    </row>
    <row r="13" spans="2:3">
      <c r="B13" s="201" t="s">
        <v>37</v>
      </c>
      <c r="C13" s="277" t="s">
        <v>38</v>
      </c>
    </row>
    <row r="14" spans="2:3">
      <c r="B14" s="201" t="s">
        <v>39</v>
      </c>
      <c r="C14" s="277" t="s">
        <v>40</v>
      </c>
    </row>
    <row r="15" spans="2:3">
      <c r="B15" s="138" t="s">
        <v>41</v>
      </c>
      <c r="C15" s="412" t="s">
        <v>42</v>
      </c>
    </row>
    <row r="16" spans="2:3" ht="161.44999999999999" customHeight="1">
      <c r="B16" s="334" t="s">
        <v>43</v>
      </c>
      <c r="C16" s="413" t="s">
        <v>44</v>
      </c>
    </row>
    <row r="17" spans="2:3">
      <c r="B17" s="226"/>
      <c r="C17" s="226"/>
    </row>
    <row r="18" spans="2:3">
      <c r="B18" s="43"/>
    </row>
    <row r="19" spans="2:3">
      <c r="B19" s="42" t="s">
        <v>45</v>
      </c>
    </row>
    <row r="20" spans="2:3">
      <c r="B20" t="s">
        <v>46</v>
      </c>
    </row>
    <row r="22" spans="2:3" ht="18.600000000000001">
      <c r="B22" s="98"/>
      <c r="C22" s="4"/>
    </row>
    <row r="23" spans="2:3">
      <c r="B23" s="99"/>
      <c r="C23" s="4"/>
    </row>
    <row r="24" spans="2:3">
      <c r="B24" s="100"/>
      <c r="C24" s="100"/>
    </row>
    <row r="28" spans="2:3">
      <c r="C28" s="95"/>
    </row>
    <row r="29" spans="2:3">
      <c r="B29" s="25"/>
      <c r="C29" s="25"/>
    </row>
    <row r="30" spans="2:3">
      <c r="C30" s="95"/>
    </row>
    <row r="32" spans="2:3">
      <c r="C32" s="95"/>
    </row>
    <row r="33" spans="3:3">
      <c r="C33" s="95"/>
    </row>
    <row r="34" spans="3:3">
      <c r="C34" s="95"/>
    </row>
    <row r="35" spans="3:3">
      <c r="C35" s="95"/>
    </row>
    <row r="36" spans="3:3">
      <c r="C36" s="95"/>
    </row>
    <row r="37" spans="3:3">
      <c r="C37" s="95"/>
    </row>
    <row r="38" spans="3:3">
      <c r="C38" s="95"/>
    </row>
    <row r="39" spans="3:3">
      <c r="C39" s="95"/>
    </row>
    <row r="40" spans="3:3">
      <c r="C40" s="95"/>
    </row>
    <row r="41" spans="3:3">
      <c r="C41" s="95"/>
    </row>
    <row r="42" spans="3:3">
      <c r="C42" s="95"/>
    </row>
    <row r="43" spans="3:3">
      <c r="C43" s="95"/>
    </row>
    <row r="44" spans="3:3">
      <c r="C44" s="95"/>
    </row>
    <row r="45" spans="3:3">
      <c r="C45" s="95"/>
    </row>
    <row r="46" spans="3:3">
      <c r="C46" s="95"/>
    </row>
    <row r="47" spans="3:3">
      <c r="C47" s="95"/>
    </row>
    <row r="48" spans="3:3">
      <c r="C48" s="95"/>
    </row>
    <row r="49" spans="3:3">
      <c r="C49" s="95"/>
    </row>
  </sheetData>
  <hyperlinks>
    <hyperlink ref="B11" location="Units!A1" display="Units" xr:uid="{E37EA686-EA87-4C79-AD23-6925102A29C5}"/>
    <hyperlink ref="B14" location="'Non Typical data'!A1" display="Non Typical data" xr:uid="{064625B3-12CD-4009-8D99-F7D142D3EACC}"/>
    <hyperlink ref="B15" location="GHG_ELECTROLYSIS!A1" display="GHG_ELECTROLYSIS" xr:uid="{FC55BA50-A5F5-44CF-B6E5-C299F8555928}"/>
    <hyperlink ref="B16" location="Electrolysis!A1" display="Electrolysis" xr:uid="{63D1464E-B193-456C-9227-9C5035C2F6A1}"/>
    <hyperlink ref="B5" location="'Guidance Initial_questions'!A1" display="Guidance Initial Qus" xr:uid="{DDA4D3B7-DC27-40BA-A855-569BD2499D23}"/>
    <hyperlink ref="B7" location="'Guidance Summary GHG'!A1" display="Guidance Summary GHG" xr:uid="{B5BD78D3-6545-4B09-94AC-6792BA811E40}"/>
    <hyperlink ref="B6" location="'Guidance Processing'!A1" display="Guidance Processing" xr:uid="{80C367A8-7B2D-47DD-B64B-D4E6D1C57DB0}"/>
    <hyperlink ref="B12" location="'Default data'!A1" display="Default data" xr:uid="{F8CEF998-F394-49C1-875F-9F0714B244AC}"/>
    <hyperlink ref="B9" location="System_Boundary!A1" display="System boundary" xr:uid="{7192F820-AC17-4BD7-AB4A-4A2CF9A34604}"/>
    <hyperlink ref="B8" location="Initial_questions!A1" display="Guidance 1" xr:uid="{6519E2B9-140C-4E57-A173-D928B753A54A}"/>
    <hyperlink ref="B3" location="Title!A1" display="Title" xr:uid="{DF624730-1AB1-407A-8C25-9DFAEC00CF2E}"/>
    <hyperlink ref="B4" location="Navigation!A1" display="Navigation" xr:uid="{94CADE7D-EAB3-46BD-A4E2-D66FAEA18628}"/>
    <hyperlink ref="B10" location="Dashboard!A1" display="Dashboard" xr:uid="{9A1843F1-4C95-4C12-BCDF-C9FC9CF8E05C}"/>
    <hyperlink ref="B13" location="'Typical data'!A1" display="Typical data" xr:uid="{39FBD3E0-24AD-4B46-BC59-0F9E8C0E51AB}"/>
  </hyperlinks>
  <pageMargins left="0" right="0" top="0" bottom="0" header="0" footer="0"/>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8" tint="0.59999389629810485"/>
  </sheetPr>
  <dimension ref="B1:Z71"/>
  <sheetViews>
    <sheetView showGridLines="0" zoomScaleNormal="100" workbookViewId="0"/>
  </sheetViews>
  <sheetFormatPr defaultColWidth="7.140625" defaultRowHeight="14.45"/>
  <cols>
    <col min="1" max="1" width="8.5703125" customWidth="1"/>
    <col min="2" max="2" width="19.5703125" customWidth="1"/>
    <col min="3" max="3" width="8.85546875" customWidth="1"/>
    <col min="4" max="4" width="8.5703125" customWidth="1"/>
    <col min="9" max="15" width="7.140625" customWidth="1"/>
    <col min="17" max="17" width="6" customWidth="1"/>
    <col min="19" max="19" width="8.85546875" customWidth="1"/>
    <col min="23" max="23" width="17.5703125" customWidth="1"/>
    <col min="24" max="24" width="18.42578125" customWidth="1"/>
    <col min="25" max="25" width="22.85546875" customWidth="1"/>
  </cols>
  <sheetData>
    <row r="1" spans="2:25" ht="15" thickBot="1">
      <c r="B1" s="3" t="s">
        <v>47</v>
      </c>
      <c r="C1" s="3"/>
      <c r="D1" s="3"/>
    </row>
    <row r="2" spans="2:25" ht="15.6" thickTop="1" thickBot="1">
      <c r="B2" s="133" t="s">
        <v>48</v>
      </c>
      <c r="C2" s="133"/>
      <c r="D2" s="133"/>
      <c r="E2" s="133"/>
      <c r="F2" s="133"/>
      <c r="G2" s="133"/>
    </row>
    <row r="3" spans="2:25">
      <c r="B3" s="27"/>
    </row>
    <row r="4" spans="2:25">
      <c r="B4" s="27" t="s">
        <v>49</v>
      </c>
    </row>
    <row r="5" spans="2:25">
      <c r="B5" s="103"/>
      <c r="C5" s="475" t="s">
        <v>50</v>
      </c>
      <c r="D5" s="476"/>
      <c r="E5" s="476"/>
      <c r="F5" s="476"/>
      <c r="G5" s="476"/>
      <c r="H5" s="477"/>
    </row>
    <row r="6" spans="2:25">
      <c r="B6" s="110"/>
      <c r="C6" s="478" t="s">
        <v>51</v>
      </c>
      <c r="D6" s="479"/>
      <c r="E6" s="479"/>
      <c r="F6" s="479"/>
      <c r="G6" s="479"/>
      <c r="H6" s="480"/>
    </row>
    <row r="7" spans="2:25">
      <c r="B7" s="104"/>
      <c r="C7" s="475" t="s">
        <v>52</v>
      </c>
      <c r="D7" s="476"/>
      <c r="E7" s="476"/>
      <c r="F7" s="476"/>
      <c r="G7" s="476"/>
      <c r="H7" s="477"/>
    </row>
    <row r="9" spans="2:25">
      <c r="B9" s="25"/>
    </row>
    <row r="10" spans="2:25" ht="15" thickBot="1">
      <c r="B10" s="132" t="s">
        <v>53</v>
      </c>
      <c r="C10" s="132"/>
    </row>
    <row r="11" spans="2:25" ht="15" thickTop="1"/>
    <row r="12" spans="2:25">
      <c r="B12" s="481" t="s">
        <v>54</v>
      </c>
      <c r="C12" s="481"/>
      <c r="D12" s="481"/>
      <c r="E12" s="481"/>
      <c r="F12" s="481"/>
      <c r="G12" s="481"/>
      <c r="H12" s="481"/>
      <c r="I12" s="481"/>
      <c r="J12" s="481"/>
      <c r="K12" s="481"/>
      <c r="L12" s="481"/>
      <c r="M12" s="481"/>
      <c r="N12" s="481"/>
      <c r="O12" s="481"/>
      <c r="P12" s="481"/>
      <c r="Q12" s="481"/>
      <c r="R12" s="481"/>
      <c r="S12" s="481"/>
      <c r="T12" s="481"/>
      <c r="U12" s="481"/>
      <c r="V12" s="481"/>
    </row>
    <row r="13" spans="2:25">
      <c r="B13" s="474" t="s">
        <v>55</v>
      </c>
      <c r="C13" s="474"/>
      <c r="D13" s="474"/>
      <c r="E13" s="474"/>
      <c r="F13" s="474"/>
      <c r="G13" s="474"/>
      <c r="H13" s="474"/>
      <c r="I13" s="474"/>
      <c r="J13" s="474"/>
      <c r="K13" s="474"/>
      <c r="L13" s="474"/>
      <c r="M13" s="474"/>
      <c r="N13" s="474"/>
      <c r="O13" s="474"/>
      <c r="P13" s="474"/>
      <c r="Q13" s="474"/>
      <c r="R13" s="474"/>
      <c r="S13" s="474"/>
      <c r="T13" s="474"/>
      <c r="U13" s="474"/>
      <c r="V13" s="474"/>
      <c r="W13" s="474"/>
      <c r="X13" s="474"/>
      <c r="Y13" s="474"/>
    </row>
    <row r="14" spans="2:25">
      <c r="B14" s="100"/>
      <c r="C14" s="100"/>
      <c r="D14" s="100"/>
    </row>
    <row r="18" spans="2:26">
      <c r="C18" s="95"/>
    </row>
    <row r="19" spans="2:26">
      <c r="B19" s="25"/>
      <c r="C19" s="25"/>
      <c r="D19" s="25"/>
    </row>
    <row r="20" spans="2:26">
      <c r="C20" s="95"/>
    </row>
    <row r="21" spans="2:26" ht="31.5" customHeight="1">
      <c r="B21" s="474" t="s">
        <v>56</v>
      </c>
      <c r="C21" s="474"/>
      <c r="D21" s="474"/>
      <c r="E21" s="474"/>
      <c r="F21" s="474"/>
      <c r="G21" s="474"/>
      <c r="H21" s="474"/>
      <c r="I21" s="474"/>
      <c r="J21" s="474"/>
      <c r="K21" s="474"/>
      <c r="L21" s="474"/>
      <c r="M21" s="474"/>
      <c r="N21" s="474"/>
      <c r="O21" s="474"/>
      <c r="P21" s="474"/>
      <c r="Q21" s="474"/>
      <c r="R21" s="474"/>
      <c r="S21" s="474"/>
      <c r="T21" s="474"/>
      <c r="U21" s="474"/>
      <c r="V21" s="474"/>
      <c r="W21" s="474"/>
      <c r="X21" s="474"/>
      <c r="Y21" s="474"/>
    </row>
    <row r="22" spans="2:26" ht="14.45" customHeight="1">
      <c r="B22" s="474" t="s">
        <v>55</v>
      </c>
      <c r="C22" s="474"/>
      <c r="D22" s="474"/>
      <c r="E22" s="474"/>
      <c r="F22" s="474"/>
      <c r="G22" s="474"/>
      <c r="H22" s="474"/>
      <c r="I22" s="474"/>
      <c r="J22" s="474"/>
      <c r="K22" s="474"/>
      <c r="L22" s="474"/>
      <c r="M22" s="474"/>
      <c r="N22" s="474"/>
      <c r="O22" s="474"/>
      <c r="P22" s="474"/>
      <c r="Q22" s="474"/>
      <c r="R22" s="474"/>
      <c r="S22" s="474"/>
      <c r="T22" s="474"/>
      <c r="U22" s="474"/>
      <c r="V22" s="474"/>
      <c r="W22" s="474"/>
      <c r="X22" s="474"/>
      <c r="Y22" s="474"/>
    </row>
    <row r="23" spans="2:26">
      <c r="C23" s="95"/>
    </row>
    <row r="24" spans="2:26">
      <c r="C24" s="95"/>
    </row>
    <row r="25" spans="2:26">
      <c r="C25" s="95"/>
    </row>
    <row r="26" spans="2:26">
      <c r="C26" s="95"/>
    </row>
    <row r="27" spans="2:26">
      <c r="C27" s="95"/>
    </row>
    <row r="28" spans="2:26">
      <c r="C28" s="95"/>
    </row>
    <row r="29" spans="2:26">
      <c r="B29" s="474" t="s">
        <v>57</v>
      </c>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row>
    <row r="30" spans="2:26">
      <c r="B30" s="481" t="s">
        <v>58</v>
      </c>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row>
    <row r="31" spans="2:26">
      <c r="C31" s="95"/>
    </row>
    <row r="32" spans="2:26">
      <c r="C32" s="95"/>
    </row>
    <row r="33" spans="2:26" ht="59.45" customHeight="1">
      <c r="C33" s="95"/>
    </row>
    <row r="34" spans="2:26">
      <c r="C34" s="95"/>
    </row>
    <row r="35" spans="2:26">
      <c r="C35" s="95"/>
    </row>
    <row r="36" spans="2:26">
      <c r="C36" s="95"/>
    </row>
    <row r="37" spans="2:26">
      <c r="C37" s="95"/>
    </row>
    <row r="38" spans="2:26">
      <c r="C38" s="95"/>
    </row>
    <row r="39" spans="2:26">
      <c r="C39" s="95"/>
    </row>
    <row r="40" spans="2:26" ht="31.9" customHeight="1">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row>
    <row r="41" spans="2:26">
      <c r="C41" s="95"/>
    </row>
    <row r="42" spans="2:26">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row>
    <row r="62" spans="2:25" ht="43.5" customHeight="1">
      <c r="B62" s="474" t="s">
        <v>59</v>
      </c>
      <c r="C62" s="474"/>
      <c r="D62" s="474"/>
      <c r="E62" s="474"/>
      <c r="F62" s="474"/>
      <c r="G62" s="474"/>
      <c r="H62" s="474"/>
      <c r="I62" s="474"/>
      <c r="J62" s="474"/>
      <c r="K62" s="474"/>
      <c r="L62" s="474"/>
      <c r="M62" s="474"/>
      <c r="N62" s="474"/>
      <c r="O62" s="474"/>
      <c r="P62" s="474"/>
      <c r="Q62" s="474"/>
      <c r="R62" s="474"/>
      <c r="S62" s="474"/>
      <c r="T62" s="474"/>
      <c r="U62" s="474"/>
      <c r="V62" s="474"/>
      <c r="W62" s="474"/>
      <c r="X62" s="474"/>
      <c r="Y62" s="474"/>
    </row>
    <row r="71" spans="2:25" ht="59.45" customHeight="1">
      <c r="B71" s="474" t="s">
        <v>60</v>
      </c>
      <c r="C71" s="474"/>
      <c r="D71" s="474"/>
      <c r="E71" s="474"/>
      <c r="F71" s="474"/>
      <c r="G71" s="474"/>
      <c r="H71" s="474"/>
      <c r="I71" s="474"/>
      <c r="J71" s="474"/>
      <c r="K71" s="474"/>
      <c r="L71" s="474"/>
      <c r="M71" s="474"/>
      <c r="N71" s="474"/>
      <c r="O71" s="474"/>
      <c r="P71" s="474"/>
      <c r="Q71" s="474"/>
      <c r="R71" s="474"/>
      <c r="S71" s="474"/>
      <c r="T71" s="474"/>
      <c r="U71" s="474"/>
      <c r="V71" s="474"/>
      <c r="W71" s="474"/>
      <c r="X71" s="474"/>
      <c r="Y71" s="474"/>
    </row>
  </sheetData>
  <mergeCells count="13">
    <mergeCell ref="B71:Y71"/>
    <mergeCell ref="C5:H5"/>
    <mergeCell ref="C6:H6"/>
    <mergeCell ref="C7:H7"/>
    <mergeCell ref="B12:V12"/>
    <mergeCell ref="B22:Y22"/>
    <mergeCell ref="B13:Y13"/>
    <mergeCell ref="B62:Y62"/>
    <mergeCell ref="B21:Y21"/>
    <mergeCell ref="B42:Z42"/>
    <mergeCell ref="B40:Y40"/>
    <mergeCell ref="B29:Z29"/>
    <mergeCell ref="B30:Z30"/>
  </mergeCells>
  <pageMargins left="0" right="0" top="0" bottom="0" header="0" footer="0"/>
  <pageSetup paperSize="9" orientation="portrait"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66708-80EF-4BDC-A44F-BE11839D89B1}">
  <sheetPr codeName="Sheet43">
    <tabColor theme="8" tint="0.59999389629810485"/>
  </sheetPr>
  <dimension ref="B1:W122"/>
  <sheetViews>
    <sheetView showGridLines="0" zoomScaleNormal="100" workbookViewId="0"/>
  </sheetViews>
  <sheetFormatPr defaultRowHeight="14.45"/>
  <sheetData>
    <row r="1" spans="2:23" ht="15" thickBot="1">
      <c r="B1" s="3" t="s">
        <v>61</v>
      </c>
      <c r="C1" s="3"/>
      <c r="D1" s="3"/>
    </row>
    <row r="2" spans="2:23" ht="15.6" thickTop="1" thickBot="1">
      <c r="B2" s="133" t="s">
        <v>62</v>
      </c>
      <c r="C2" s="133"/>
      <c r="D2" s="133"/>
      <c r="E2" s="133"/>
      <c r="F2" s="133"/>
      <c r="G2" s="133"/>
      <c r="H2" s="133"/>
      <c r="I2" s="133"/>
      <c r="J2" s="133"/>
      <c r="K2" s="133"/>
      <c r="L2" s="133"/>
      <c r="M2" s="133"/>
    </row>
    <row r="4" spans="2:23">
      <c r="B4" s="27" t="s">
        <v>49</v>
      </c>
    </row>
    <row r="5" spans="2:23">
      <c r="B5" s="29"/>
      <c r="C5" s="475" t="s">
        <v>50</v>
      </c>
      <c r="D5" s="476"/>
      <c r="E5" s="476"/>
      <c r="F5" s="476"/>
      <c r="G5" s="476"/>
      <c r="H5" s="477"/>
    </row>
    <row r="6" spans="2:23">
      <c r="B6" s="137"/>
      <c r="C6" s="475" t="s">
        <v>51</v>
      </c>
      <c r="D6" s="476"/>
      <c r="E6" s="476"/>
      <c r="F6" s="476"/>
      <c r="G6" s="476"/>
      <c r="H6" s="477"/>
    </row>
    <row r="7" spans="2:23">
      <c r="B7" s="47"/>
      <c r="C7" s="475" t="s">
        <v>52</v>
      </c>
      <c r="D7" s="476"/>
      <c r="E7" s="476"/>
      <c r="F7" s="476"/>
      <c r="G7" s="476"/>
      <c r="H7" s="477"/>
    </row>
    <row r="8" spans="2:23">
      <c r="D8" s="134"/>
      <c r="E8" s="134"/>
      <c r="F8" s="134"/>
      <c r="G8" s="134"/>
      <c r="H8" s="134"/>
    </row>
    <row r="9" spans="2:23" ht="15" thickBot="1">
      <c r="B9" s="132" t="s">
        <v>63</v>
      </c>
      <c r="C9" s="132"/>
      <c r="D9" s="132"/>
      <c r="E9" s="134"/>
    </row>
    <row r="10" spans="2:23" ht="15" thickTop="1"/>
    <row r="11" spans="2:23" ht="30.6" customHeight="1">
      <c r="B11" s="474" t="s">
        <v>64</v>
      </c>
      <c r="C11" s="474"/>
      <c r="D11" s="474"/>
      <c r="E11" s="474"/>
      <c r="F11" s="474"/>
      <c r="G11" s="474"/>
      <c r="H11" s="474"/>
      <c r="I11" s="474"/>
      <c r="J11" s="474"/>
      <c r="K11" s="474"/>
      <c r="L11" s="474"/>
      <c r="M11" s="474"/>
      <c r="N11" s="474"/>
      <c r="O11" s="474"/>
      <c r="P11" s="474"/>
      <c r="Q11" s="474"/>
      <c r="R11" s="474"/>
      <c r="S11" s="474"/>
      <c r="T11" s="474"/>
      <c r="U11" s="474"/>
      <c r="V11" s="474"/>
      <c r="W11" s="474"/>
    </row>
    <row r="37" spans="2:23" ht="114.75" customHeight="1">
      <c r="B37" s="474" t="s">
        <v>65</v>
      </c>
      <c r="C37" s="474"/>
      <c r="D37" s="474"/>
      <c r="E37" s="474"/>
      <c r="F37" s="474"/>
      <c r="G37" s="474"/>
      <c r="H37" s="474"/>
      <c r="I37" s="474"/>
      <c r="J37" s="474"/>
      <c r="K37" s="474"/>
      <c r="L37" s="474"/>
      <c r="M37" s="474"/>
      <c r="N37" s="474"/>
      <c r="O37" s="474"/>
      <c r="P37" s="474"/>
      <c r="Q37" s="474"/>
      <c r="R37" s="474"/>
      <c r="S37" s="474"/>
      <c r="T37" s="474"/>
      <c r="U37" s="474"/>
      <c r="V37" s="474"/>
      <c r="W37" s="474"/>
    </row>
    <row r="41" spans="2:23" ht="15" thickBot="1">
      <c r="B41" s="132" t="s">
        <v>66</v>
      </c>
      <c r="C41" s="132"/>
    </row>
    <row r="42" spans="2:23" ht="15" thickTop="1"/>
    <row r="43" spans="2:23">
      <c r="B43" t="s">
        <v>67</v>
      </c>
    </row>
    <row r="44" spans="2:23" ht="15" customHeight="1"/>
    <row r="80" spans="2:3" ht="15" thickBot="1">
      <c r="B80" s="132" t="s">
        <v>68</v>
      </c>
      <c r="C80" s="132"/>
    </row>
    <row r="81" spans="2:10" ht="15" thickTop="1"/>
    <row r="95" spans="2:10" ht="17.100000000000001" thickBot="1">
      <c r="B95" s="132" t="s">
        <v>69</v>
      </c>
      <c r="C95" s="132"/>
      <c r="D95" s="132"/>
      <c r="E95" s="132"/>
      <c r="F95" s="132"/>
      <c r="G95" s="132"/>
      <c r="H95" s="132"/>
      <c r="I95" s="132"/>
      <c r="J95" s="132"/>
    </row>
    <row r="96" spans="2:10" ht="15" thickTop="1"/>
    <row r="121" spans="2:5" ht="17.100000000000001" thickBot="1">
      <c r="B121" s="132" t="s">
        <v>70</v>
      </c>
      <c r="C121" s="132"/>
      <c r="D121" s="132"/>
      <c r="E121" s="132"/>
    </row>
    <row r="122" spans="2:5" ht="15" thickTop="1"/>
  </sheetData>
  <mergeCells count="5">
    <mergeCell ref="C6:H6"/>
    <mergeCell ref="C7:H7"/>
    <mergeCell ref="C5:H5"/>
    <mergeCell ref="B11:W11"/>
    <mergeCell ref="B37:W37"/>
  </mergeCells>
  <pageMargins left="0" right="0" top="0" bottom="0" header="0" footer="0"/>
  <headerFooter>
    <oddHeader>&amp;C&amp;"Aptos"&amp;10&amp;K000000 OFFICIAL&amp;1#_x000D_</oddHeader>
    <oddFooter>&amp;C_x000D_&amp;1#&amp;"Aptos"&amp;10&amp;K000000 OFFICIAL</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19BE7-A53C-4BC3-A845-BE45B08504F1}">
  <sheetPr codeName="Sheet42">
    <tabColor theme="8" tint="0.59999389629810485"/>
  </sheetPr>
  <dimension ref="B1:AF168"/>
  <sheetViews>
    <sheetView showGridLines="0" zoomScaleNormal="100" workbookViewId="0"/>
  </sheetViews>
  <sheetFormatPr defaultRowHeight="14.45"/>
  <cols>
    <col min="3" max="3" width="9.85546875" customWidth="1"/>
  </cols>
  <sheetData>
    <row r="1" spans="2:32" ht="15" thickBot="1">
      <c r="B1" s="3" t="s">
        <v>71</v>
      </c>
      <c r="C1" s="3"/>
    </row>
    <row r="2" spans="2:32" ht="15.6" thickTop="1" thickBot="1">
      <c r="B2" s="133" t="s">
        <v>72</v>
      </c>
      <c r="C2" s="133"/>
      <c r="D2" s="133"/>
      <c r="E2" s="133"/>
      <c r="F2" s="133"/>
      <c r="G2" s="133"/>
      <c r="H2" s="133"/>
    </row>
    <row r="4" spans="2:32">
      <c r="B4" s="27" t="s">
        <v>49</v>
      </c>
    </row>
    <row r="5" spans="2:32">
      <c r="B5" s="47"/>
      <c r="C5" s="475" t="s">
        <v>73</v>
      </c>
      <c r="D5" s="476"/>
      <c r="E5" s="476"/>
      <c r="F5" s="476"/>
      <c r="G5" s="476"/>
      <c r="H5" s="476"/>
      <c r="I5" s="476"/>
      <c r="J5" s="477"/>
    </row>
    <row r="6" spans="2:32">
      <c r="B6" s="28"/>
      <c r="C6" s="478" t="s">
        <v>74</v>
      </c>
      <c r="D6" s="479"/>
      <c r="E6" s="479"/>
      <c r="F6" s="479"/>
      <c r="G6" s="479"/>
      <c r="H6" s="479"/>
      <c r="I6" s="479"/>
      <c r="J6" s="480"/>
    </row>
    <row r="9" spans="2:32" ht="15" thickBot="1">
      <c r="B9" s="132" t="s">
        <v>75</v>
      </c>
      <c r="C9" s="132"/>
      <c r="D9" s="132"/>
    </row>
    <row r="10" spans="2:32" ht="15" customHeight="1" thickTop="1">
      <c r="B10" s="482" t="s">
        <v>76</v>
      </c>
      <c r="C10" s="482"/>
      <c r="D10" s="482"/>
      <c r="E10" s="482"/>
      <c r="F10" s="482"/>
      <c r="G10" s="482"/>
      <c r="H10" s="482"/>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row>
    <row r="54" spans="2:4" ht="15" thickBot="1">
      <c r="B54" s="132" t="s">
        <v>77</v>
      </c>
      <c r="C54" s="132"/>
      <c r="D54" s="132"/>
    </row>
    <row r="55" spans="2:4" ht="15" thickTop="1"/>
    <row r="83" spans="2:23" ht="15" thickBot="1">
      <c r="B83" s="132" t="s">
        <v>78</v>
      </c>
      <c r="C83" s="132"/>
      <c r="D83" s="132"/>
    </row>
    <row r="84" spans="2:23" ht="15" thickTop="1"/>
    <row r="85" spans="2:23" ht="39.6" customHeight="1">
      <c r="B85" s="474" t="s">
        <v>79</v>
      </c>
      <c r="C85" s="474"/>
      <c r="D85" s="474"/>
      <c r="E85" s="474"/>
      <c r="F85" s="474"/>
      <c r="G85" s="474"/>
      <c r="H85" s="474"/>
      <c r="I85" s="474"/>
      <c r="J85" s="474"/>
      <c r="K85" s="474"/>
      <c r="L85" s="474"/>
      <c r="M85" s="474"/>
      <c r="N85" s="474"/>
      <c r="O85" s="474"/>
      <c r="P85" s="474"/>
      <c r="Q85" s="474"/>
      <c r="R85" s="474"/>
      <c r="S85" s="474"/>
      <c r="T85" s="474"/>
      <c r="U85" s="474"/>
      <c r="V85" s="474"/>
      <c r="W85" s="474"/>
    </row>
    <row r="86" spans="2:23">
      <c r="B86" s="245"/>
      <c r="C86" s="245"/>
      <c r="D86" s="245"/>
      <c r="E86" s="245"/>
      <c r="F86" s="245"/>
      <c r="G86" s="245"/>
      <c r="H86" s="245"/>
      <c r="I86" s="245"/>
      <c r="J86" s="245"/>
      <c r="K86" s="245"/>
      <c r="L86" s="245"/>
      <c r="M86" s="245"/>
      <c r="N86" s="245"/>
      <c r="O86" s="245"/>
      <c r="P86" s="245"/>
      <c r="Q86" s="245"/>
      <c r="R86" s="245"/>
      <c r="S86" s="245"/>
      <c r="T86" s="245"/>
      <c r="U86" s="245"/>
      <c r="V86" s="245"/>
      <c r="W86" s="245"/>
    </row>
    <row r="87" spans="2:23" ht="14.45" customHeight="1">
      <c r="B87" t="s">
        <v>80</v>
      </c>
      <c r="C87" s="67"/>
      <c r="D87" s="67"/>
      <c r="E87" s="67"/>
      <c r="F87" s="67"/>
      <c r="G87" s="67"/>
      <c r="H87" s="67"/>
      <c r="I87" s="67"/>
      <c r="J87" s="67"/>
      <c r="K87" s="67"/>
      <c r="L87" s="67"/>
      <c r="M87" s="67"/>
      <c r="N87" s="67"/>
      <c r="O87" s="67"/>
      <c r="P87" s="67"/>
      <c r="Q87" s="67"/>
      <c r="R87" s="67"/>
      <c r="S87" s="67"/>
      <c r="T87" s="67"/>
      <c r="U87" s="67"/>
      <c r="V87" s="67"/>
      <c r="W87" s="67"/>
    </row>
    <row r="101" spans="2:2">
      <c r="B101" t="s">
        <v>81</v>
      </c>
    </row>
    <row r="121" spans="2:9" ht="17.100000000000001" thickBot="1">
      <c r="B121" s="132" t="s">
        <v>82</v>
      </c>
      <c r="C121" s="132"/>
      <c r="D121" s="132"/>
      <c r="E121" s="132"/>
      <c r="F121" s="132"/>
      <c r="G121" s="132"/>
      <c r="H121" s="132"/>
      <c r="I121" s="132"/>
    </row>
    <row r="122" spans="2:9" ht="15" thickTop="1"/>
    <row r="136" spans="2:23">
      <c r="B136" s="474" t="s">
        <v>83</v>
      </c>
      <c r="C136" s="474"/>
      <c r="D136" s="474"/>
      <c r="E136" s="474"/>
      <c r="F136" s="474"/>
      <c r="G136" s="474"/>
      <c r="H136" s="474"/>
      <c r="I136" s="474"/>
      <c r="J136" s="474"/>
      <c r="K136" s="474"/>
      <c r="L136" s="474"/>
      <c r="M136" s="474"/>
      <c r="N136" s="474"/>
      <c r="O136" s="474"/>
      <c r="P136" s="474"/>
      <c r="Q136" s="474"/>
      <c r="R136" s="474"/>
      <c r="S136" s="474"/>
      <c r="T136" s="474"/>
      <c r="U136" s="474"/>
      <c r="V136" s="474"/>
      <c r="W136" s="474"/>
    </row>
    <row r="143" spans="2:23">
      <c r="M143" s="25"/>
    </row>
    <row r="149" spans="2:9" ht="17.100000000000001" thickBot="1">
      <c r="B149" s="132" t="s">
        <v>84</v>
      </c>
      <c r="C149" s="132"/>
      <c r="D149" s="132"/>
      <c r="E149" s="132"/>
      <c r="F149" s="132"/>
      <c r="G149" s="132"/>
      <c r="H149" s="132"/>
      <c r="I149" s="132"/>
    </row>
    <row r="150" spans="2:9" ht="15" thickTop="1"/>
    <row r="163" spans="2:23">
      <c r="B163" s="474" t="s">
        <v>85</v>
      </c>
      <c r="C163" s="474"/>
      <c r="D163" s="474"/>
      <c r="E163" s="474"/>
      <c r="F163" s="474"/>
      <c r="G163" s="474"/>
      <c r="H163" s="474"/>
      <c r="I163" s="474"/>
      <c r="J163" s="474"/>
      <c r="K163" s="474"/>
      <c r="L163" s="474"/>
      <c r="M163" s="474"/>
      <c r="N163" s="474"/>
      <c r="O163" s="474"/>
      <c r="P163" s="474"/>
      <c r="Q163" s="474"/>
      <c r="R163" s="474"/>
      <c r="S163" s="474"/>
      <c r="T163" s="474"/>
      <c r="U163" s="474"/>
      <c r="V163" s="474"/>
      <c r="W163" s="474"/>
    </row>
    <row r="168" spans="2:23" ht="27.95" customHeight="1">
      <c r="B168" s="474" t="s">
        <v>86</v>
      </c>
      <c r="C168" s="474"/>
      <c r="D168" s="474"/>
      <c r="E168" s="474"/>
      <c r="F168" s="474"/>
      <c r="G168" s="474"/>
      <c r="H168" s="474"/>
      <c r="I168" s="474"/>
      <c r="J168" s="474"/>
      <c r="K168" s="474"/>
      <c r="L168" s="474"/>
      <c r="M168" s="474"/>
      <c r="N168" s="474"/>
      <c r="O168" s="474"/>
      <c r="P168" s="474"/>
      <c r="Q168" s="474"/>
      <c r="R168" s="474"/>
      <c r="S168" s="474"/>
      <c r="T168" s="474"/>
      <c r="U168" s="474"/>
      <c r="V168" s="474"/>
      <c r="W168" s="474"/>
    </row>
  </sheetData>
  <mergeCells count="7">
    <mergeCell ref="C5:J5"/>
    <mergeCell ref="C6:J6"/>
    <mergeCell ref="B136:W136"/>
    <mergeCell ref="B163:W163"/>
    <mergeCell ref="B168:W168"/>
    <mergeCell ref="B85:W85"/>
    <mergeCell ref="B10:AF10"/>
  </mergeCells>
  <pageMargins left="0" right="0" top="0" bottom="0" header="0" footer="0"/>
  <headerFooter>
    <oddHeader>&amp;C&amp;"Aptos"&amp;10&amp;K000000 OFFICIAL&amp;1#_x000D_</oddHeader>
    <oddFooter>&amp;C_x000D_&amp;1#&amp;"Aptos"&amp;10&amp;K000000 OFFICIAL</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C67E-A63C-4B32-ADEE-FE21D2D1D829}">
  <sheetPr codeName="Sheet2">
    <tabColor theme="1"/>
  </sheetPr>
  <dimension ref="A2:K85"/>
  <sheetViews>
    <sheetView showGridLines="0" topLeftCell="A11" zoomScaleNormal="100" workbookViewId="0">
      <selection activeCell="E17" sqref="E17"/>
    </sheetView>
  </sheetViews>
  <sheetFormatPr defaultColWidth="8.85546875" defaultRowHeight="14.45"/>
  <cols>
    <col min="1" max="1" width="5" style="44" customWidth="1"/>
    <col min="2" max="2" width="18" customWidth="1"/>
    <col min="3" max="3" width="7.85546875" customWidth="1"/>
    <col min="4" max="4" width="152" customWidth="1"/>
    <col min="5" max="5" width="51.140625" style="268" customWidth="1"/>
    <col min="6" max="6" width="31" customWidth="1"/>
    <col min="7" max="7" width="13.140625" customWidth="1"/>
    <col min="8" max="8" width="44.7109375" customWidth="1"/>
    <col min="9" max="9" width="41.85546875" style="237" customWidth="1"/>
    <col min="10" max="10" width="40.42578125" style="237" customWidth="1"/>
    <col min="11" max="11" width="39.140625" style="237" customWidth="1"/>
  </cols>
  <sheetData>
    <row r="2" spans="2:11">
      <c r="B2" s="145"/>
      <c r="C2" s="145"/>
      <c r="D2" s="145"/>
      <c r="E2" s="260"/>
      <c r="F2" s="145"/>
      <c r="G2" s="145"/>
    </row>
    <row r="3" spans="2:11">
      <c r="B3" s="145"/>
      <c r="C3" s="145"/>
      <c r="D3" s="145"/>
      <c r="E3" s="260"/>
      <c r="F3" s="145"/>
      <c r="G3" s="145"/>
    </row>
    <row r="4" spans="2:11">
      <c r="B4" s="145"/>
      <c r="C4" s="145"/>
      <c r="D4" s="145"/>
      <c r="E4" s="260"/>
      <c r="F4" s="145"/>
      <c r="G4" s="145"/>
    </row>
    <row r="5" spans="2:11">
      <c r="B5" s="145"/>
      <c r="C5" s="145"/>
      <c r="D5" s="145"/>
      <c r="E5" s="260"/>
      <c r="F5" s="145"/>
      <c r="G5" s="145"/>
    </row>
    <row r="6" spans="2:11">
      <c r="B6" s="145"/>
      <c r="C6" s="145"/>
      <c r="D6" s="145"/>
      <c r="E6" s="260"/>
      <c r="F6" s="145"/>
      <c r="G6" s="145"/>
    </row>
    <row r="7" spans="2:11">
      <c r="B7" s="145"/>
      <c r="C7" s="145"/>
      <c r="D7" s="145"/>
      <c r="E7" s="260"/>
      <c r="F7" s="145"/>
      <c r="G7" s="145"/>
    </row>
    <row r="8" spans="2:11">
      <c r="B8" s="145"/>
      <c r="C8" s="145"/>
      <c r="D8" s="145"/>
      <c r="E8" s="260"/>
      <c r="F8" s="145"/>
      <c r="G8" s="145"/>
    </row>
    <row r="9" spans="2:11">
      <c r="B9" s="145"/>
      <c r="C9" s="145"/>
      <c r="D9" s="145"/>
      <c r="E9" s="260"/>
      <c r="F9" s="145"/>
      <c r="G9" s="145"/>
    </row>
    <row r="10" spans="2:11">
      <c r="B10" s="145"/>
      <c r="C10" s="145"/>
      <c r="D10" s="145"/>
      <c r="E10" s="260"/>
      <c r="F10" s="145"/>
      <c r="G10" s="145"/>
    </row>
    <row r="11" spans="2:11" ht="28.5">
      <c r="B11" s="145"/>
      <c r="C11" s="146" t="s">
        <v>87</v>
      </c>
      <c r="D11" s="147"/>
      <c r="E11" s="261"/>
      <c r="F11" s="148"/>
      <c r="G11" s="145"/>
    </row>
    <row r="12" spans="2:11">
      <c r="B12" s="145"/>
      <c r="C12" s="149"/>
      <c r="D12" s="149"/>
      <c r="E12" s="262"/>
      <c r="F12" s="150"/>
      <c r="G12" s="145"/>
    </row>
    <row r="13" spans="2:11" ht="15.6">
      <c r="B13" s="145"/>
      <c r="C13" s="151" t="s">
        <v>88</v>
      </c>
      <c r="D13" s="152"/>
      <c r="E13" s="263"/>
      <c r="F13" s="153"/>
      <c r="G13" s="145"/>
    </row>
    <row r="14" spans="2:11">
      <c r="B14" s="145"/>
      <c r="C14" s="483" t="s">
        <v>89</v>
      </c>
      <c r="D14" s="483"/>
      <c r="E14" s="103"/>
      <c r="F14" s="154"/>
      <c r="G14" s="145"/>
    </row>
    <row r="15" spans="2:11">
      <c r="B15" s="145"/>
      <c r="C15" s="483" t="s">
        <v>90</v>
      </c>
      <c r="D15" s="483"/>
      <c r="E15" s="103"/>
      <c r="F15" s="154"/>
      <c r="G15" s="145"/>
      <c r="I15" s="238"/>
      <c r="J15" s="238"/>
      <c r="K15" s="240"/>
    </row>
    <row r="16" spans="2:11">
      <c r="B16" s="145"/>
      <c r="C16" s="483" t="s">
        <v>91</v>
      </c>
      <c r="D16" s="483"/>
      <c r="E16" s="103"/>
      <c r="F16" s="154"/>
      <c r="G16" s="145"/>
    </row>
    <row r="17" spans="2:8">
      <c r="B17" s="145"/>
      <c r="C17" s="178" t="s">
        <v>92</v>
      </c>
      <c r="D17" s="243"/>
      <c r="E17" s="110"/>
      <c r="F17" s="154"/>
      <c r="G17" s="145"/>
    </row>
    <row r="18" spans="2:8">
      <c r="B18" s="145"/>
      <c r="C18" s="492" t="s">
        <v>93</v>
      </c>
      <c r="D18" s="492"/>
      <c r="E18" s="103"/>
      <c r="F18" s="155"/>
      <c r="G18" s="145"/>
    </row>
    <row r="19" spans="2:8">
      <c r="B19" s="145"/>
      <c r="C19" s="487"/>
      <c r="D19" s="487"/>
      <c r="E19" s="156"/>
      <c r="F19" s="157"/>
      <c r="G19" s="145"/>
    </row>
    <row r="20" spans="2:8" ht="15.6">
      <c r="B20" s="145"/>
      <c r="C20" s="158" t="s">
        <v>94</v>
      </c>
      <c r="D20" s="159"/>
      <c r="E20" s="179"/>
      <c r="F20" s="160"/>
      <c r="G20" s="145"/>
    </row>
    <row r="21" spans="2:8">
      <c r="B21" s="145"/>
      <c r="C21" s="483" t="s">
        <v>95</v>
      </c>
      <c r="D21" s="483"/>
      <c r="E21" s="110"/>
      <c r="F21" s="154"/>
      <c r="G21" s="145"/>
      <c r="H21" s="409"/>
    </row>
    <row r="22" spans="2:8">
      <c r="B22" s="145"/>
      <c r="C22" s="483" t="s">
        <v>96</v>
      </c>
      <c r="D22" s="483"/>
      <c r="E22" s="110"/>
      <c r="F22" s="154"/>
      <c r="G22" s="145"/>
    </row>
    <row r="23" spans="2:8">
      <c r="B23" s="145"/>
      <c r="C23" s="492" t="s">
        <v>97</v>
      </c>
      <c r="D23" s="492"/>
      <c r="E23" s="110"/>
      <c r="F23" s="155"/>
      <c r="G23" s="145"/>
    </row>
    <row r="24" spans="2:8">
      <c r="B24" s="145"/>
      <c r="C24" s="491"/>
      <c r="D24" s="491"/>
      <c r="E24" s="161"/>
      <c r="F24" s="157"/>
      <c r="G24" s="145"/>
    </row>
    <row r="25" spans="2:8" ht="15.6">
      <c r="B25" s="145"/>
      <c r="C25" s="164" t="s">
        <v>98</v>
      </c>
      <c r="D25" s="167"/>
      <c r="E25" s="168"/>
      <c r="F25" s="165"/>
      <c r="G25" s="145"/>
    </row>
    <row r="26" spans="2:8" ht="33" customHeight="1">
      <c r="B26" s="145"/>
      <c r="C26" s="493" t="s">
        <v>99</v>
      </c>
      <c r="D26" s="494"/>
      <c r="F26" s="347"/>
      <c r="G26" s="145"/>
    </row>
    <row r="27" spans="2:8" ht="16.5">
      <c r="B27" s="145"/>
      <c r="C27" s="256"/>
      <c r="D27" s="246" t="s">
        <v>100</v>
      </c>
      <c r="E27" s="400" t="str" cm="1">
        <f t="array" ref="E27">IF(OR(Pathway=Units!$B$85:$B$88), 0, "Enter annual usage")</f>
        <v>Enter annual usage</v>
      </c>
      <c r="F27" s="270" t="s">
        <v>101</v>
      </c>
      <c r="G27" s="145"/>
    </row>
    <row r="28" spans="2:8" ht="16.5">
      <c r="B28" s="145"/>
      <c r="C28" s="256"/>
      <c r="D28" s="246" t="s">
        <v>102</v>
      </c>
      <c r="E28" s="400" t="str" cm="1">
        <f t="array" ref="E28">IF(OR(Pathway=Units!$B$86:$B$88, Pathway=Units!$B$84), 0, "Enter annual usage")</f>
        <v>Enter annual usage</v>
      </c>
      <c r="F28" s="270" t="s">
        <v>101</v>
      </c>
      <c r="G28" s="145"/>
    </row>
    <row r="29" spans="2:8" ht="16.5">
      <c r="B29" s="145"/>
      <c r="C29" s="256"/>
      <c r="D29" s="246" t="s">
        <v>103</v>
      </c>
      <c r="E29" s="400" t="str" cm="1">
        <f t="array" ref="E29">IF(OR(Pathway=Units!$B$87:$B$88, Pathway=Units!$B$84:$B$85), 0, "Enter annual usage")</f>
        <v>Enter annual usage</v>
      </c>
      <c r="F29" s="270" t="s">
        <v>101</v>
      </c>
      <c r="G29" s="145"/>
    </row>
    <row r="30" spans="2:8" ht="16.5">
      <c r="B30" s="145"/>
      <c r="C30" s="256"/>
      <c r="D30" s="246" t="s">
        <v>104</v>
      </c>
      <c r="E30" s="400" t="str" cm="1">
        <f t="array" ref="E30">IF(OR(Pathway=Units!$B$88, Pathway=Units!$B$84:$B$86), 0, "Enter annual usage")</f>
        <v>Enter annual usage</v>
      </c>
      <c r="F30" s="270" t="s">
        <v>101</v>
      </c>
      <c r="G30" s="145"/>
    </row>
    <row r="31" spans="2:8" ht="16.5">
      <c r="B31" s="145"/>
      <c r="C31" s="256"/>
      <c r="D31" s="246" t="s">
        <v>105</v>
      </c>
      <c r="E31" s="400" t="str" cm="1">
        <f t="array" ref="E31">IF(OR(Pathway=Units!$B$84:$B$87), 0, "Enter annual usage")</f>
        <v>Enter annual usage</v>
      </c>
      <c r="F31" s="270" t="s">
        <v>101</v>
      </c>
      <c r="G31" s="145"/>
    </row>
    <row r="32" spans="2:8" ht="16.5">
      <c r="B32" s="145"/>
      <c r="C32" s="256"/>
      <c r="D32" s="246" t="str">
        <f>IF(E28&gt;0,"What is the annual average GHG emissions intensity of the nuclear electricity source, including any applicable T&amp;D losses?","Not applicable, as 'nuclear electricity' not selected, please enter 0 and move on to the next question")</f>
        <v>What is the annual average GHG emissions intensity of the nuclear electricity source, including any applicable T&amp;D losses?</v>
      </c>
      <c r="E32" s="400" t="str">
        <f>IF(E28&gt;0,"Enter nuclear generation intensity  / (1-T&amp;D losses)","Not applicable, as 'nuclear electricity' not selected, please enter 0 and move on to the next question")</f>
        <v>Enter nuclear generation intensity  / (1-T&amp;D losses)</v>
      </c>
      <c r="F32" s="270" t="s">
        <v>106</v>
      </c>
      <c r="G32" s="145"/>
    </row>
    <row r="33" spans="2:10" ht="16.5">
      <c r="B33" s="145"/>
      <c r="C33" s="256"/>
      <c r="D33" s="246" t="str">
        <f>IF(E30&gt;0,"What is the annual average GHG emissions intensity of the stored electricity source, including any applicable T&amp;D losses?","Not applicable, as 'stored electricity' not selected, please enter 0 and move on to the next question")</f>
        <v>What is the annual average GHG emissions intensity of the stored electricity source, including any applicable T&amp;D losses?</v>
      </c>
      <c r="E33" s="400" t="str">
        <f>IF(E30&gt;0,"Enter average storage discharge intensity / (1-T&amp;D losses)","Not applicable, as 'stored electricity' not selected, please enter 0 and move on to the next question")</f>
        <v>Enter average storage discharge intensity / (1-T&amp;D losses)</v>
      </c>
      <c r="F33" s="270" t="s">
        <v>106</v>
      </c>
      <c r="G33" s="145"/>
    </row>
    <row r="34" spans="2:10" ht="16.5">
      <c r="B34" s="145"/>
      <c r="C34" s="256"/>
      <c r="D34" s="246" t="str">
        <f>IF(E31&gt;0,"What is the annual average GHG emissions intensity of the other electricity source(s), including any applicable T&amp;D losses?","Not applicable, as 'other electricity sources' not selected, please enter 0 and move on to the next question")</f>
        <v>What is the annual average GHG emissions intensity of the other electricity source(s), including any applicable T&amp;D losses?</v>
      </c>
      <c r="E34" s="400" t="str">
        <f>IF(E31&gt;0,"Enter electricity generation intensity / (1-T&amp;D losses)","Not applicable, as 'other electricity sources' not selected, please enter 0 and move to the next question")</f>
        <v>Enter electricity generation intensity / (1-T&amp;D losses)</v>
      </c>
      <c r="F34" s="270" t="s">
        <v>106</v>
      </c>
      <c r="G34" s="145"/>
    </row>
    <row r="35" spans="2:10" ht="36.6" customHeight="1">
      <c r="B35" s="145"/>
      <c r="C35" s="244"/>
      <c r="D35" s="422" t="str">
        <f>IF(OR(E30,E31&gt;0),"Please reference documents evidencing the calculation of the GHG emissions intensity of the stored electricity and/or other electricity source, and any T&amp;D losses applied to the generation intensities above","Not applicable, as 'stored electricity' and 'other electricity sources' not selected, please move on to the next question")</f>
        <v>Please reference documents evidencing the calculation of the GHG emissions intensity of the stored electricity and/or other electricity source, and any T&amp;D losses applied to the generation intensities above</v>
      </c>
      <c r="E35" s="264"/>
      <c r="F35" s="170"/>
      <c r="G35" s="145"/>
    </row>
    <row r="36" spans="2:10" ht="16.5">
      <c r="B36" s="145"/>
      <c r="C36" s="244"/>
      <c r="D36" s="246" t="s">
        <v>107</v>
      </c>
      <c r="E36" s="274" t="str">
        <f>IFERROR((E27*AVERAGE('Typical data'!$C$136:$C$138)+E28*E32+E29*INDEX(Proj_grid_intensity_kWh,MATCH(Operations_year, Proj_grid_year,0))+E30*E33+E31*E34)/SUM(E27:E31),"Please fill in the breakdown of electricity sources and year")</f>
        <v>Please fill in the breakdown of electricity sources and year</v>
      </c>
      <c r="F36" s="270" t="s">
        <v>106</v>
      </c>
      <c r="G36" s="145"/>
      <c r="I36" s="288"/>
      <c r="J36" s="289"/>
    </row>
    <row r="37" spans="2:10">
      <c r="B37" s="145"/>
      <c r="C37" s="244"/>
      <c r="D37" s="246" t="s">
        <v>108</v>
      </c>
      <c r="E37" s="423">
        <v>0</v>
      </c>
      <c r="F37" s="270"/>
      <c r="G37" s="145"/>
      <c r="I37" s="288"/>
      <c r="J37" s="289"/>
    </row>
    <row r="38" spans="2:10">
      <c r="B38" s="145"/>
      <c r="C38" s="244"/>
      <c r="D38" s="246" t="s">
        <v>109</v>
      </c>
      <c r="E38" s="423">
        <v>0</v>
      </c>
      <c r="F38" s="270"/>
      <c r="G38" s="145"/>
      <c r="I38" s="288"/>
      <c r="J38" s="289"/>
    </row>
    <row r="39" spans="2:10">
      <c r="B39" s="145"/>
      <c r="C39" s="244"/>
      <c r="D39" s="246" t="s">
        <v>110</v>
      </c>
      <c r="E39" s="423">
        <v>0</v>
      </c>
      <c r="F39" s="270"/>
      <c r="G39" s="145"/>
      <c r="I39" s="288"/>
      <c r="J39" s="289"/>
    </row>
    <row r="40" spans="2:10" ht="30" customHeight="1">
      <c r="B40" s="145"/>
      <c r="C40" s="290"/>
      <c r="D40" s="291" t="s">
        <v>111</v>
      </c>
      <c r="E40" s="348" t="str">
        <f>IFERROR((E27+E28)/SUM(E27:E31),"Please fill in the breakdown of electricity sources")</f>
        <v>Please fill in the breakdown of electricity sources</v>
      </c>
      <c r="F40" s="170"/>
      <c r="G40" s="145"/>
      <c r="I40" s="288"/>
      <c r="J40" s="289"/>
    </row>
    <row r="41" spans="2:10" ht="34.35" customHeight="1">
      <c r="B41" s="145"/>
      <c r="C41" s="486" t="s">
        <v>112</v>
      </c>
      <c r="D41" s="486"/>
      <c r="E41" s="103"/>
      <c r="F41" s="154"/>
      <c r="G41" s="171"/>
      <c r="I41" s="288"/>
    </row>
    <row r="42" spans="2:10">
      <c r="B42" s="145"/>
      <c r="C42" s="483" t="s">
        <v>113</v>
      </c>
      <c r="D42" s="483"/>
      <c r="E42" s="265"/>
      <c r="F42" s="154"/>
      <c r="G42" s="166"/>
      <c r="H42" s="145"/>
    </row>
    <row r="43" spans="2:10">
      <c r="B43" s="145"/>
      <c r="C43" s="172"/>
      <c r="D43" s="173" t="s">
        <v>114</v>
      </c>
      <c r="E43" s="184">
        <v>0</v>
      </c>
      <c r="F43" s="154"/>
      <c r="G43" s="495"/>
      <c r="H43" s="495"/>
      <c r="I43" s="239"/>
    </row>
    <row r="44" spans="2:10">
      <c r="B44" s="145"/>
      <c r="C44" s="172"/>
      <c r="D44" s="173" t="s">
        <v>115</v>
      </c>
      <c r="E44" s="184">
        <v>0</v>
      </c>
      <c r="F44" s="154"/>
      <c r="G44" s="399"/>
      <c r="H44" s="399"/>
      <c r="I44" s="239"/>
    </row>
    <row r="45" spans="2:10">
      <c r="B45" s="145"/>
      <c r="C45" s="172"/>
      <c r="D45" s="173" t="s">
        <v>116</v>
      </c>
      <c r="E45" s="184">
        <v>0</v>
      </c>
      <c r="F45" s="154"/>
      <c r="G45" s="399"/>
      <c r="H45" s="399"/>
      <c r="I45" s="239"/>
    </row>
    <row r="46" spans="2:10">
      <c r="B46" s="145"/>
      <c r="C46" s="172"/>
      <c r="D46" s="173" t="s">
        <v>117</v>
      </c>
      <c r="E46" s="184">
        <v>0</v>
      </c>
      <c r="F46" s="154"/>
      <c r="G46" s="495"/>
      <c r="H46" s="495"/>
    </row>
    <row r="47" spans="2:10">
      <c r="B47" s="145"/>
      <c r="C47" s="172"/>
      <c r="D47" s="173" t="s">
        <v>118</v>
      </c>
      <c r="E47" s="184">
        <v>0</v>
      </c>
      <c r="F47" s="154"/>
      <c r="G47" s="166"/>
      <c r="H47" s="171"/>
    </row>
    <row r="48" spans="2:10">
      <c r="B48" s="145"/>
      <c r="C48" s="172"/>
      <c r="D48" s="173" t="s">
        <v>119</v>
      </c>
      <c r="E48" s="184">
        <v>0</v>
      </c>
      <c r="F48" s="154"/>
      <c r="G48" s="166"/>
      <c r="H48" s="171"/>
    </row>
    <row r="49" spans="2:10">
      <c r="B49" s="145"/>
      <c r="C49" s="172"/>
      <c r="D49" s="173" t="s">
        <v>120</v>
      </c>
      <c r="E49" s="184">
        <v>0</v>
      </c>
      <c r="F49" s="154"/>
      <c r="G49" s="166"/>
      <c r="H49" s="171"/>
    </row>
    <row r="50" spans="2:10">
      <c r="B50" s="145"/>
      <c r="C50" s="172"/>
      <c r="D50" s="173" t="s">
        <v>121</v>
      </c>
      <c r="E50" s="184">
        <v>0</v>
      </c>
      <c r="F50" s="154"/>
      <c r="G50" s="166"/>
      <c r="H50" s="171"/>
    </row>
    <row r="51" spans="2:10">
      <c r="B51" s="145"/>
      <c r="C51" s="172"/>
      <c r="D51" s="173" t="s">
        <v>122</v>
      </c>
      <c r="E51" s="184">
        <v>0</v>
      </c>
      <c r="F51" s="154"/>
      <c r="G51" s="166"/>
      <c r="H51" s="171"/>
    </row>
    <row r="52" spans="2:10">
      <c r="B52" s="145"/>
      <c r="C52" s="172"/>
      <c r="D52" s="173" t="s">
        <v>123</v>
      </c>
      <c r="E52" s="266" t="str">
        <f>IF(SUM(E43:E51)&lt;&gt;100%,"Error: Does not add to 100%",SUM(E43:E51))</f>
        <v>Error: Does not add to 100%</v>
      </c>
      <c r="F52" s="154"/>
      <c r="G52" s="166"/>
      <c r="H52" s="171"/>
    </row>
    <row r="53" spans="2:10" ht="33.6" customHeight="1">
      <c r="B53" s="145"/>
      <c r="C53" s="484" t="s">
        <v>124</v>
      </c>
      <c r="D53" s="484"/>
      <c r="E53" s="184"/>
      <c r="F53" s="155"/>
      <c r="G53" s="171"/>
    </row>
    <row r="54" spans="2:10">
      <c r="B54" s="145"/>
      <c r="C54" s="145"/>
      <c r="D54" s="145"/>
      <c r="E54" s="174"/>
      <c r="F54" s="145"/>
      <c r="G54" s="145"/>
    </row>
    <row r="55" spans="2:10" ht="15.6">
      <c r="B55" s="145"/>
      <c r="C55" s="488" t="s">
        <v>125</v>
      </c>
      <c r="D55" s="488"/>
      <c r="E55" s="162"/>
      <c r="F55" s="160"/>
      <c r="G55" s="175"/>
    </row>
    <row r="56" spans="2:10">
      <c r="B56" s="145"/>
      <c r="C56" s="483" t="s">
        <v>126</v>
      </c>
      <c r="D56" s="483"/>
      <c r="E56" s="185"/>
      <c r="F56" s="154" t="s">
        <v>127</v>
      </c>
      <c r="G56" s="145"/>
    </row>
    <row r="57" spans="2:10" ht="29.1" customHeight="1">
      <c r="B57" s="145"/>
      <c r="C57" s="485" t="s">
        <v>128</v>
      </c>
      <c r="D57" s="490"/>
      <c r="E57" s="185"/>
      <c r="F57" s="365" t="s">
        <v>129</v>
      </c>
      <c r="G57" s="175"/>
    </row>
    <row r="58" spans="2:10">
      <c r="B58" s="145"/>
      <c r="C58" s="483" t="s">
        <v>130</v>
      </c>
      <c r="D58" s="489"/>
      <c r="E58" s="185"/>
      <c r="F58" s="365" t="s">
        <v>129</v>
      </c>
      <c r="G58" s="175"/>
    </row>
    <row r="59" spans="2:10">
      <c r="B59" s="145"/>
      <c r="C59" s="483" t="s">
        <v>131</v>
      </c>
      <c r="D59" s="483"/>
      <c r="E59" s="185"/>
      <c r="F59" s="154" t="s">
        <v>132</v>
      </c>
      <c r="G59" s="145"/>
      <c r="H59" s="409"/>
    </row>
    <row r="60" spans="2:10">
      <c r="B60" s="145"/>
      <c r="C60" s="483" t="s">
        <v>133</v>
      </c>
      <c r="D60" s="483"/>
      <c r="E60" s="186"/>
      <c r="F60" s="154" t="s">
        <v>134</v>
      </c>
      <c r="G60" s="145"/>
      <c r="H60" s="409"/>
      <c r="I60" s="239"/>
      <c r="J60" s="239"/>
    </row>
    <row r="61" spans="2:10">
      <c r="B61" s="145"/>
      <c r="C61" s="483" t="s">
        <v>135</v>
      </c>
      <c r="D61" s="483"/>
      <c r="E61" s="200"/>
      <c r="F61" s="176" t="s">
        <v>136</v>
      </c>
      <c r="G61" s="145"/>
    </row>
    <row r="62" spans="2:10" ht="30" customHeight="1">
      <c r="B62" s="145"/>
      <c r="C62" s="486" t="s">
        <v>137</v>
      </c>
      <c r="D62" s="486"/>
      <c r="E62" s="187"/>
      <c r="F62" s="154"/>
      <c r="G62" s="145"/>
    </row>
    <row r="63" spans="2:10" ht="14.45" customHeight="1">
      <c r="B63" s="145"/>
      <c r="C63" s="169"/>
      <c r="D63" s="407" t="str">
        <f>IF(OR(E62="Other",E62=""),"If you have selected Other, please specify the expected source of this electricity, and enter the GHG intensity in the row below", "Not applicable, as 'Other' electricity source not selected, please move on to the next question")</f>
        <v>If you have selected Other, please specify the expected source of this electricity, and enter the GHG intensity in the row below</v>
      </c>
      <c r="E63" s="188"/>
      <c r="F63" s="154"/>
      <c r="G63" s="145"/>
      <c r="H63" s="409"/>
    </row>
    <row r="64" spans="2:10" ht="16.5">
      <c r="B64" s="145"/>
      <c r="C64" s="169"/>
      <c r="D64" s="408" t="str">
        <f>IF(OR(E62="Not applicable"),"Not applicable, please move on to the next question.", "Expected annual average GHG emissions intensity of any electricity used for theoretical compression/purification in the relevant calendar year of operations")</f>
        <v>Expected annual average GHG emissions intensity of any electricity used for theoretical compression/purification in the relevant calendar year of operations</v>
      </c>
      <c r="E64" s="364" t="str">
        <f>IF(E62="Grid electricity",IFERROR(INDEX(Proj_grid_intensity_kWh,MATCH(Operations_year,Proj_grid_year,0)),"Yet to provide year"),IF(E62="Wind/solar electricity",AVERAGE('Typical data'!$C$136:$C$138),IF(E62="Nuclear electricity",E32,IF(E62="Other","Input annual average GHG emissions intensity",IF(E62="Electricity input mix as above",$E$36,IF(E62="Not applicable", "","Yet to provide electricity source"))))))</f>
        <v>Yet to provide electricity source</v>
      </c>
      <c r="F64" s="170" t="s">
        <v>106</v>
      </c>
      <c r="G64" s="145"/>
    </row>
    <row r="65" spans="2:11">
      <c r="B65" s="145"/>
      <c r="C65" s="496" t="s">
        <v>138</v>
      </c>
      <c r="D65" s="496"/>
      <c r="E65" s="110"/>
      <c r="F65" s="155"/>
      <c r="G65" s="145"/>
    </row>
    <row r="66" spans="2:11">
      <c r="B66" s="145"/>
      <c r="C66" s="487"/>
      <c r="D66" s="487"/>
      <c r="E66" s="163"/>
      <c r="F66" s="177"/>
      <c r="G66" s="145"/>
    </row>
    <row r="67" spans="2:11" ht="15.6">
      <c r="B67" s="145"/>
      <c r="C67" s="158" t="s">
        <v>139</v>
      </c>
      <c r="D67" s="159"/>
      <c r="E67" s="179"/>
      <c r="F67" s="160"/>
      <c r="G67" s="145"/>
    </row>
    <row r="68" spans="2:11" ht="31.5" customHeight="1">
      <c r="B68" s="145"/>
      <c r="C68" s="485" t="s">
        <v>140</v>
      </c>
      <c r="D68" s="485"/>
      <c r="E68" s="110"/>
      <c r="F68" s="350"/>
      <c r="G68" s="145"/>
      <c r="H68" s="409"/>
    </row>
    <row r="69" spans="2:11">
      <c r="B69" s="145"/>
      <c r="C69" s="483" t="str">
        <f>IF(E31&gt;0, "Energy Supply emissions data must be projected, as use of 'other' electricity sources is non-zero", IF(E68="Mixed", "If Mixed data selected above, please specify if the Energy Supply emissions data are projected or default data are used?", "Not applicable, as Mixed data not selected, please move on to the next question"))</f>
        <v>Energy Supply emissions data must be projected, as use of 'other' electricity sources is non-zero</v>
      </c>
      <c r="D69" s="487"/>
      <c r="E69" s="110"/>
      <c r="F69" s="154"/>
      <c r="G69" s="145"/>
      <c r="H69" s="409"/>
    </row>
    <row r="70" spans="2:11">
      <c r="B70" s="145"/>
      <c r="C70" s="483" t="str">
        <f>IF(E68="Mixed", "If Mixed data selected above, please specify if the Input Materials emissions data are projected or default data are used?", "Not applicable, as Mixed data not selected, please move on to the next question")</f>
        <v>Not applicable, as Mixed data not selected, please move on to the next question</v>
      </c>
      <c r="D70" s="487"/>
      <c r="E70" s="110"/>
      <c r="F70" s="154"/>
      <c r="G70" s="145"/>
      <c r="H70" s="409"/>
    </row>
    <row r="71" spans="2:11" ht="50.1" customHeight="1">
      <c r="B71" s="145"/>
      <c r="C71" s="486" t="s">
        <v>141</v>
      </c>
      <c r="D71" s="486"/>
      <c r="E71" s="103"/>
      <c r="F71" s="154"/>
      <c r="G71" s="145"/>
      <c r="J71" s="410"/>
      <c r="K71" s="410"/>
    </row>
    <row r="72" spans="2:11" ht="53.45" customHeight="1">
      <c r="B72" s="145"/>
      <c r="C72" s="484" t="s">
        <v>142</v>
      </c>
      <c r="D72" s="484"/>
      <c r="E72" s="103"/>
      <c r="F72" s="155"/>
      <c r="G72" s="145"/>
      <c r="J72" s="410"/>
      <c r="K72" s="410"/>
    </row>
    <row r="73" spans="2:11">
      <c r="B73" s="145"/>
      <c r="C73" s="180"/>
      <c r="D73" s="180"/>
      <c r="E73" s="267"/>
      <c r="F73" s="180"/>
      <c r="G73" s="145"/>
      <c r="J73" s="410"/>
      <c r="K73" s="410"/>
    </row>
    <row r="74" spans="2:11">
      <c r="B74" s="145"/>
      <c r="C74" s="145"/>
      <c r="D74" s="145"/>
      <c r="E74" s="260"/>
      <c r="F74" s="145"/>
      <c r="G74" s="145"/>
      <c r="J74" s="410"/>
      <c r="K74" s="410"/>
    </row>
    <row r="75" spans="2:11" ht="23.45">
      <c r="B75" s="145"/>
      <c r="C75" s="181" t="s">
        <v>143</v>
      </c>
      <c r="D75" s="145"/>
      <c r="E75" s="415" t="s">
        <v>144</v>
      </c>
      <c r="F75" s="145"/>
      <c r="G75" s="145"/>
      <c r="J75" s="410"/>
      <c r="K75" s="410"/>
    </row>
    <row r="76" spans="2:11" ht="21">
      <c r="B76" s="145"/>
      <c r="C76" s="145"/>
      <c r="D76" s="414" t="s">
        <v>145</v>
      </c>
      <c r="E76" s="416" t="s">
        <v>146</v>
      </c>
      <c r="F76" s="145"/>
      <c r="G76" s="145"/>
      <c r="J76" s="410"/>
      <c r="K76" s="410"/>
    </row>
    <row r="77" spans="2:11" ht="21">
      <c r="B77" s="145"/>
      <c r="C77" s="145"/>
      <c r="D77" s="414" t="s">
        <v>147</v>
      </c>
      <c r="E77" s="417" t="s">
        <v>148</v>
      </c>
      <c r="F77" s="145"/>
      <c r="G77" s="145"/>
      <c r="J77" s="410"/>
      <c r="K77" s="410"/>
    </row>
    <row r="78" spans="2:11" ht="21">
      <c r="B78" s="145"/>
      <c r="C78" s="145"/>
      <c r="D78" s="414" t="s">
        <v>149</v>
      </c>
      <c r="E78" s="418" t="s">
        <v>150</v>
      </c>
      <c r="F78" s="145"/>
      <c r="G78" s="145"/>
      <c r="J78" s="410"/>
      <c r="K78" s="410"/>
    </row>
    <row r="79" spans="2:11" ht="36.950000000000003">
      <c r="B79" s="145"/>
      <c r="C79" s="145"/>
      <c r="D79" s="414" t="s">
        <v>151</v>
      </c>
      <c r="E79" s="416" t="s">
        <v>152</v>
      </c>
      <c r="F79" s="145"/>
      <c r="G79" s="145"/>
      <c r="J79" s="410"/>
      <c r="K79" s="410"/>
    </row>
    <row r="80" spans="2:11" ht="43.5">
      <c r="B80" s="145"/>
      <c r="C80" s="145"/>
      <c r="D80" s="183"/>
      <c r="E80" s="451" t="s">
        <v>153</v>
      </c>
      <c r="F80" s="145"/>
      <c r="G80" s="145"/>
      <c r="J80" s="410"/>
      <c r="K80" s="410"/>
    </row>
    <row r="81" spans="2:7" ht="18.600000000000001">
      <c r="B81" s="145"/>
      <c r="C81" s="145"/>
      <c r="D81" s="182"/>
      <c r="E81" s="260"/>
      <c r="F81" s="145"/>
      <c r="G81" s="145"/>
    </row>
    <row r="82" spans="2:7" ht="18.600000000000001">
      <c r="B82" s="145"/>
      <c r="C82" s="145"/>
      <c r="D82" s="182"/>
      <c r="E82" s="260"/>
      <c r="F82" s="145"/>
      <c r="G82" s="145"/>
    </row>
    <row r="83" spans="2:7">
      <c r="B83" s="145"/>
      <c r="C83" s="145"/>
      <c r="D83" s="145"/>
      <c r="E83" s="260"/>
      <c r="F83" s="145"/>
      <c r="G83" s="145"/>
    </row>
    <row r="85" spans="2:7" ht="21">
      <c r="D85" s="258"/>
    </row>
  </sheetData>
  <dataConsolidate/>
  <mergeCells count="30">
    <mergeCell ref="G43:H43"/>
    <mergeCell ref="G46:H46"/>
    <mergeCell ref="C62:D62"/>
    <mergeCell ref="C61:D61"/>
    <mergeCell ref="C65:D65"/>
    <mergeCell ref="C53:D53"/>
    <mergeCell ref="C14:D14"/>
    <mergeCell ref="C16:D16"/>
    <mergeCell ref="C23:D23"/>
    <mergeCell ref="C22:D22"/>
    <mergeCell ref="C19:D19"/>
    <mergeCell ref="C24:D24"/>
    <mergeCell ref="C21:D21"/>
    <mergeCell ref="C18:D18"/>
    <mergeCell ref="C15:D15"/>
    <mergeCell ref="C41:D41"/>
    <mergeCell ref="C26:D26"/>
    <mergeCell ref="C42:D42"/>
    <mergeCell ref="C72:D72"/>
    <mergeCell ref="C68:D68"/>
    <mergeCell ref="C71:D71"/>
    <mergeCell ref="C69:D69"/>
    <mergeCell ref="C70:D70"/>
    <mergeCell ref="C66:D66"/>
    <mergeCell ref="C60:D60"/>
    <mergeCell ref="C59:D59"/>
    <mergeCell ref="C55:D55"/>
    <mergeCell ref="C56:D56"/>
    <mergeCell ref="C58:D58"/>
    <mergeCell ref="C57:D57"/>
  </mergeCells>
  <conditionalFormatting sqref="E52">
    <cfRule type="expression" dxfId="10" priority="5">
      <formula>SUM($E$43:$E$51)&lt;1</formula>
    </cfRule>
  </conditionalFormatting>
  <conditionalFormatting sqref="E64">
    <cfRule type="expression" dxfId="9" priority="1">
      <formula>ISNUMBER(E64)=TRUE</formula>
    </cfRule>
  </conditionalFormatting>
  <dataValidations count="14">
    <dataValidation type="list" showInputMessage="1" showErrorMessage="1" errorTitle="Please select from the drop down" sqref="E21" xr:uid="{C2C021BE-923B-48F7-9D24-943CDCEBE2C3}">
      <formula1>Pathway_list</formula1>
    </dataValidation>
    <dataValidation type="list" showInputMessage="1" showErrorMessage="1" sqref="E62" xr:uid="{0C4B51AC-A925-4C75-89A7-FFC82CBC1902}">
      <formula1>electro</formula1>
    </dataValidation>
    <dataValidation type="list" showInputMessage="1" showErrorMessage="1" sqref="E23" xr:uid="{2A0471D6-0A2F-407B-8D15-C2DA89520A4D}">
      <formula1>Commission</formula1>
    </dataValidation>
    <dataValidation type="list" showInputMessage="1" showErrorMessage="1" sqref="E65 E22" xr:uid="{30976534-7487-4A57-AE70-B00CF6E304F1}">
      <formula1>Risk</formula1>
    </dataValidation>
    <dataValidation type="custom" allowBlank="1" showInputMessage="1" showErrorMessage="1" sqref="E56:E61 E43:E51 E40" xr:uid="{732FE59B-30DF-4635-8032-28489FC2AD7E}">
      <formula1>ISNUMBER(E40)</formula1>
    </dataValidation>
    <dataValidation type="custom" allowBlank="1" showInputMessage="1" showErrorMessage="1" error="Please do not change this formula_x000a_" prompt="Please do not change this formula" sqref="E52" xr:uid="{970187B3-683C-4DE9-8FF7-64E65BBCCFFE}">
      <formula1>"Please do not change this formula"</formula1>
    </dataValidation>
    <dataValidation type="custom" allowBlank="1" showInputMessage="1" showErrorMessage="1" error="Please do not change_x000a_" sqref="C1:C10 D1:D12 C12 C13:D26 D27:D29 D31 D36 C27:C40 F1:F55 A1:B1048576 F59:F1048576 G1:G1048576 C41:D56 C59:D1048576 C57:D58" xr:uid="{CAD7FD28-5DF5-422F-A175-153C50C2C127}">
      <formula1>"Please do not change"</formula1>
    </dataValidation>
    <dataValidation type="decimal" allowBlank="1" showInputMessage="1" showErrorMessage="1" sqref="E27:E34" xr:uid="{B44018ED-B095-4714-9143-B3C49C8A90D1}">
      <formula1>0</formula1>
      <formula2>10000000000</formula2>
    </dataValidation>
    <dataValidation type="decimal" allowBlank="1" showInputMessage="1" showErrorMessage="1" sqref="E37:E39" xr:uid="{78CA525C-BAFF-4159-A39C-89B542EA25A4}">
      <formula1>0</formula1>
      <formula2>1</formula2>
    </dataValidation>
    <dataValidation type="custom" allowBlank="1" showInputMessage="1" showErrorMessage="1" sqref="E64" xr:uid="{4810B6BA-F613-4AE2-92A5-0668CC86947C}">
      <formula1>E64&gt;=E36</formula1>
    </dataValidation>
    <dataValidation type="list" showInputMessage="1" showErrorMessage="1" sqref="E70" xr:uid="{D9056506-133A-4DB0-BFBA-0FC20729FC3E}">
      <formula1>InputMaterialsData</formula1>
    </dataValidation>
    <dataValidation type="list" showInputMessage="1" showErrorMessage="1" sqref="E68" xr:uid="{AC65EB17-2C01-4DDC-ADA8-3B2C000F8F9E}">
      <formula1>AllData</formula1>
    </dataValidation>
    <dataValidation type="list" showInputMessage="1" showErrorMessage="1" sqref="E69" xr:uid="{4C780903-4080-4C70-AC12-2DEC300CB273}">
      <formula1>EnergySupplyData</formula1>
    </dataValidation>
    <dataValidation type="list" showInputMessage="1" showErrorMessage="1" sqref="E17" xr:uid="{33FA7D55-8B13-422C-B211-75F3DCC17008}">
      <formula1>Project_location</formula1>
    </dataValidation>
  </dataValidations>
  <hyperlinks>
    <hyperlink ref="E76" location="System_Boundary!A1" display="System boundary worksheet" xr:uid="{951D0C8C-4D2E-44AC-B16E-4D660FC269D7}"/>
    <hyperlink ref="E77" location="Electrolysis!A1" display="Electrolysis worksheet" xr:uid="{9C576F14-7A92-42D3-97E2-74780F5165C4}"/>
    <hyperlink ref="E78" location="GHG_ELECTROLYSIS!A1" display="Electrolysis summary GHG worksheet" xr:uid="{7FFA7A85-52EB-4AC5-9572-9DF47A847CCD}"/>
    <hyperlink ref="E79" location="Dashboard!A1" display="Dashboard worksheet" xr:uid="{D969DFEB-9AB3-4B6C-94EA-473DE480CE10}"/>
  </hyperlinks>
  <pageMargins left="0" right="0" top="0" bottom="0" header="0" footer="0"/>
  <pageSetup paperSize="9" orientation="portrait" horizontalDpi="90" verticalDpi="90" r:id="rId1"/>
  <headerFooter>
    <oddHeader>&amp;C&amp;"Aptos"&amp;10&amp;K000000 OFFICIAL&amp;1#_x000D_</oddHeader>
    <oddFooter>&amp;C_x000D_&amp;1#&amp;"Aptos"&amp;10&amp;K000000 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theme="1"/>
  </sheetPr>
  <dimension ref="A1:C11"/>
  <sheetViews>
    <sheetView showGridLines="0" zoomScaleNormal="100" workbookViewId="0"/>
  </sheetViews>
  <sheetFormatPr defaultColWidth="9.140625" defaultRowHeight="14.45"/>
  <cols>
    <col min="1" max="1" width="9.140625" style="2" customWidth="1"/>
    <col min="2" max="2" width="64.85546875" style="2" customWidth="1"/>
    <col min="3" max="3" width="39.5703125" style="2" customWidth="1"/>
    <col min="4" max="16384" width="9.140625" style="2"/>
  </cols>
  <sheetData>
    <row r="1" spans="1:3">
      <c r="A1" s="228"/>
      <c r="B1" s="228"/>
      <c r="C1" s="228"/>
    </row>
    <row r="2" spans="1:3" ht="28.5">
      <c r="A2" s="228"/>
      <c r="B2" s="146" t="s">
        <v>154</v>
      </c>
      <c r="C2" s="228"/>
    </row>
    <row r="3" spans="1:3">
      <c r="A3" s="228"/>
      <c r="B3" s="147"/>
      <c r="C3" s="228"/>
    </row>
    <row r="4" spans="1:3">
      <c r="A4" s="228"/>
      <c r="B4" s="470" t="s">
        <v>155</v>
      </c>
    </row>
    <row r="5" spans="1:3">
      <c r="A5" s="228"/>
      <c r="B5" s="470" t="s">
        <v>156</v>
      </c>
    </row>
    <row r="6" spans="1:3">
      <c r="A6" s="228"/>
      <c r="B6" s="497" t="str" cm="1">
        <f t="array" aca="1" ref="B6" ca="1">HYPERLINK(CELL("address",Initial_questions!B75), "After providing the schematic, please click here to return to the Initial questions worksheet for further instructions")</f>
        <v>After providing the schematic, please click here to return to the Initial questions worksheet for further instructions</v>
      </c>
      <c r="C6" s="498"/>
    </row>
    <row r="7" spans="1:3">
      <c r="B7" s="287" t="s">
        <v>157</v>
      </c>
    </row>
    <row r="8" spans="1:3">
      <c r="B8" s="286"/>
    </row>
    <row r="9" spans="1:3">
      <c r="B9" s="286"/>
    </row>
    <row r="10" spans="1:3">
      <c r="B10" s="229" t="s">
        <v>158</v>
      </c>
    </row>
    <row r="11" spans="1:3">
      <c r="B11" s="229"/>
    </row>
  </sheetData>
  <mergeCells count="1">
    <mergeCell ref="B6:C6"/>
  </mergeCells>
  <pageMargins left="0" right="0" top="0" bottom="0" header="0" footer="0"/>
  <pageSetup paperSize="9" orientation="portrait" verticalDpi="0" r:id="rId1"/>
  <headerFooter>
    <oddHeader>&amp;C&amp;"Aptos"&amp;10&amp;K000000 OFFICIAL&amp;1#_x000D_</oddHeader>
    <oddFooter>&amp;C_x000D_&amp;1#&amp;"Aptos"&amp;10&amp;K000000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CDD0A-93B2-41A2-8F26-2C5C7229063B}">
  <sheetPr codeName="Sheet4">
    <tabColor theme="1"/>
  </sheetPr>
  <dimension ref="A1:H36"/>
  <sheetViews>
    <sheetView showGridLines="0" zoomScaleNormal="100" workbookViewId="0"/>
  </sheetViews>
  <sheetFormatPr defaultColWidth="8.85546875" defaultRowHeight="14.45"/>
  <cols>
    <col min="1" max="1" width="5.140625" customWidth="1"/>
    <col min="2" max="2" width="93.5703125" customWidth="1"/>
    <col min="3" max="3" width="43.5703125" customWidth="1"/>
    <col min="4" max="4" width="23.42578125" customWidth="1"/>
    <col min="5" max="5" width="35.140625" customWidth="1"/>
  </cols>
  <sheetData>
    <row r="1" spans="1:8">
      <c r="A1" s="145"/>
      <c r="B1" s="145"/>
      <c r="C1" s="145"/>
      <c r="D1" s="145"/>
      <c r="E1" s="145"/>
      <c r="F1" s="145"/>
      <c r="G1" s="145"/>
      <c r="H1" s="145"/>
    </row>
    <row r="2" spans="1:8" ht="28.5">
      <c r="A2" s="145"/>
      <c r="B2" s="146" t="s">
        <v>159</v>
      </c>
      <c r="C2" s="145"/>
      <c r="D2" s="145"/>
      <c r="E2" s="145"/>
      <c r="F2" s="145"/>
      <c r="G2" s="145"/>
      <c r="H2" s="145"/>
    </row>
    <row r="3" spans="1:8">
      <c r="A3" s="145"/>
      <c r="B3" s="145"/>
      <c r="C3" s="145"/>
      <c r="D3" s="145"/>
      <c r="E3" s="145"/>
      <c r="F3" s="145"/>
      <c r="G3" s="145"/>
      <c r="H3" s="145"/>
    </row>
    <row r="4" spans="1:8">
      <c r="A4" s="145"/>
      <c r="B4" s="145" t="s">
        <v>160</v>
      </c>
      <c r="C4" s="341" t="str">
        <f>IF(D4="","Yes","No")</f>
        <v>No</v>
      </c>
      <c r="D4" s="285" t="str" cm="1">
        <f t="array" ref="D4">IF(
AND(Initial_questions!$E$62&lt;&gt;"Not applicable", Initial_questions!$E$64&lt;Initial_questions!$E$36), "GHG intensity of electricity used for theoretical compression/purification cannot be lower than input electricity mix",
IF(COUNTIF(Initial_questions!C14:D18,"*Not applicable*")&lt;COUNTBLANK(Initial_questions!E14:E18),"Please answer all relevant questions in the Project details section of the Initial questions worksheet",
IF(COUNTIF(Initial_questions!C21:D23,"*Not applicable*")&lt;COUNTBLANK(Initial_questions!E21:E23),"Please answer all relevant questions in the Technology section of the Initial questions worksheet",
IF(COUNTIF(Initial_questions!C27:D41,"*Not applicable*")&lt;COUNTBLANK(Initial_questions!E27:E41),"Please answer all relevant questions in the Electricity inputs section of the Inital questions worksheet",
IF(COUNTIF(Initial_questions!C43:D52,"*Not applicable*")&lt;COUNTBLANK(Initial_questions!E43:E52),"Please answer all relevant questions in the Electricity inputs section of the Inital questions worksheet",
IF(COUNTIF(Initial_questions!C68:D72,"*Not applicable*")&lt;COUNTBLANK(Initial_questions!E68:E72),"Please answer all relevant questions in the Data sources section of the Initial questions worksheet",
IF(OR(ISBLANK(Initial_questions!E68:E70)=TRUE),"Please answer all relevant questions in the Data sources section of the Initial questions worksheet",
IF(OR(Initial_questions!E68:E70=0),"Please answer all relevant questions in the Data sources section of the Initial questions worksheet",""))))))))</f>
        <v>Please answer all relevant questions in the Project details section of the Initial questions worksheet</v>
      </c>
      <c r="E4" s="145"/>
      <c r="F4" s="145"/>
      <c r="G4" s="145"/>
      <c r="H4" s="145"/>
    </row>
    <row r="5" spans="1:8">
      <c r="A5" s="145"/>
      <c r="B5" s="145" t="s">
        <v>161</v>
      </c>
      <c r="C5" s="397" t="str">
        <f>IF(Pathway="", "No pathway selected", Pathway)</f>
        <v>No pathway selected</v>
      </c>
      <c r="D5" s="145"/>
      <c r="E5" s="145"/>
      <c r="F5" s="145"/>
      <c r="G5" s="145"/>
      <c r="H5" s="145"/>
    </row>
    <row r="6" spans="1:8">
      <c r="A6" s="145"/>
      <c r="B6" s="145" t="s">
        <v>162</v>
      </c>
      <c r="C6" s="341" t="str">
        <f>IF(AND(OR(Initial_questions!E$17=Units!$Y$84,Initial_questions!E$17=Units!$Y$85), Initial_questions!E$22="Yes"), "Yes", "No")</f>
        <v>No</v>
      </c>
      <c r="D6" s="145"/>
      <c r="E6" s="145"/>
      <c r="F6" s="145"/>
      <c r="G6" s="145"/>
      <c r="H6" s="145"/>
    </row>
    <row r="7" spans="1:8" ht="16.5">
      <c r="A7" s="145"/>
      <c r="B7" s="145" t="s">
        <v>163</v>
      </c>
      <c r="C7" s="342" t="str">
        <f>E24</f>
        <v>No pathway selected</v>
      </c>
      <c r="D7" s="251" t="s">
        <v>164</v>
      </c>
      <c r="E7" s="145"/>
      <c r="F7" s="145"/>
      <c r="G7" s="145"/>
      <c r="H7" s="145"/>
    </row>
    <row r="8" spans="1:8">
      <c r="A8" s="145"/>
      <c r="B8" s="145" t="s">
        <v>165</v>
      </c>
      <c r="C8" s="439" t="str">
        <f>Initial_questions!E40</f>
        <v>Please fill in the breakdown of electricity sources</v>
      </c>
      <c r="D8" s="145"/>
      <c r="E8" s="145"/>
      <c r="F8" s="145"/>
      <c r="G8" s="145"/>
      <c r="H8" s="145"/>
    </row>
    <row r="9" spans="1:8">
      <c r="A9" s="145"/>
      <c r="B9" s="145" t="s">
        <v>166</v>
      </c>
      <c r="C9" s="438" t="str">
        <f>IFERROR(SUM(Initial_questions!E27*100%+Initial_questions!E28*0%+Initial_questions!E29*Initial_questions!E37+Initial_questions!E30*Initial_questions!E38+Initial_questions!E31*Initial_questions!E39),"Please fill in electricity inputs")</f>
        <v>Please fill in electricity inputs</v>
      </c>
      <c r="D9" s="145" t="s">
        <v>167</v>
      </c>
      <c r="E9" s="145"/>
      <c r="F9" s="145"/>
      <c r="G9" s="145"/>
      <c r="H9" s="145"/>
    </row>
    <row r="10" spans="1:8">
      <c r="A10" s="145"/>
      <c r="B10" s="145" t="s">
        <v>168</v>
      </c>
      <c r="C10" s="341" t="str">
        <f>IF(ISBLANK(Initial_questions!E65), "No",Initial_questions!E65)</f>
        <v>No</v>
      </c>
      <c r="D10" s="145"/>
      <c r="E10" s="145"/>
      <c r="F10" s="145"/>
      <c r="G10" s="145"/>
      <c r="H10" s="145"/>
    </row>
    <row r="11" spans="1:8">
      <c r="A11" s="145"/>
      <c r="B11" s="145"/>
      <c r="C11" s="145"/>
      <c r="D11" s="145"/>
      <c r="E11" s="145"/>
      <c r="F11" s="145"/>
      <c r="G11" s="145"/>
      <c r="H11" s="145"/>
    </row>
    <row r="12" spans="1:8">
      <c r="A12" s="145"/>
      <c r="B12" s="145" t="s">
        <v>169</v>
      </c>
      <c r="C12" s="343" t="str">
        <f>IF(AND($C$5&lt;&gt;"No pathway selected",$C$7&lt;20,$C$10="Yes", $C$6="Yes", $C$4="Yes"),"Yes","No")</f>
        <v>No</v>
      </c>
      <c r="D12" s="145"/>
      <c r="E12" s="145"/>
      <c r="F12" s="145"/>
      <c r="G12" s="145"/>
      <c r="H12" s="145"/>
    </row>
    <row r="13" spans="1:8">
      <c r="A13" s="145"/>
      <c r="B13" s="145"/>
      <c r="C13" s="145"/>
      <c r="D13" s="145"/>
      <c r="E13" s="145"/>
      <c r="F13" s="145"/>
      <c r="G13" s="145"/>
      <c r="H13" s="145"/>
    </row>
    <row r="14" spans="1:8">
      <c r="A14" s="145"/>
      <c r="B14" s="145"/>
      <c r="C14" s="145"/>
      <c r="D14" s="145"/>
      <c r="E14" s="145"/>
      <c r="F14" s="145"/>
      <c r="G14" s="145"/>
      <c r="H14" s="145"/>
    </row>
    <row r="15" spans="1:8">
      <c r="A15" s="145"/>
      <c r="C15" s="145"/>
      <c r="D15" s="145"/>
      <c r="E15" s="145"/>
      <c r="F15" s="145"/>
      <c r="G15" s="145"/>
      <c r="H15" s="145"/>
    </row>
    <row r="16" spans="1:8" ht="28.5">
      <c r="A16" s="145"/>
      <c r="B16" s="146" t="s">
        <v>170</v>
      </c>
      <c r="C16" s="145"/>
      <c r="D16" s="145"/>
      <c r="E16" s="145"/>
      <c r="F16" s="145"/>
      <c r="G16" s="145"/>
      <c r="H16" s="145"/>
    </row>
    <row r="17" spans="1:8" ht="30.95">
      <c r="A17" s="145"/>
      <c r="B17" s="249" t="s">
        <v>171</v>
      </c>
      <c r="C17" s="25" t="s">
        <v>172</v>
      </c>
      <c r="D17" s="254" t="s">
        <v>173</v>
      </c>
      <c r="E17" s="255" t="s">
        <v>174</v>
      </c>
      <c r="F17" s="145"/>
      <c r="G17" s="145"/>
      <c r="H17" s="145"/>
    </row>
    <row r="18" spans="1:8">
      <c r="A18" s="145"/>
      <c r="B18" s="250" t="str">
        <f>IF(Pathway=Units!$B$84,"Hydrogen from Wind/solar electricity",
IF(Pathway=Units!$B$85,"Hydrogen from Nuclear electricity",
IF(Pathway=Units!$B$86,"Hydrogen from Grid electricity",
IF(Pathway=Units!$B$87,"Hydrogen from Stored electricity",
IF(Pathway=Units!$B$88,"Hydrogen from Other electricity source - please specify",
IF(Pathway=Units!$B$89,"Hydrogen from Wind/solar electricity", "No pathway selected"))))))</f>
        <v>No pathway selected</v>
      </c>
      <c r="C18" s="253" t="s">
        <v>175</v>
      </c>
      <c r="D18" s="252">
        <f>IF(Pathway=Units!$B$89, IFERROR(Initial_questions!E27/SUM(Initial_questions!$E$27:$E$31), "Yet to complete"), 100%)</f>
        <v>1</v>
      </c>
      <c r="E18" s="452" t="str">
        <f>IF(Pathway=Units!B84,GHG_ELECTROLYSIS!M15,
IF(Pathway=Units!B85,GHG_ELECTROLYSIS!M32,
IF(Pathway=Units!B86,GHG_ELECTROLYSIS!M49,
IF(Pathway=Units!B87,GHG_ELECTROLYSIS!M66,
IF(Pathway=Units!B88,GHG_ELECTROLYSIS!M83,
IF(AND(Pathway=Units!B89,D18&gt;0%),GHG_ELECTROLYSIS!M15,
IF(AND(Pathway=Units!B89,D18=0%),"Input electricity source not chosen","No pathway selected")))))))</f>
        <v>No pathway selected</v>
      </c>
      <c r="F18" s="145"/>
      <c r="G18" s="145"/>
      <c r="H18" s="145"/>
    </row>
    <row r="19" spans="1:8">
      <c r="A19" s="145"/>
      <c r="B19" s="250" t="str">
        <f>IF(Pathway=Units!$B$89,"Hydrogen from Nuclear electricity", "Enter consignment 2 (if required)")</f>
        <v>Enter consignment 2 (if required)</v>
      </c>
      <c r="C19" s="253" t="str">
        <f>IF(Pathway=Units!$B$89,Units!$W$84,Units!$W$86)</f>
        <v>Not required</v>
      </c>
      <c r="D19" s="252">
        <f>IF(Pathway=Units!$B$89, IFERROR(Initial_questions!E28/SUM(Initial_questions!$E$27:$E$31), "Yet to complete"), 0%)</f>
        <v>0</v>
      </c>
      <c r="E19" s="293" t="str">
        <f>IF(AND(Pathway=Units!B89,D19&gt;0%),GHG_ELECTROLYSIS!M32, IF(C19=Units!$W$85, "Enter result from other workbook", "Input electricity source not chosen"))</f>
        <v>Input electricity source not chosen</v>
      </c>
      <c r="F19" s="145"/>
      <c r="G19" s="145"/>
      <c r="H19" s="145"/>
    </row>
    <row r="20" spans="1:8">
      <c r="A20" s="145"/>
      <c r="B20" s="250" t="str">
        <f>IF(Pathway=Units!$B$89,"Hydrogen from Grid electricity",  "Enter consignment 3 (if required)")</f>
        <v>Enter consignment 3 (if required)</v>
      </c>
      <c r="C20" s="253" t="str">
        <f>IF(Pathway=Units!$B$89,Units!$W$84,Units!$W$86)</f>
        <v>Not required</v>
      </c>
      <c r="D20" s="252">
        <f>IF(Pathway=Units!$B$89, IFERROR(Initial_questions!E29/SUM(Initial_questions!$E$27:$E$31), "Yet to complete"), 0%)</f>
        <v>0</v>
      </c>
      <c r="E20" s="293" t="str">
        <f>IF(AND(Pathway=Units!B89,D20&gt;0%),GHG_ELECTROLYSIS!M49, IF(C20=Units!$W$85, "Enter result from other workbook", "Input electricity source not chosen"))</f>
        <v>Input electricity source not chosen</v>
      </c>
      <c r="F20" s="145"/>
      <c r="G20" s="145"/>
      <c r="H20" s="145"/>
    </row>
    <row r="21" spans="1:8">
      <c r="A21" s="145"/>
      <c r="B21" s="250" t="str">
        <f>IF(Pathway=Units!$B$89,"Hydrogen from Stored electricity source - please specify",  "Enter consignment 4 (if required)")</f>
        <v>Enter consignment 4 (if required)</v>
      </c>
      <c r="C21" s="253" t="str">
        <f>IF(Pathway=Units!$B$89,Units!$W$84,Units!$W$86)</f>
        <v>Not required</v>
      </c>
      <c r="D21" s="252">
        <f>IF(Pathway=Units!$B$89, IFERROR(Initial_questions!E30/SUM(Initial_questions!$E$27:$E$31), "Yet to complete"), 0%)</f>
        <v>0</v>
      </c>
      <c r="E21" s="293" t="str">
        <f>IF(AND(Pathway=Units!B89,D21&gt;0%),GHG_ELECTROLYSIS!M66, IF(C21=Units!$W$85, "Enter result from other workbook", "Input electricity source not chosen"))</f>
        <v>Input electricity source not chosen</v>
      </c>
      <c r="F21" s="145"/>
      <c r="G21" s="145"/>
      <c r="H21" s="145"/>
    </row>
    <row r="22" spans="1:8">
      <c r="A22" s="145"/>
      <c r="B22" s="250" t="str">
        <f>IF(Pathway=Units!$B$89,"Hydrogen from Other electricity source - please specify",  "Enter consignment 5 (if required)")</f>
        <v>Enter consignment 5 (if required)</v>
      </c>
      <c r="C22" s="253" t="str">
        <f>IF(Pathway=Units!$B$89,Units!$W$84,Units!$W$86)</f>
        <v>Not required</v>
      </c>
      <c r="D22" s="252">
        <f>IF(Pathway=Units!$B$89, IFERROR(Initial_questions!E31/SUM(Initial_questions!$E$27:$E$31), "Yet to complete"), 0%)</f>
        <v>0</v>
      </c>
      <c r="E22" s="293" t="str">
        <f>IF(AND(Pathway=Units!B89,D22&gt;0%),GHG_ELECTROLYSIS!M83, IF(C22=Units!$W$85, "Enter result from other workbook", "Input electricity source not chosen"))</f>
        <v>Input electricity source not chosen</v>
      </c>
      <c r="F22" s="145"/>
      <c r="G22" s="145"/>
      <c r="H22" s="145"/>
    </row>
    <row r="23" spans="1:8">
      <c r="B23" s="250" t="s">
        <v>176</v>
      </c>
      <c r="C23" s="253" t="s">
        <v>177</v>
      </c>
      <c r="D23" s="252"/>
      <c r="E23" s="293"/>
      <c r="G23" s="145"/>
      <c r="H23" s="145"/>
    </row>
    <row r="24" spans="1:8">
      <c r="A24" s="145"/>
      <c r="B24" s="249" t="s">
        <v>178</v>
      </c>
      <c r="C24" s="271"/>
      <c r="D24" s="272"/>
      <c r="E24" s="333" t="str">
        <f>IF(ISBLANK(Pathway),"No pathway selected",IF(SUM(D18:D23)&lt;&gt;100%, "% sum is not 100%", SUMPRODUCT(D18:D23,E18:E23)))</f>
        <v>No pathway selected</v>
      </c>
      <c r="F24" s="145"/>
      <c r="G24" s="145"/>
      <c r="H24" s="145"/>
    </row>
    <row r="25" spans="1:8">
      <c r="A25" s="145"/>
      <c r="B25" s="145"/>
      <c r="C25" s="145"/>
      <c r="D25" s="145"/>
      <c r="E25" s="145"/>
      <c r="F25" s="145"/>
      <c r="G25" s="145"/>
      <c r="H25" s="145"/>
    </row>
    <row r="26" spans="1:8">
      <c r="A26" s="145"/>
      <c r="B26" s="145"/>
      <c r="C26" s="145"/>
      <c r="D26" s="145"/>
      <c r="E26" s="145"/>
      <c r="F26" s="145"/>
      <c r="G26" s="145"/>
      <c r="H26" s="145"/>
    </row>
    <row r="27" spans="1:8">
      <c r="A27" s="145"/>
      <c r="B27" s="145"/>
      <c r="C27" s="145"/>
      <c r="D27" s="145"/>
      <c r="E27" s="145"/>
      <c r="F27" s="145"/>
      <c r="G27" s="145"/>
      <c r="H27" s="145"/>
    </row>
    <row r="28" spans="1:8">
      <c r="A28" s="145"/>
      <c r="B28" s="145"/>
      <c r="C28" s="145"/>
      <c r="D28" s="145"/>
      <c r="E28" s="145"/>
      <c r="F28" s="145"/>
      <c r="G28" s="145"/>
      <c r="H28" s="145"/>
    </row>
    <row r="29" spans="1:8">
      <c r="A29" s="145"/>
      <c r="B29" s="145"/>
      <c r="C29" s="145"/>
      <c r="D29" s="145"/>
      <c r="E29" s="145"/>
      <c r="F29" s="145"/>
      <c r="G29" s="145"/>
      <c r="H29" s="145"/>
    </row>
    <row r="30" spans="1:8">
      <c r="A30" s="145"/>
      <c r="B30" s="145"/>
      <c r="C30" s="145"/>
      <c r="D30" s="145"/>
      <c r="E30" s="145"/>
      <c r="F30" s="145"/>
      <c r="G30" s="145"/>
      <c r="H30" s="145"/>
    </row>
    <row r="31" spans="1:8">
      <c r="A31" s="145"/>
      <c r="B31" s="145"/>
      <c r="C31" s="145"/>
      <c r="D31" s="145"/>
      <c r="E31" s="145"/>
      <c r="F31" s="145"/>
      <c r="G31" s="145"/>
      <c r="H31" s="145"/>
    </row>
    <row r="32" spans="1:8">
      <c r="A32" s="145"/>
      <c r="B32" s="145"/>
      <c r="C32" s="145"/>
      <c r="D32" s="145"/>
      <c r="E32" s="145"/>
      <c r="F32" s="145"/>
      <c r="G32" s="145"/>
      <c r="H32" s="145"/>
    </row>
    <row r="33" spans="1:8">
      <c r="A33" s="145"/>
      <c r="B33" s="145"/>
      <c r="C33" s="145"/>
      <c r="D33" s="145"/>
      <c r="E33" s="145"/>
      <c r="F33" s="145"/>
      <c r="G33" s="145"/>
      <c r="H33" s="145"/>
    </row>
    <row r="34" spans="1:8">
      <c r="A34" s="145"/>
      <c r="B34" s="145"/>
      <c r="C34" s="145"/>
      <c r="D34" s="145"/>
      <c r="E34" s="145"/>
      <c r="F34" s="145"/>
      <c r="G34" s="145"/>
      <c r="H34" s="145"/>
    </row>
    <row r="35" spans="1:8">
      <c r="A35" s="145"/>
      <c r="B35" s="145"/>
      <c r="C35" s="145"/>
      <c r="D35" s="145"/>
      <c r="E35" s="145"/>
      <c r="F35" s="145"/>
      <c r="G35" s="145"/>
      <c r="H35" s="145"/>
    </row>
    <row r="36" spans="1:8">
      <c r="A36" s="145"/>
      <c r="B36" s="145"/>
      <c r="C36" s="145"/>
      <c r="D36" s="145"/>
      <c r="E36" s="145"/>
      <c r="F36" s="145"/>
      <c r="G36" s="145"/>
      <c r="H36" s="145"/>
    </row>
  </sheetData>
  <phoneticPr fontId="86" type="noConversion"/>
  <dataValidations count="4">
    <dataValidation type="list" allowBlank="1" showInputMessage="1" showErrorMessage="1" sqref="C18:C23" xr:uid="{2460ED2E-F8A5-4555-AC0F-D7E5B2793D29}">
      <formula1>Data_location</formula1>
    </dataValidation>
    <dataValidation type="custom" allowBlank="1" showInputMessage="1" showErrorMessage="1" error="Please do not change" sqref="C12 B4:B6 C11 B8 B10:B12" xr:uid="{22F2D300-634E-4708-BA92-0D92B4605FF2}">
      <formula1>"Please do not change"</formula1>
    </dataValidation>
    <dataValidation type="custom" allowBlank="1" showInputMessage="1" showErrorMessage="1" error="Please do not change this formula" prompt="Please do not change this formula" sqref="C10 C8:C9 C7 C4 C5:C6" xr:uid="{41098B2A-E04B-4980-978D-9986F4EB26FC}">
      <formula1>"Please do not change this formula"</formula1>
    </dataValidation>
    <dataValidation type="custom" allowBlank="1" showInputMessage="1" showErrorMessage="1" error="Please do not change" prompt="Please do not change" sqref="D7" xr:uid="{48B26D5E-0C6E-4339-A8A5-F40EF69C8D17}">
      <formula1>"Please do not change"</formula1>
    </dataValidation>
  </dataValidations>
  <pageMargins left="0" right="0" top="0" bottom="0" header="0" footer="0"/>
  <pageSetup paperSize="9" orientation="portrait" horizontalDpi="90" verticalDpi="90" r:id="rId1"/>
  <headerFooter>
    <oddHeader>&amp;C&amp;"Aptos"&amp;10&amp;K000000 OFFICIAL&amp;1#_x000D_</oddHeader>
    <oddFooter>&amp;C_x000D_&amp;1#&amp;"Aptos"&amp;10&amp;K000000 OFFICIAL</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rgb="FFC7E8FA"/>
  </sheetPr>
  <dimension ref="B2:Y117"/>
  <sheetViews>
    <sheetView showGridLines="0" topLeftCell="A77" zoomScaleNormal="100" workbookViewId="0"/>
  </sheetViews>
  <sheetFormatPr defaultColWidth="7.140625" defaultRowHeight="14.45"/>
  <cols>
    <col min="1" max="1" width="7.140625" style="4"/>
    <col min="2" max="2" width="39.140625" style="4" customWidth="1"/>
    <col min="3" max="3" width="23.85546875" style="4" customWidth="1"/>
    <col min="4" max="4" width="16.5703125" style="4" customWidth="1"/>
    <col min="5" max="5" width="17.85546875" style="4" customWidth="1"/>
    <col min="6" max="8" width="14" style="4" customWidth="1"/>
    <col min="9" max="9" width="16.85546875" style="4" customWidth="1"/>
    <col min="10" max="10" width="19.85546875" style="4" customWidth="1"/>
    <col min="11" max="12" width="18.140625" style="4" customWidth="1"/>
    <col min="13" max="13" width="23.5703125" style="4" customWidth="1"/>
    <col min="14" max="14" width="19" style="4" customWidth="1"/>
    <col min="15" max="15" width="25" style="4" customWidth="1"/>
    <col min="16" max="17" width="18.140625" style="4" customWidth="1"/>
    <col min="18" max="18" width="16.5703125" style="4" customWidth="1"/>
    <col min="19" max="19" width="8.85546875" style="4" customWidth="1"/>
    <col min="20" max="20" width="7.140625" style="4"/>
    <col min="21" max="21" width="12.85546875" style="4" customWidth="1"/>
    <col min="22" max="22" width="7.140625" style="4"/>
    <col min="23" max="23" width="16.140625" style="4" customWidth="1"/>
    <col min="24" max="24" width="16.42578125" style="4" customWidth="1"/>
    <col min="25" max="25" width="12.7109375" style="4" customWidth="1"/>
    <col min="26" max="26" width="14.140625" style="4" customWidth="1"/>
    <col min="27" max="16384" width="7.140625" style="4"/>
  </cols>
  <sheetData>
    <row r="2" spans="2:9" ht="18.600000000000001">
      <c r="B2" s="295" t="s">
        <v>179</v>
      </c>
      <c r="C2" s="296"/>
      <c r="D2" s="296"/>
      <c r="E2" s="296"/>
      <c r="F2" s="296"/>
      <c r="G2" s="297"/>
      <c r="H2" s="296"/>
      <c r="I2" s="296"/>
    </row>
    <row r="3" spans="2:9" ht="15" thickBot="1">
      <c r="B3" s="5" t="s">
        <v>180</v>
      </c>
      <c r="C3" s="298" t="s">
        <v>181</v>
      </c>
      <c r="D3" s="298" t="s">
        <v>182</v>
      </c>
      <c r="E3" s="298" t="s">
        <v>183</v>
      </c>
      <c r="F3" s="298" t="s">
        <v>184</v>
      </c>
      <c r="G3" s="298" t="s">
        <v>185</v>
      </c>
      <c r="H3" s="299"/>
      <c r="I3" s="299"/>
    </row>
    <row r="4" spans="2:9" ht="15" thickTop="1">
      <c r="B4" s="300" t="s">
        <v>186</v>
      </c>
      <c r="C4" s="301"/>
      <c r="D4" s="301">
        <v>238.8</v>
      </c>
      <c r="E4" s="301">
        <f>2.388*10^-5</f>
        <v>2.3880000000000002E-5</v>
      </c>
      <c r="F4" s="301">
        <v>947.8</v>
      </c>
      <c r="G4" s="301">
        <v>0.27779999999999999</v>
      </c>
      <c r="H4" s="299"/>
      <c r="I4" s="302"/>
    </row>
    <row r="5" spans="2:9">
      <c r="B5" s="300" t="s">
        <v>187</v>
      </c>
      <c r="C5" s="303">
        <f>4.1868*10^-3</f>
        <v>4.1868000000000001E-3</v>
      </c>
      <c r="D5" s="301"/>
      <c r="E5" s="301">
        <f>10^-7</f>
        <v>9.9999999999999995E-8</v>
      </c>
      <c r="F5" s="301">
        <v>3.968</v>
      </c>
      <c r="G5" s="301">
        <f>1.163*10^-3</f>
        <v>1.163E-3</v>
      </c>
      <c r="H5" s="299"/>
      <c r="I5" s="304"/>
    </row>
    <row r="6" spans="2:9">
      <c r="B6" s="300" t="s">
        <v>188</v>
      </c>
      <c r="C6" s="305">
        <f>4.1868*10^4</f>
        <v>41868</v>
      </c>
      <c r="D6" s="305">
        <f>10^7</f>
        <v>10000000</v>
      </c>
      <c r="E6" s="301"/>
      <c r="F6" s="305">
        <f>3.968*10^7</f>
        <v>39680000</v>
      </c>
      <c r="G6" s="305">
        <v>11630</v>
      </c>
      <c r="H6" s="299"/>
      <c r="I6" s="306"/>
    </row>
    <row r="7" spans="2:9">
      <c r="B7" s="300" t="s">
        <v>189</v>
      </c>
      <c r="C7" s="303">
        <f>1.0551*10^-3</f>
        <v>1.0551E-3</v>
      </c>
      <c r="D7" s="301">
        <v>0.252</v>
      </c>
      <c r="E7" s="301">
        <f>2.52*10^-8</f>
        <v>2.5200000000000001E-8</v>
      </c>
      <c r="F7" s="301"/>
      <c r="G7" s="303">
        <f>1/F8</f>
        <v>2.9307107044088316E-4</v>
      </c>
      <c r="H7" s="299"/>
      <c r="I7" s="299"/>
    </row>
    <row r="8" spans="2:9">
      <c r="B8" s="300" t="s">
        <v>190</v>
      </c>
      <c r="C8" s="301">
        <v>3.6</v>
      </c>
      <c r="D8" s="301">
        <v>860</v>
      </c>
      <c r="E8" s="301">
        <f>8.6*10^-5</f>
        <v>8.6000000000000003E-5</v>
      </c>
      <c r="F8" s="305">
        <v>3412.1416300000001</v>
      </c>
      <c r="G8" s="307"/>
      <c r="H8" s="299"/>
      <c r="I8" s="308"/>
    </row>
    <row r="9" spans="2:9">
      <c r="B9" s="299"/>
      <c r="C9" s="309"/>
      <c r="D9" s="309"/>
      <c r="E9" s="309"/>
      <c r="F9" s="309"/>
      <c r="G9" s="310"/>
      <c r="H9" s="299"/>
      <c r="I9" s="299"/>
    </row>
    <row r="10" spans="2:9" ht="15.6">
      <c r="B10" s="311"/>
      <c r="C10" s="312"/>
      <c r="D10" s="312"/>
      <c r="E10" s="312"/>
      <c r="F10" s="312"/>
      <c r="G10" s="313"/>
      <c r="H10" s="311"/>
      <c r="I10" s="296"/>
    </row>
    <row r="11" spans="2:9" ht="18.600000000000001">
      <c r="B11" s="295" t="s">
        <v>191</v>
      </c>
      <c r="C11" s="312"/>
      <c r="D11" s="312"/>
      <c r="E11" s="312"/>
      <c r="F11" s="312"/>
      <c r="G11" s="313"/>
      <c r="H11" s="311"/>
      <c r="I11" s="296"/>
    </row>
    <row r="12" spans="2:9" ht="15" thickBot="1">
      <c r="B12" s="5" t="s">
        <v>180</v>
      </c>
      <c r="C12" s="298" t="s">
        <v>192</v>
      </c>
      <c r="D12" s="298" t="s">
        <v>193</v>
      </c>
      <c r="E12" s="298" t="s">
        <v>194</v>
      </c>
      <c r="F12" s="298" t="s">
        <v>195</v>
      </c>
      <c r="G12" s="298" t="s">
        <v>196</v>
      </c>
      <c r="H12" s="298" t="s">
        <v>197</v>
      </c>
      <c r="I12" s="299"/>
    </row>
    <row r="13" spans="2:9" ht="15" thickTop="1">
      <c r="B13" s="300" t="s">
        <v>198</v>
      </c>
      <c r="C13" s="301"/>
      <c r="D13" s="301">
        <v>1E-3</v>
      </c>
      <c r="E13" s="314">
        <f>9.84207*10^-4</f>
        <v>9.8420699999999996E-4</v>
      </c>
      <c r="F13" s="315">
        <f>1.10231*10^-3</f>
        <v>1.10231E-3</v>
      </c>
      <c r="G13" s="316">
        <v>2.2046199999999998</v>
      </c>
      <c r="H13" s="317">
        <f>G13*16</f>
        <v>35.273919999999997</v>
      </c>
      <c r="I13" s="299"/>
    </row>
    <row r="14" spans="2:9">
      <c r="B14" s="300" t="s">
        <v>199</v>
      </c>
      <c r="C14" s="301">
        <v>1000</v>
      </c>
      <c r="D14" s="301"/>
      <c r="E14" s="318">
        <v>0.98420700000000005</v>
      </c>
      <c r="F14" s="301">
        <v>1.1023099999999999</v>
      </c>
      <c r="G14" s="305">
        <v>2204.62</v>
      </c>
      <c r="H14" s="305">
        <f>G14*16</f>
        <v>35273.919999999998</v>
      </c>
      <c r="I14" s="299"/>
    </row>
    <row r="15" spans="2:9">
      <c r="B15" s="300" t="s">
        <v>200</v>
      </c>
      <c r="C15" s="305">
        <f>1/E13</f>
        <v>1016.0464211288886</v>
      </c>
      <c r="D15" s="319">
        <f>1/E14</f>
        <v>1.0160464211288884</v>
      </c>
      <c r="E15" s="301"/>
      <c r="F15" s="319">
        <v>1.1200000000000001</v>
      </c>
      <c r="G15" s="305">
        <v>2240</v>
      </c>
      <c r="H15" s="305">
        <f>G15*16</f>
        <v>35840</v>
      </c>
      <c r="I15" s="299"/>
    </row>
    <row r="16" spans="2:9">
      <c r="B16" s="300" t="s">
        <v>201</v>
      </c>
      <c r="C16" s="320">
        <f>1/F13</f>
        <v>907.18581887127937</v>
      </c>
      <c r="D16" s="318">
        <f>C16*D13</f>
        <v>0.90718581887127936</v>
      </c>
      <c r="E16" s="318">
        <f>C16*E13</f>
        <v>0.89285863323384518</v>
      </c>
      <c r="F16" s="301"/>
      <c r="G16" s="305">
        <v>2000</v>
      </c>
      <c r="H16" s="305">
        <f>G16*16</f>
        <v>32000</v>
      </c>
      <c r="I16" s="299"/>
    </row>
    <row r="17" spans="2:9">
      <c r="B17" s="300" t="s">
        <v>202</v>
      </c>
      <c r="C17" s="318">
        <f>1/G13</f>
        <v>0.45359290943563974</v>
      </c>
      <c r="D17" s="314">
        <f>1/G14</f>
        <v>4.535929094356397E-4</v>
      </c>
      <c r="E17" s="314">
        <f>1/G15</f>
        <v>4.4642857142857141E-4</v>
      </c>
      <c r="F17" s="301">
        <f>1/G16</f>
        <v>5.0000000000000001E-4</v>
      </c>
      <c r="G17" s="307"/>
      <c r="H17" s="301">
        <v>16</v>
      </c>
      <c r="I17" s="299"/>
    </row>
    <row r="18" spans="2:9">
      <c r="B18" s="300" t="s">
        <v>203</v>
      </c>
      <c r="C18" s="315">
        <f>C17/16</f>
        <v>2.8349556839727483E-2</v>
      </c>
      <c r="D18" s="321">
        <f>D17/16</f>
        <v>2.8349556839727481E-5</v>
      </c>
      <c r="E18" s="321">
        <f>E17/16</f>
        <v>2.7901785714285713E-5</v>
      </c>
      <c r="F18" s="321">
        <f>F17/16</f>
        <v>3.1250000000000001E-5</v>
      </c>
      <c r="G18" s="301">
        <f>1/16</f>
        <v>6.25E-2</v>
      </c>
      <c r="H18" s="301"/>
      <c r="I18" s="299"/>
    </row>
    <row r="19" spans="2:9">
      <c r="B19" s="299"/>
      <c r="C19" s="309"/>
      <c r="D19" s="309"/>
      <c r="E19" s="309"/>
      <c r="F19" s="309"/>
      <c r="G19" s="310"/>
      <c r="H19" s="299"/>
      <c r="I19" s="299"/>
    </row>
    <row r="20" spans="2:9" ht="15.6">
      <c r="B20" s="311"/>
      <c r="C20" s="312"/>
      <c r="D20" s="312"/>
      <c r="E20" s="312"/>
      <c r="F20" s="312"/>
      <c r="G20" s="313"/>
      <c r="H20" s="311"/>
      <c r="I20" s="296"/>
    </row>
    <row r="21" spans="2:9" ht="18.600000000000001">
      <c r="B21" s="295" t="s">
        <v>204</v>
      </c>
      <c r="C21" s="311"/>
      <c r="D21" s="311"/>
      <c r="E21" s="311"/>
      <c r="F21" s="311"/>
      <c r="G21" s="313"/>
      <c r="H21" s="311"/>
      <c r="I21" s="296"/>
    </row>
    <row r="22" spans="2:9" ht="15" thickBot="1">
      <c r="B22" s="5" t="s">
        <v>180</v>
      </c>
      <c r="C22" s="298" t="s">
        <v>205</v>
      </c>
      <c r="D22" s="298" t="s">
        <v>206</v>
      </c>
      <c r="E22" s="298" t="s">
        <v>207</v>
      </c>
      <c r="F22" s="298" t="s">
        <v>208</v>
      </c>
      <c r="G22" s="298" t="s">
        <v>209</v>
      </c>
      <c r="H22" s="298" t="s">
        <v>210</v>
      </c>
      <c r="I22" s="299"/>
    </row>
    <row r="23" spans="2:9" ht="15" thickTop="1">
      <c r="B23" s="300" t="s">
        <v>211</v>
      </c>
      <c r="C23" s="301"/>
      <c r="D23" s="318">
        <v>0.83267400000000003</v>
      </c>
      <c r="E23" s="315">
        <f>1/C25</f>
        <v>2.3809523809523808E-2</v>
      </c>
      <c r="F23" s="318">
        <v>0.13368099999999999</v>
      </c>
      <c r="G23" s="322">
        <v>3.7854100000000002</v>
      </c>
      <c r="H23" s="323">
        <v>3.7854100000000003E-3</v>
      </c>
      <c r="I23" s="324"/>
    </row>
    <row r="24" spans="2:9">
      <c r="B24" s="300" t="s">
        <v>212</v>
      </c>
      <c r="C24" s="318">
        <f>1/D23</f>
        <v>1.2009501917917456</v>
      </c>
      <c r="D24" s="301"/>
      <c r="E24" s="315">
        <f>1/D25</f>
        <v>2.8594052185517756E-2</v>
      </c>
      <c r="F24" s="318">
        <f>1/D26</f>
        <v>0.16054422258891232</v>
      </c>
      <c r="G24" s="318">
        <v>4.5460900000000004</v>
      </c>
      <c r="H24" s="315">
        <f>G24/1000</f>
        <v>4.54609E-3</v>
      </c>
      <c r="I24" s="324"/>
    </row>
    <row r="25" spans="2:9">
      <c r="B25" s="300" t="s">
        <v>213</v>
      </c>
      <c r="C25" s="325">
        <v>42</v>
      </c>
      <c r="D25" s="317">
        <f>C25*D23</f>
        <v>34.972307999999998</v>
      </c>
      <c r="E25" s="301"/>
      <c r="F25" s="319">
        <f>1/E26</f>
        <v>5.6146019999999996</v>
      </c>
      <c r="G25" s="326">
        <v>158.98722000000001</v>
      </c>
      <c r="H25" s="315">
        <f>G25/1000</f>
        <v>0.15898722000000001</v>
      </c>
      <c r="I25" s="324"/>
    </row>
    <row r="26" spans="2:9">
      <c r="B26" s="300" t="s">
        <v>214</v>
      </c>
      <c r="C26" s="318">
        <f>1/F23</f>
        <v>7.4804946103036336</v>
      </c>
      <c r="D26" s="319">
        <f>C26*D23</f>
        <v>6.2288133691399681</v>
      </c>
      <c r="E26" s="315">
        <f>C26*E23</f>
        <v>0.17810701453103889</v>
      </c>
      <c r="F26" s="301"/>
      <c r="G26" s="327">
        <v>28.316800000000001</v>
      </c>
      <c r="H26" s="315">
        <f>G26/1000</f>
        <v>2.83168E-2</v>
      </c>
      <c r="I26" s="324"/>
    </row>
    <row r="27" spans="2:9">
      <c r="B27" s="300" t="s">
        <v>215</v>
      </c>
      <c r="C27" s="318">
        <v>0.26417217685798894</v>
      </c>
      <c r="D27" s="318">
        <f>1/G24</f>
        <v>0.21996924829908776</v>
      </c>
      <c r="E27" s="315">
        <f>1/G25</f>
        <v>6.2898137347140223E-3</v>
      </c>
      <c r="F27" s="318">
        <f>1/G26</f>
        <v>3.5314724827664144E-2</v>
      </c>
      <c r="G27" s="307"/>
      <c r="H27" s="301">
        <v>1E-3</v>
      </c>
      <c r="I27" s="324"/>
    </row>
    <row r="28" spans="2:9">
      <c r="B28" s="300" t="s">
        <v>216</v>
      </c>
      <c r="C28" s="327">
        <f>1/H23</f>
        <v>264.17217685798892</v>
      </c>
      <c r="D28" s="327">
        <f>1/H24</f>
        <v>219.96924829908778</v>
      </c>
      <c r="E28" s="318">
        <f>1/H25</f>
        <v>6.2898137347140226</v>
      </c>
      <c r="F28" s="328">
        <f>1/H26</f>
        <v>35.314724827664143</v>
      </c>
      <c r="G28" s="305">
        <v>1000</v>
      </c>
      <c r="H28" s="307"/>
      <c r="I28" s="299"/>
    </row>
    <row r="29" spans="2:9">
      <c r="B29" s="299"/>
      <c r="C29" s="309"/>
      <c r="D29" s="309"/>
      <c r="E29" s="309"/>
      <c r="F29" s="309"/>
      <c r="G29" s="310"/>
      <c r="H29" s="299"/>
      <c r="I29" s="299"/>
    </row>
    <row r="30" spans="2:9">
      <c r="B30" s="299"/>
      <c r="C30" s="309"/>
      <c r="D30" s="309"/>
      <c r="E30" s="309"/>
      <c r="F30" s="309"/>
      <c r="G30" s="310"/>
      <c r="H30" s="299"/>
      <c r="I30" s="299"/>
    </row>
    <row r="31" spans="2:9" ht="18.600000000000001">
      <c r="B31" s="295" t="s">
        <v>217</v>
      </c>
      <c r="C31" s="296"/>
      <c r="D31" s="296"/>
      <c r="E31" s="296"/>
      <c r="F31" s="296"/>
      <c r="G31" s="297"/>
      <c r="H31" s="296"/>
      <c r="I31" s="296"/>
    </row>
    <row r="32" spans="2:9" ht="15" thickBot="1">
      <c r="B32" s="5" t="s">
        <v>180</v>
      </c>
      <c r="C32" s="298" t="s">
        <v>218</v>
      </c>
      <c r="D32" s="298" t="s">
        <v>219</v>
      </c>
      <c r="E32" s="298" t="s">
        <v>220</v>
      </c>
      <c r="F32" s="298" t="s">
        <v>221</v>
      </c>
      <c r="G32" s="298" t="s">
        <v>222</v>
      </c>
      <c r="H32" s="298" t="s">
        <v>223</v>
      </c>
      <c r="I32" s="298" t="s">
        <v>224</v>
      </c>
    </row>
    <row r="33" spans="2:9" ht="15" thickTop="1">
      <c r="B33" s="300" t="s">
        <v>225</v>
      </c>
      <c r="C33" s="301"/>
      <c r="D33" s="318">
        <f>1/C34</f>
        <v>8.3333333333333329E-2</v>
      </c>
      <c r="E33" s="315">
        <f>1/C35</f>
        <v>2.7777777777777776E-2</v>
      </c>
      <c r="F33" s="303">
        <f>1/C36</f>
        <v>1.5782828282828283E-5</v>
      </c>
      <c r="G33" s="329">
        <f>1/C37</f>
        <v>1.3714900141812068E-5</v>
      </c>
      <c r="H33" s="315">
        <f>1/C38</f>
        <v>2.5399986284007407E-2</v>
      </c>
      <c r="I33" s="303">
        <f>H33/1000</f>
        <v>2.5399986284007409E-5</v>
      </c>
    </row>
    <row r="34" spans="2:9">
      <c r="B34" s="300" t="s">
        <v>226</v>
      </c>
      <c r="C34" s="305">
        <v>12</v>
      </c>
      <c r="D34" s="301"/>
      <c r="E34" s="318">
        <f>1/D35</f>
        <v>0.33333333333333331</v>
      </c>
      <c r="F34" s="314">
        <f>1/D36</f>
        <v>1.8939393939393939E-4</v>
      </c>
      <c r="G34" s="314">
        <f>1/D37</f>
        <v>1.6457880170174483E-4</v>
      </c>
      <c r="H34" s="318">
        <f>1/D38</f>
        <v>0.30479983540808891</v>
      </c>
      <c r="I34" s="314">
        <f>H34/1000</f>
        <v>3.0479983540808892E-4</v>
      </c>
    </row>
    <row r="35" spans="2:9">
      <c r="B35" s="300" t="s">
        <v>227</v>
      </c>
      <c r="C35" s="305">
        <v>36</v>
      </c>
      <c r="D35" s="305">
        <f>C35*D33</f>
        <v>3</v>
      </c>
      <c r="E35" s="301"/>
      <c r="F35" s="330">
        <f>1/E36</f>
        <v>5.6818181818181815E-4</v>
      </c>
      <c r="G35" s="314">
        <f>1/E37</f>
        <v>4.9373640510523445E-4</v>
      </c>
      <c r="H35" s="318">
        <f>1/E38</f>
        <v>0.91439950622426669</v>
      </c>
      <c r="I35" s="328">
        <f>H35/1000</f>
        <v>9.143995062242667E-4</v>
      </c>
    </row>
    <row r="36" spans="2:9">
      <c r="B36" s="300" t="s">
        <v>228</v>
      </c>
      <c r="C36" s="305">
        <v>63360</v>
      </c>
      <c r="D36" s="305">
        <f>C36*D33</f>
        <v>5280</v>
      </c>
      <c r="E36" s="305">
        <f>C36*E33</f>
        <v>1760</v>
      </c>
      <c r="F36" s="301"/>
      <c r="G36" s="318">
        <f>1/F37</f>
        <v>0.86897607298521262</v>
      </c>
      <c r="H36" s="305">
        <f>1/F38</f>
        <v>1609.3431309547093</v>
      </c>
      <c r="I36" s="318">
        <f>H36/1000</f>
        <v>1.6093431309547093</v>
      </c>
    </row>
    <row r="37" spans="2:9">
      <c r="B37" s="300" t="s">
        <v>229</v>
      </c>
      <c r="C37" s="305">
        <v>72913.399999999994</v>
      </c>
      <c r="D37" s="305">
        <f>C37*D33</f>
        <v>6076.1166666666659</v>
      </c>
      <c r="E37" s="305">
        <f>C37*E33</f>
        <v>2025.372222222222</v>
      </c>
      <c r="F37" s="318">
        <f>C37*F33</f>
        <v>1.1507796717171717</v>
      </c>
      <c r="G37" s="307"/>
      <c r="H37" s="305">
        <f>1/G38</f>
        <v>1851.9993599203453</v>
      </c>
      <c r="I37" s="318">
        <f>H37/1000</f>
        <v>1.8519993599203453</v>
      </c>
    </row>
    <row r="38" spans="2:9">
      <c r="B38" s="300" t="s">
        <v>230</v>
      </c>
      <c r="C38" s="326">
        <v>39.370100000000001</v>
      </c>
      <c r="D38" s="328">
        <f>C38*D33</f>
        <v>3.2808416666666664</v>
      </c>
      <c r="E38" s="328">
        <f>C38*E33</f>
        <v>1.0936138888888889</v>
      </c>
      <c r="F38" s="314">
        <f>C38*F33</f>
        <v>6.2137152777777776E-4</v>
      </c>
      <c r="G38" s="314">
        <f>C38*G33</f>
        <v>5.3995699007315537E-4</v>
      </c>
      <c r="H38" s="307"/>
      <c r="I38" s="318">
        <f>1/H39</f>
        <v>1E-3</v>
      </c>
    </row>
    <row r="39" spans="2:9">
      <c r="B39" s="300" t="s">
        <v>231</v>
      </c>
      <c r="C39" s="305">
        <f>C38*1000</f>
        <v>39370.1</v>
      </c>
      <c r="D39" s="327">
        <f>D38*1000</f>
        <v>3280.8416666666662</v>
      </c>
      <c r="E39" s="327">
        <f>E38*1000</f>
        <v>1093.6138888888888</v>
      </c>
      <c r="F39" s="317">
        <f>F38*1000</f>
        <v>0.62137152777777771</v>
      </c>
      <c r="G39" s="317">
        <f>G38*1000</f>
        <v>0.53995699007315534</v>
      </c>
      <c r="H39" s="305">
        <v>1000</v>
      </c>
      <c r="I39" s="331"/>
    </row>
    <row r="40" spans="2:9">
      <c r="B40" s="299"/>
      <c r="C40" s="309"/>
      <c r="D40" s="309"/>
      <c r="E40" s="309"/>
      <c r="F40" s="309"/>
      <c r="G40" s="310"/>
      <c r="H40" s="299"/>
      <c r="I40" s="299"/>
    </row>
    <row r="41" spans="2:9">
      <c r="B41" s="299"/>
      <c r="C41" s="309"/>
      <c r="D41" s="309"/>
      <c r="E41" s="309"/>
      <c r="F41" s="309"/>
      <c r="G41" s="310"/>
      <c r="H41" s="299"/>
      <c r="I41" s="299"/>
    </row>
    <row r="42" spans="2:9" ht="18.600000000000001">
      <c r="B42" s="295" t="s">
        <v>232</v>
      </c>
      <c r="C42" s="296"/>
    </row>
    <row r="43" spans="2:9" ht="15" thickBot="1">
      <c r="B43" s="5" t="s">
        <v>180</v>
      </c>
      <c r="C43" s="298" t="s">
        <v>233</v>
      </c>
      <c r="D43" s="298" t="s">
        <v>234</v>
      </c>
    </row>
    <row r="44" spans="2:9" ht="15" thickTop="1">
      <c r="B44" s="300" t="s">
        <v>235</v>
      </c>
      <c r="C44" s="301"/>
      <c r="D44" s="318">
        <v>0.74569987199999999</v>
      </c>
    </row>
    <row r="45" spans="2:9">
      <c r="B45" s="300" t="s">
        <v>236</v>
      </c>
      <c r="C45" s="319">
        <f>1/D44</f>
        <v>1.3410220888438076</v>
      </c>
      <c r="D45" s="301"/>
    </row>
    <row r="48" spans="2:9" ht="18.600000000000001">
      <c r="B48" s="295" t="s">
        <v>237</v>
      </c>
      <c r="C48" s="296"/>
    </row>
    <row r="49" spans="2:4" ht="15" thickBot="1">
      <c r="B49" s="5" t="s">
        <v>180</v>
      </c>
      <c r="C49" s="298" t="s">
        <v>238</v>
      </c>
      <c r="D49" s="298" t="s">
        <v>239</v>
      </c>
    </row>
    <row r="50" spans="2:4" ht="15" thickTop="1">
      <c r="B50" s="300" t="s">
        <v>239</v>
      </c>
      <c r="C50" s="301">
        <v>10</v>
      </c>
      <c r="D50" s="318"/>
    </row>
    <row r="51" spans="2:4">
      <c r="B51" s="300" t="s">
        <v>238</v>
      </c>
      <c r="C51" s="319"/>
      <c r="D51" s="301">
        <v>0.1</v>
      </c>
    </row>
    <row r="54" spans="2:4" ht="18.600000000000001">
      <c r="B54" s="295" t="s">
        <v>240</v>
      </c>
      <c r="C54" s="296"/>
      <c r="D54" s="296"/>
    </row>
    <row r="55" spans="2:4" ht="15" thickBot="1">
      <c r="B55" s="5" t="s">
        <v>241</v>
      </c>
      <c r="C55" s="5" t="s">
        <v>242</v>
      </c>
      <c r="D55" s="5" t="s">
        <v>243</v>
      </c>
    </row>
    <row r="56" spans="2:4" ht="15" thickTop="1">
      <c r="B56" s="6" t="s">
        <v>244</v>
      </c>
      <c r="C56" s="6" t="s">
        <v>245</v>
      </c>
      <c r="D56" s="6" t="s">
        <v>246</v>
      </c>
    </row>
    <row r="57" spans="2:4">
      <c r="B57" s="6" t="s">
        <v>247</v>
      </c>
      <c r="C57" s="6" t="s">
        <v>248</v>
      </c>
      <c r="D57" s="6" t="s">
        <v>249</v>
      </c>
    </row>
    <row r="58" spans="2:4">
      <c r="B58" s="6" t="s">
        <v>250</v>
      </c>
      <c r="C58" s="6" t="s">
        <v>251</v>
      </c>
      <c r="D58" s="6" t="s">
        <v>252</v>
      </c>
    </row>
    <row r="59" spans="2:4">
      <c r="B59" s="6" t="s">
        <v>253</v>
      </c>
      <c r="C59" s="6" t="s">
        <v>254</v>
      </c>
      <c r="D59" s="6" t="s">
        <v>255</v>
      </c>
    </row>
    <row r="60" spans="2:4">
      <c r="B60" s="6" t="s">
        <v>256</v>
      </c>
      <c r="C60" s="6" t="s">
        <v>257</v>
      </c>
      <c r="D60" s="6" t="s">
        <v>258</v>
      </c>
    </row>
    <row r="61" spans="2:4">
      <c r="B61" s="6" t="s">
        <v>259</v>
      </c>
      <c r="C61" s="6" t="s">
        <v>260</v>
      </c>
      <c r="D61" s="6" t="s">
        <v>261</v>
      </c>
    </row>
    <row r="62" spans="2:4">
      <c r="B62" s="6" t="s">
        <v>262</v>
      </c>
      <c r="C62" s="6" t="s">
        <v>263</v>
      </c>
      <c r="D62" s="6" t="s">
        <v>264</v>
      </c>
    </row>
    <row r="63" spans="2:4">
      <c r="B63" s="6" t="s">
        <v>265</v>
      </c>
      <c r="C63" s="6" t="s">
        <v>266</v>
      </c>
      <c r="D63" s="6" t="s">
        <v>267</v>
      </c>
    </row>
    <row r="64" spans="2:4">
      <c r="B64" s="6" t="s">
        <v>268</v>
      </c>
      <c r="C64" s="6" t="s">
        <v>269</v>
      </c>
      <c r="D64" s="6" t="s">
        <v>270</v>
      </c>
    </row>
    <row r="65" spans="2:4">
      <c r="B65" s="6" t="s">
        <v>271</v>
      </c>
      <c r="C65" s="6" t="s">
        <v>272</v>
      </c>
      <c r="D65" s="6" t="s">
        <v>273</v>
      </c>
    </row>
    <row r="66" spans="2:4">
      <c r="B66" s="7" t="s">
        <v>274</v>
      </c>
      <c r="C66" s="6" t="s">
        <v>275</v>
      </c>
      <c r="D66" s="6" t="s">
        <v>276</v>
      </c>
    </row>
    <row r="67" spans="2:4">
      <c r="B67" s="7" t="s">
        <v>277</v>
      </c>
      <c r="C67" s="6" t="s">
        <v>278</v>
      </c>
      <c r="D67" s="6" t="s">
        <v>279</v>
      </c>
    </row>
    <row r="68" spans="2:4">
      <c r="B68" s="7" t="s">
        <v>280</v>
      </c>
      <c r="C68" s="6" t="s">
        <v>281</v>
      </c>
      <c r="D68" s="6" t="s">
        <v>223</v>
      </c>
    </row>
    <row r="69" spans="2:4">
      <c r="B69" s="7" t="s">
        <v>282</v>
      </c>
      <c r="C69" s="6" t="s">
        <v>283</v>
      </c>
      <c r="D69" s="6" t="s">
        <v>223</v>
      </c>
    </row>
    <row r="70" spans="2:4">
      <c r="B70" s="7" t="s">
        <v>284</v>
      </c>
      <c r="C70" s="6" t="s">
        <v>285</v>
      </c>
      <c r="D70" s="6" t="s">
        <v>286</v>
      </c>
    </row>
    <row r="71" spans="2:4">
      <c r="B71" s="7" t="s">
        <v>287</v>
      </c>
      <c r="C71" s="6" t="s">
        <v>288</v>
      </c>
      <c r="D71" s="6" t="s">
        <v>289</v>
      </c>
    </row>
    <row r="72" spans="2:4">
      <c r="B72" s="8" t="s">
        <v>290</v>
      </c>
      <c r="C72" s="6" t="s">
        <v>291</v>
      </c>
      <c r="D72" s="6" t="s">
        <v>292</v>
      </c>
    </row>
    <row r="73" spans="2:4">
      <c r="B73" s="8" t="s">
        <v>293</v>
      </c>
      <c r="C73" s="6" t="s">
        <v>294</v>
      </c>
      <c r="D73" s="6" t="s">
        <v>295</v>
      </c>
    </row>
    <row r="74" spans="2:4">
      <c r="B74" s="8" t="s">
        <v>296</v>
      </c>
      <c r="C74" s="6" t="s">
        <v>297</v>
      </c>
      <c r="D74" s="6" t="s">
        <v>298</v>
      </c>
    </row>
    <row r="75" spans="2:4">
      <c r="B75" s="8" t="s">
        <v>299</v>
      </c>
      <c r="C75" s="6" t="s">
        <v>300</v>
      </c>
      <c r="D75" s="6" t="s">
        <v>301</v>
      </c>
    </row>
    <row r="77" spans="2:4" ht="15" thickBot="1">
      <c r="B77" s="87" t="s">
        <v>302</v>
      </c>
      <c r="C77" s="9"/>
    </row>
    <row r="78" spans="2:4">
      <c r="B78" s="86" t="s">
        <v>303</v>
      </c>
    </row>
    <row r="79" spans="2:4">
      <c r="B79" s="86" t="s">
        <v>304</v>
      </c>
    </row>
    <row r="82" spans="2:25" ht="18.600000000000001">
      <c r="B82" s="295" t="s">
        <v>305</v>
      </c>
    </row>
    <row r="83" spans="2:25" ht="29.45" thickBot="1">
      <c r="B83" s="5" t="s">
        <v>306</v>
      </c>
      <c r="C83" s="5" t="s">
        <v>307</v>
      </c>
      <c r="D83" s="5" t="s">
        <v>308</v>
      </c>
      <c r="E83" s="5" t="s">
        <v>309</v>
      </c>
      <c r="F83" s="5" t="s">
        <v>310</v>
      </c>
      <c r="G83" s="5" t="s">
        <v>311</v>
      </c>
      <c r="H83" s="5" t="s">
        <v>312</v>
      </c>
      <c r="I83" s="5" t="s">
        <v>313</v>
      </c>
      <c r="J83" s="5" t="s">
        <v>314</v>
      </c>
      <c r="K83" s="5" t="s">
        <v>315</v>
      </c>
      <c r="L83" s="5" t="s">
        <v>316</v>
      </c>
      <c r="M83" s="5" t="s">
        <v>317</v>
      </c>
      <c r="N83" s="5" t="s">
        <v>318</v>
      </c>
      <c r="O83" s="5" t="s">
        <v>319</v>
      </c>
      <c r="P83" s="5" t="s">
        <v>320</v>
      </c>
      <c r="Q83" s="5" t="s">
        <v>321</v>
      </c>
      <c r="R83" s="5" t="s">
        <v>322</v>
      </c>
      <c r="S83" s="5" t="s">
        <v>323</v>
      </c>
      <c r="T83" s="294" t="s">
        <v>324</v>
      </c>
      <c r="U83" s="294" t="s">
        <v>325</v>
      </c>
      <c r="V83" s="294" t="s">
        <v>326</v>
      </c>
      <c r="W83" s="294" t="s">
        <v>172</v>
      </c>
      <c r="X83" s="294" t="s">
        <v>33</v>
      </c>
      <c r="Y83" s="294" t="s">
        <v>327</v>
      </c>
    </row>
    <row r="84" spans="2:25" ht="15" thickTop="1">
      <c r="B84" s="4" t="s">
        <v>328</v>
      </c>
      <c r="C84" s="4" t="s">
        <v>329</v>
      </c>
      <c r="D84" s="4" t="s">
        <v>330</v>
      </c>
      <c r="E84" s="4" t="s">
        <v>331</v>
      </c>
      <c r="F84" s="4" t="s">
        <v>332</v>
      </c>
      <c r="G84" s="4" t="s">
        <v>333</v>
      </c>
      <c r="H84" s="4" t="s">
        <v>334</v>
      </c>
      <c r="I84" s="4" t="s">
        <v>335</v>
      </c>
      <c r="J84" s="4" t="s">
        <v>336</v>
      </c>
      <c r="K84" s="4" t="s">
        <v>337</v>
      </c>
      <c r="L84" s="4" t="s">
        <v>338</v>
      </c>
      <c r="M84" s="4" t="s">
        <v>339</v>
      </c>
      <c r="N84" s="4" t="s">
        <v>340</v>
      </c>
      <c r="O84" s="4" t="s">
        <v>341</v>
      </c>
      <c r="P84" s="4" t="s">
        <v>331</v>
      </c>
      <c r="Q84" s="4" t="s">
        <v>331</v>
      </c>
      <c r="R84" s="4" t="s">
        <v>342</v>
      </c>
      <c r="S84" s="4">
        <v>2023</v>
      </c>
      <c r="T84" s="4" t="s">
        <v>343</v>
      </c>
      <c r="U84" s="4" t="s">
        <v>344</v>
      </c>
      <c r="V84" s="4" t="s">
        <v>338</v>
      </c>
      <c r="W84" s="4" t="s">
        <v>175</v>
      </c>
      <c r="X84" s="4" t="s">
        <v>345</v>
      </c>
      <c r="Y84" s="4" t="s">
        <v>346</v>
      </c>
    </row>
    <row r="85" spans="2:25">
      <c r="B85" s="4" t="s">
        <v>347</v>
      </c>
      <c r="C85" s="4" t="s">
        <v>348</v>
      </c>
      <c r="D85" s="4" t="s">
        <v>349</v>
      </c>
      <c r="E85" s="4" t="s">
        <v>350</v>
      </c>
      <c r="F85" s="4" t="s">
        <v>351</v>
      </c>
      <c r="G85" s="4" t="s">
        <v>352</v>
      </c>
      <c r="H85" s="4" t="s">
        <v>353</v>
      </c>
      <c r="I85" s="4" t="s">
        <v>354</v>
      </c>
      <c r="J85" s="4" t="s">
        <v>355</v>
      </c>
      <c r="K85" s="4" t="s">
        <v>356</v>
      </c>
      <c r="L85" s="4" t="s">
        <v>348</v>
      </c>
      <c r="M85" s="4" t="s">
        <v>357</v>
      </c>
      <c r="N85" s="4" t="s">
        <v>102</v>
      </c>
      <c r="O85" s="4" t="s">
        <v>358</v>
      </c>
      <c r="P85" s="4" t="s">
        <v>350</v>
      </c>
      <c r="Q85" s="4" t="s">
        <v>359</v>
      </c>
      <c r="R85" s="4" t="s">
        <v>360</v>
      </c>
      <c r="S85" s="4">
        <v>2024</v>
      </c>
      <c r="T85" s="4" t="s">
        <v>361</v>
      </c>
      <c r="U85" s="4" t="s">
        <v>362</v>
      </c>
      <c r="V85" s="4" t="s">
        <v>348</v>
      </c>
      <c r="W85" s="4" t="s">
        <v>363</v>
      </c>
      <c r="X85" s="4" t="s">
        <v>364</v>
      </c>
      <c r="Y85" s="4" t="s">
        <v>365</v>
      </c>
    </row>
    <row r="86" spans="2:25">
      <c r="B86" s="4" t="s">
        <v>366</v>
      </c>
      <c r="E86" s="4" t="s">
        <v>359</v>
      </c>
      <c r="F86" s="4" t="s">
        <v>367</v>
      </c>
      <c r="G86" s="4" t="s">
        <v>368</v>
      </c>
      <c r="H86" s="4" t="s">
        <v>369</v>
      </c>
      <c r="I86" s="4" t="s">
        <v>370</v>
      </c>
      <c r="J86" s="4" t="s">
        <v>371</v>
      </c>
      <c r="K86" s="4" t="s">
        <v>370</v>
      </c>
      <c r="L86" s="4" t="s">
        <v>370</v>
      </c>
      <c r="M86" s="4" t="s">
        <v>372</v>
      </c>
      <c r="N86" s="4" t="s">
        <v>373</v>
      </c>
      <c r="O86" s="4" t="s">
        <v>374</v>
      </c>
      <c r="R86" s="4" t="s">
        <v>375</v>
      </c>
      <c r="S86" s="4">
        <v>2025</v>
      </c>
      <c r="U86" s="4" t="s">
        <v>122</v>
      </c>
      <c r="W86" s="4" t="s">
        <v>177</v>
      </c>
      <c r="Y86" s="4" t="s">
        <v>348</v>
      </c>
    </row>
    <row r="87" spans="2:25">
      <c r="B87" s="4" t="s">
        <v>376</v>
      </c>
      <c r="F87" s="4" t="s">
        <v>122</v>
      </c>
      <c r="G87" s="4" t="s">
        <v>377</v>
      </c>
      <c r="H87" s="4" t="s">
        <v>122</v>
      </c>
      <c r="J87" s="4" t="s">
        <v>378</v>
      </c>
      <c r="M87" s="4" t="s">
        <v>379</v>
      </c>
      <c r="N87" s="4" t="s">
        <v>122</v>
      </c>
      <c r="O87" s="4" t="s">
        <v>359</v>
      </c>
      <c r="R87" s="4" t="s">
        <v>380</v>
      </c>
      <c r="S87" s="4">
        <v>2026</v>
      </c>
    </row>
    <row r="88" spans="2:25">
      <c r="B88" s="4" t="s">
        <v>381</v>
      </c>
      <c r="F88" s="4" t="s">
        <v>370</v>
      </c>
      <c r="G88" s="4" t="s">
        <v>370</v>
      </c>
      <c r="H88" s="4" t="s">
        <v>370</v>
      </c>
      <c r="J88" s="4" t="s">
        <v>382</v>
      </c>
      <c r="M88" s="4" t="s">
        <v>122</v>
      </c>
      <c r="N88" s="4" t="s">
        <v>383</v>
      </c>
      <c r="O88" s="4" t="s">
        <v>122</v>
      </c>
      <c r="R88" s="4" t="s">
        <v>384</v>
      </c>
      <c r="S88" s="4">
        <v>2027</v>
      </c>
    </row>
    <row r="89" spans="2:25">
      <c r="B89" s="4" t="s">
        <v>385</v>
      </c>
      <c r="J89" s="4" t="s">
        <v>386</v>
      </c>
      <c r="M89" s="4" t="s">
        <v>370</v>
      </c>
      <c r="N89" s="4" t="s">
        <v>370</v>
      </c>
      <c r="O89" s="4" t="s">
        <v>370</v>
      </c>
      <c r="R89" s="4" t="s">
        <v>370</v>
      </c>
      <c r="S89" s="4">
        <v>2028</v>
      </c>
    </row>
    <row r="90" spans="2:25">
      <c r="J90" s="4" t="s">
        <v>387</v>
      </c>
      <c r="S90" s="4">
        <v>2029</v>
      </c>
    </row>
    <row r="91" spans="2:25">
      <c r="J91" s="4" t="s">
        <v>388</v>
      </c>
      <c r="S91" s="4">
        <v>2030</v>
      </c>
    </row>
    <row r="92" spans="2:25">
      <c r="J92" s="4" t="s">
        <v>389</v>
      </c>
      <c r="S92" s="4">
        <v>2031</v>
      </c>
    </row>
    <row r="93" spans="2:25">
      <c r="J93" s="4" t="s">
        <v>390</v>
      </c>
      <c r="S93" s="4">
        <v>2032</v>
      </c>
    </row>
    <row r="94" spans="2:25">
      <c r="S94" s="4">
        <v>2033</v>
      </c>
    </row>
    <row r="95" spans="2:25">
      <c r="S95" s="4">
        <v>2034</v>
      </c>
    </row>
    <row r="96" spans="2:25">
      <c r="S96" s="4">
        <v>2035</v>
      </c>
    </row>
    <row r="97" spans="2:19">
      <c r="S97" s="4">
        <v>2036</v>
      </c>
    </row>
    <row r="98" spans="2:19">
      <c r="S98" s="4">
        <v>2037</v>
      </c>
    </row>
    <row r="99" spans="2:19">
      <c r="S99" s="4">
        <v>2038</v>
      </c>
    </row>
    <row r="100" spans="2:19">
      <c r="S100" s="4">
        <v>2039</v>
      </c>
    </row>
    <row r="101" spans="2:19">
      <c r="S101" s="4">
        <v>2040</v>
      </c>
    </row>
    <row r="102" spans="2:19">
      <c r="S102" s="4">
        <v>2041</v>
      </c>
    </row>
    <row r="103" spans="2:19">
      <c r="S103" s="4">
        <v>2042</v>
      </c>
    </row>
    <row r="104" spans="2:19">
      <c r="S104" s="4">
        <v>2043</v>
      </c>
    </row>
    <row r="105" spans="2:19">
      <c r="S105" s="4">
        <v>2044</v>
      </c>
    </row>
    <row r="106" spans="2:19" ht="18.600000000000001">
      <c r="B106" s="102" t="s">
        <v>391</v>
      </c>
      <c r="S106" s="4">
        <v>2045</v>
      </c>
    </row>
    <row r="107" spans="2:19">
      <c r="B107" s="101" t="s">
        <v>343</v>
      </c>
      <c r="S107" s="4">
        <v>2046</v>
      </c>
    </row>
    <row r="108" spans="2:19">
      <c r="S108" s="4">
        <v>2047</v>
      </c>
    </row>
    <row r="109" spans="2:19">
      <c r="S109" s="4">
        <v>2048</v>
      </c>
    </row>
    <row r="110" spans="2:19">
      <c r="S110" s="4">
        <v>2049</v>
      </c>
    </row>
    <row r="111" spans="2:19">
      <c r="S111" s="4">
        <v>2050</v>
      </c>
    </row>
    <row r="113" spans="2:4" ht="15" thickBot="1">
      <c r="B113" s="5" t="s">
        <v>392</v>
      </c>
      <c r="C113" s="5" t="s">
        <v>393</v>
      </c>
      <c r="D113" s="5" t="s">
        <v>394</v>
      </c>
    </row>
    <row r="114" spans="2:4" ht="15" thickTop="1">
      <c r="B114" s="4" t="str" cm="1">
        <f t="array" ref="B114:B117">IF(OR(Pathway=B$87:$B$89),Proj_or_mix,Data)</f>
        <v>Projected</v>
      </c>
      <c r="C114" s="4" t="str" cm="1">
        <f t="array" ref="C114:C116">IF(Initial_questions!$E$68="Default",$P$85, IF(OR(Initial_questions!$E$68="Projected",Pathway=$B$87,Pathway=$B$88, AND(Pathway=$B$89,Initial_questions!$E$31&gt;0)), $P$84,Proj_or_def))</f>
        <v>Projected</v>
      </c>
      <c r="D114" s="4" t="str" cm="1">
        <f t="array" ref="D114:D116">IF(Initial_questions!$E$68="Default",$P$85, IF(Initial_questions!$E$68="Projected",$P$84,Proj_or_def))</f>
        <v>Projected</v>
      </c>
    </row>
    <row r="115" spans="2:4">
      <c r="B115" s="4" t="str">
        <v>Default</v>
      </c>
      <c r="C115" s="4" t="str">
        <v>Default</v>
      </c>
      <c r="D115" s="4" t="str">
        <v>Default</v>
      </c>
    </row>
    <row r="116" spans="2:4">
      <c r="B116" s="4" t="str">
        <v>Mixed</v>
      </c>
      <c r="C116" s="450">
        <v>0</v>
      </c>
      <c r="D116" s="450">
        <v>0</v>
      </c>
    </row>
    <row r="117" spans="2:4">
      <c r="B117" s="450">
        <v>0</v>
      </c>
    </row>
  </sheetData>
  <dataValidations disablePrompts="1" count="1">
    <dataValidation type="list" allowBlank="1" showInputMessage="1" showErrorMessage="1" sqref="B107" xr:uid="{3601247B-6B63-499F-9930-16C36A292193}">
      <formula1>Switch</formula1>
    </dataValidation>
  </dataValidations>
  <pageMargins left="0" right="0" top="0" bottom="0" header="0" footer="0"/>
  <pageSetup paperSize="9" orientation="portrait" r:id="rId1"/>
  <headerFooter>
    <oddHeader>&amp;C&amp;"Aptos"&amp;10&amp;K000000 OFFICIAL&amp;1#_x000D_</oddHeader>
    <oddFooter>&amp;C_x000D_&amp;1#&amp;"Aptos"&amp;10&amp;K000000 OFFICIAL</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e035a4e-85e7-44bb-9ff7-ddaad750804e">
      <UserInfo>
        <DisplayName>E4Tech-Document Co-Authoring Centre Visitors</DisplayName>
        <AccountId>4</AccountId>
        <AccountType/>
      </UserInfo>
      <UserInfo>
        <DisplayName>E4tech consulting</DisplayName>
        <AccountId>69</AccountId>
        <AccountType/>
      </UserInfo>
    </SharedWithUsers>
    <TaxCatchAll xmlns="7e035a4e-85e7-44bb-9ff7-ddaad750804e">
      <Value>1</Value>
    </TaxCatchAll>
    <lcf76f155ced4ddcb4097134ff3c332f xmlns="8276ee07-bd0a-41c9-ad8c-261cf408d650">
      <Terms xmlns="http://schemas.microsoft.com/office/infopath/2007/PartnerControls"/>
    </lcf76f155ced4ddcb4097134ff3c332f>
    <Government_x0020_Body xmlns="b413c3fd-5a3b-4239-b985-69032e371c04">BEIS</Government_x0020_Body>
    <Date_x0020_Opened xmlns="b413c3fd-5a3b-4239-b985-69032e371c04">2025-11-12T14:56:42+00:00</Date_x0020_Opened>
    <LegacyData xmlns="aaacb922-5235-4a66-b188-303b9b46fbd7" xsi:nil="true"/>
    <Descriptor xmlns="0063f72e-ace3-48fb-9c1f-5b513408b31f" xsi:nil="true"/>
    <Security_x0020_Classification xmlns="0063f72e-ace3-48fb-9c1f-5b513408b31f">OFFICIAL</Security_x0020_Classification>
    <m975189f4ba442ecbf67d4147307b177 xmlns="7e035a4e-85e7-44bb-9ff7-ddaad750804e">
      <Terms xmlns="http://schemas.microsoft.com/office/infopath/2007/PartnerControls">
        <TermInfo xmlns="http://schemas.microsoft.com/office/infopath/2007/PartnerControls">
          <TermName xmlns="http://schemas.microsoft.com/office/infopath/2007/PartnerControls">BEIS:Energy, Transformation and Clean Growth:Industrial Energy</TermName>
          <TermId xmlns="http://schemas.microsoft.com/office/infopath/2007/PartnerControls">196d2126-cc91-40b4-bd0b-d2f757bf15bb</TermId>
        </TermInfo>
      </Terms>
    </m975189f4ba442ecbf67d4147307b177>
    <Retention_x0020_Label xmlns="a8f60570-4bd3-4f2b-950b-a996de8ab151" xsi:nil="true"/>
    <Date_x0020_Closed xmlns="b413c3fd-5a3b-4239-b985-69032e371c04" xsi:nil="true"/>
    <_dlc_DocId xmlns="7e035a4e-85e7-44bb-9ff7-ddaad750804e">QW5YDJAYTMJW-1604619768-50043</_dlc_DocId>
    <_dlc_DocIdUrl xmlns="7e035a4e-85e7-44bb-9ff7-ddaad750804e">
      <Url>https://beisgov.sharepoint.com/sites/NZHF/_layouts/15/DocIdRedir.aspx?ID=QW5YDJAYTMJW-1604619768-50043</Url>
      <Description>QW5YDJAYTMJW-1604619768-50043</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ADFD9C52B52A5458F7296E774CFEA32" ma:contentTypeVersion="26" ma:contentTypeDescription="Create a new document." ma:contentTypeScope="" ma:versionID="c18541be57ae2e92e77e6f1df38225c6">
  <xsd:schema xmlns:xsd="http://www.w3.org/2001/XMLSchema" xmlns:xs="http://www.w3.org/2001/XMLSchema" xmlns:p="http://schemas.microsoft.com/office/2006/metadata/properties" xmlns:ns2="7e035a4e-85e7-44bb-9ff7-ddaad750804e" xmlns:ns3="0063f72e-ace3-48fb-9c1f-5b513408b31f" xmlns:ns4="b413c3fd-5a3b-4239-b985-69032e371c04" xmlns:ns5="a8f60570-4bd3-4f2b-950b-a996de8ab151" xmlns:ns6="aaacb922-5235-4a66-b188-303b9b46fbd7" xmlns:ns7="8276ee07-bd0a-41c9-ad8c-261cf408d650" targetNamespace="http://schemas.microsoft.com/office/2006/metadata/properties" ma:root="true" ma:fieldsID="b318fc5d945496930a9baaea8031cfd1" ns2:_="" ns3:_="" ns4:_="" ns5:_="" ns6:_="" ns7:_="">
    <xsd:import namespace="7e035a4e-85e7-44bb-9ff7-ddaad750804e"/>
    <xsd:import namespace="0063f72e-ace3-48fb-9c1f-5b513408b31f"/>
    <xsd:import namespace="b413c3fd-5a3b-4239-b985-69032e371c04"/>
    <xsd:import namespace="a8f60570-4bd3-4f2b-950b-a996de8ab151"/>
    <xsd:import namespace="aaacb922-5235-4a66-b188-303b9b46fbd7"/>
    <xsd:import namespace="8276ee07-bd0a-41c9-ad8c-261cf408d650"/>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2:SharedWithUsers" minOccurs="0"/>
                <xsd:element ref="ns2:SharedWithDetails" minOccurs="0"/>
                <xsd:element ref="ns7:MediaServiceDateTaken" minOccurs="0"/>
                <xsd:element ref="ns7:MediaServiceAutoTags" minOccurs="0"/>
                <xsd:element ref="ns7:MediaServiceOCR" minOccurs="0"/>
                <xsd:element ref="ns7:MediaServiceGenerationTime" minOccurs="0"/>
                <xsd:element ref="ns7:MediaServiceEventHashCode" minOccurs="0"/>
                <xsd:element ref="ns7:MediaLengthInSeconds" minOccurs="0"/>
                <xsd:element ref="ns7:lcf76f155ced4ddcb4097134ff3c332f" minOccurs="0"/>
                <xsd:element ref="ns7:MediaServiceObjectDetectorVersions" minOccurs="0"/>
                <xsd:element ref="ns7:MediaServiceSearchProperties" minOccurs="0"/>
                <xsd:element ref="ns7: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035a4e-85e7-44bb-9ff7-ddaad750804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BEIS:Energy, Transformation and Clean Growth:Industrial Energy|196d2126-cc91-40b4-bd0b-d2f757bf15bb"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e790f860-9c94-4012-82b7-d88fa51b03a6}" ma:internalName="TaxCatchAll" ma:showField="CatchAllData" ma:web="7e035a4e-85e7-44bb-9ff7-ddaad750804e">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e790f860-9c94-4012-82b7-d88fa51b03a6}" ma:internalName="TaxCatchAllLabel" ma:readOnly="true" ma:showField="CatchAllDataLabel" ma:web="7e035a4e-85e7-44bb-9ff7-ddaad750804e">
      <xsd:complexType>
        <xsd:complexContent>
          <xsd:extension base="dms:MultiChoiceLookup">
            <xsd:sequence>
              <xsd:element name="Value" type="dms:Lookup" maxOccurs="unbounded" minOccurs="0" nillable="true"/>
            </xsd:sequence>
          </xsd:extension>
        </xsd:complexContent>
      </xsd:complex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76ee07-bd0a-41c9-ad8c-261cf408d650"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8" nillable="true" ma:displayName="MediaServiceDateTaken" ma:hidden="true" ma:internalName="MediaServiceDateTaken" ma:readOnly="true">
      <xsd:simpleType>
        <xsd:restriction base="dms:Text"/>
      </xsd:simpleType>
    </xsd:element>
    <xsd:element name="MediaServiceAutoTags" ma:index="29" nillable="true" ma:displayName="Tags" ma:internalName="MediaServiceAutoTags"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LengthInSeconds" ma:index="33" nillable="true" ma:displayName="MediaLengthInSeconds" ma:hidden="true"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element name="MediaServiceBillingMetadata" ma:index="3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F430AE4-1BB4-432E-8FFD-9620639F63EF}"/>
</file>

<file path=customXml/itemProps2.xml><?xml version="1.0" encoding="utf-8"?>
<ds:datastoreItem xmlns:ds="http://schemas.openxmlformats.org/officeDocument/2006/customXml" ds:itemID="{9E7ECBB3-2596-4F0C-A0D5-52929F551A37}"/>
</file>

<file path=customXml/itemProps3.xml><?xml version="1.0" encoding="utf-8"?>
<ds:datastoreItem xmlns:ds="http://schemas.openxmlformats.org/officeDocument/2006/customXml" ds:itemID="{95EEF72D-ADE0-4E65-AF05-02865F09ADD6}"/>
</file>

<file path=customXml/itemProps4.xml><?xml version="1.0" encoding="utf-8"?>
<ds:datastoreItem xmlns:ds="http://schemas.openxmlformats.org/officeDocument/2006/customXml" ds:itemID="{29F44EEF-9AD6-426E-9895-48E395FA8892}"/>
</file>

<file path=docMetadata/LabelInfo.xml><?xml version="1.0" encoding="utf-8"?>
<clbl:labelList xmlns:clbl="http://schemas.microsoft.com/office/2020/mipLabelMetadata">
  <clbl:label id="{a6c0d0a6-a4b9-4802-9a97-568759608577}" enabled="1" method="Standard" siteId="{f2fe6bd3-9c4a-485b-ae69-e18820a88130}" removed="0"/>
  <clbl:label id="{ba62f585-b40f-4ab9-bafe-39150f03d124}" enabled="1" method="Privilege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Taylor</dc:creator>
  <cp:keywords/>
  <dc:description/>
  <cp:lastModifiedBy>Smith , Bradley (Energy Security)</cp:lastModifiedBy>
  <cp:revision/>
  <dcterms:created xsi:type="dcterms:W3CDTF">2012-01-05T14:11:32Z</dcterms:created>
  <dcterms:modified xsi:type="dcterms:W3CDTF">2026-01-13T15:47:13Z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0x0101006ADFD9C52B52A5458F7296E774CFEA32</vt:lpwstr>
  </property>
  <property fmtid="{D5CDD505-2E9C-101B-9397-08002B2CF9AE}" pid="3" name="URL">
    <vt:lpwstr/>
  </property>
  <property fmtid="{D5CDD505-2E9C-101B-9397-08002B2CF9AE}" pid="4" name="_ExtendedDescription">
    <vt:lpwstr/>
  </property>
  <property fmtid="{D5CDD505-2E9C-101B-9397-08002B2CF9AE}" pid="5" name="MediaServiceImageTags">
    <vt:lpwstr/>
  </property>
  <property fmtid="{D5CDD505-2E9C-101B-9397-08002B2CF9AE}" pid="6" name="Business Unit">
    <vt:lpwstr>1;#BEIS:Energy, Transformation and Clean Growth:Industrial Energy|196d2126-cc91-40b4-bd0b-d2f757bf15bb</vt:lpwstr>
  </property>
  <property fmtid="{D5CDD505-2E9C-101B-9397-08002B2CF9AE}" pid="7" name="_dlc_DocIdItemGuid">
    <vt:lpwstr>8a10c964-e043-48cf-b489-62dcb5f83442</vt:lpwstr>
  </property>
  <property fmtid="{D5CDD505-2E9C-101B-9397-08002B2CF9AE}" pid="8" name="Business_x0020_Unit">
    <vt:lpwstr>1;#BEIS:Energy, Transformation and Clean Growth:Industrial Energy|196d2126-cc91-40b4-bd0b-d2f757bf15bb</vt:lpwstr>
  </property>
</Properties>
</file>